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24226"/>
  <mc:AlternateContent xmlns:mc="http://schemas.openxmlformats.org/markup-compatibility/2006">
    <mc:Choice Requires="x15">
      <x15ac:absPath xmlns:x15ac="http://schemas.microsoft.com/office/spreadsheetml/2010/11/ac" url="/Users/johnson/Documents/PlatformIO/Projects/nixietube_clock/doc/datasheet/snvc224b/"/>
    </mc:Choice>
  </mc:AlternateContent>
  <xr:revisionPtr revIDLastSave="0" documentId="13_ncr:1_{FD82D6AD-735F-9F41-9D5D-468D7C770EC1}" xr6:coauthVersionLast="47" xr6:coauthVersionMax="47" xr10:uidLastSave="{00000000-0000-0000-0000-000000000000}"/>
  <workbookProtection workbookAlgorithmName="SHA-512" workbookHashValue="gc34FGggw3Ir8zQVSgaZChUqrVvVKYZwhSXpduqtPUD6nQuIaEe42JJKFmE/OmtpkzYp1ZfCj82eR88ZFlGbkQ==" workbookSaltValue="MvI2n84VClkXRpVOZBZk3g==" workbookSpinCount="100000" lockStructure="1"/>
  <bookViews>
    <workbookView xWindow="-7460" yWindow="-28300" windowWidth="51200" windowHeight="28300" xr2:uid="{00000000-000D-0000-FFFF-FFFF00000000}"/>
  </bookViews>
  <sheets>
    <sheet name="Design Converter" sheetId="1" r:id="rId1"/>
    <sheet name="Variable_Management" sheetId="2" state="hidden" r:id="rId2"/>
    <sheet name="Eff_vs_IOUT" sheetId="4" state="hidden" r:id="rId3"/>
    <sheet name="Loop_Modeling" sheetId="5" state="hidden" r:id="rId4"/>
    <sheet name="Constants" sheetId="3" state="hidden" r:id="rId5"/>
    <sheet name="Plot_Management_Eff" sheetId="6" state="hidden" r:id="rId6"/>
    <sheet name="Plot_Management_Sch" sheetId="7" state="hidden" r:id="rId7"/>
    <sheet name="Lists" sheetId="8" state="hidden" r:id="rId8"/>
    <sheet name="Licenses" sheetId="10" r:id="rId9"/>
    <sheet name="Sheet1" sheetId="9" state="hidden" r:id="rId10"/>
  </sheets>
  <externalReferences>
    <externalReference r:id="rId11"/>
  </externalReferences>
  <definedNames>
    <definedName name="Acs">Constants!$B$30</definedName>
    <definedName name="Adc">Loop_Modeling!$B$35</definedName>
    <definedName name="Adc_ea">Loop_Modeling!$B$61</definedName>
    <definedName name="ADC_VINmin">Variable_Management!$B$189</definedName>
    <definedName name="CCOMP">Variable_Management!$B$230</definedName>
    <definedName name="CComp_calc">Variable_Management!$B$229</definedName>
    <definedName name="CHF">Variable_Management!$B$232</definedName>
    <definedName name="Comp_calc">Variable_Management!$B$229</definedName>
    <definedName name="CondMode">OFFSET(Lists!$B$9,0,0,COUNTIF(Lists!$B$9:$B$11,"?CM*"),1)</definedName>
    <definedName name="Cout">Variable_Management!$B$155</definedName>
    <definedName name="Cout_min">Variable_Management!$B$153</definedName>
    <definedName name="D_limit_max">Constants!$B$18</definedName>
    <definedName name="D_limit_min">Constants!$B$16</definedName>
    <definedName name="D_limit_nom">Constants!$B$17</definedName>
    <definedName name="Dc_CCM_VIN_max">Variable_Management!$B$50</definedName>
    <definedName name="Dc_CCM_VIN_min">Variable_Management!$B$42</definedName>
    <definedName name="Dc_CCM_VIN_nom">Variable_Management!$B$46</definedName>
    <definedName name="Dc_DCM_VIN_nom">Variable_Management!$B$62</definedName>
    <definedName name="Dc_max_IC">Variable_Management!$B$21</definedName>
    <definedName name="Dc_max_ideal">Variable_Management!$A$20</definedName>
    <definedName name="Dc_Mode">Variable_Management!$B$36</definedName>
    <definedName name="Dc_Mode_Loop">Loop_Modeling!$B$14</definedName>
    <definedName name="Dc_rip_max">Variable_Management!$B$79</definedName>
    <definedName name="Dc_VIN_max">Variable_Management!$B$31</definedName>
    <definedName name="Dc_VIN_min">Variable_Management!$B$23</definedName>
    <definedName name="Dc_VIN_nom">Variable_Management!$B$27</definedName>
    <definedName name="display_SCH">INDIRECT(Plot_Management_Sch!$A$1)</definedName>
    <definedName name="EFF_est">Variable_Management!$B$17</definedName>
    <definedName name="Eff_vs_IOUT">Plot_Management_Eff!$C$3</definedName>
    <definedName name="fcross">Variable_Management!$B$213</definedName>
    <definedName name="fcross_est">Variable_Management!$B$212</definedName>
    <definedName name="FIR_BYPASSED">'[1]Digital Filter'!$T$84</definedName>
    <definedName name="fp_ea_est">Variable_Management!$B$223</definedName>
    <definedName name="Fsw">Variable_Management!$B$10</definedName>
    <definedName name="fz_ea_est">Variable_Management!$B$221</definedName>
    <definedName name="fz_rhp">Variable_Management!$B$198</definedName>
    <definedName name="Gcomp">Constants!$B$29</definedName>
    <definedName name="Gea_mid_calc">Variable_Management!$B$217</definedName>
    <definedName name="gfs">Variable_Management!$B$249</definedName>
    <definedName name="gm_ea">Constants!$B$34</definedName>
    <definedName name="Gplant_fc_dB">Loop_Modeling!$AD$7</definedName>
    <definedName name="IIN_33">Variable_Management!$B$81</definedName>
    <definedName name="IL_avg_VIN_max">Variable_Management!$B$33</definedName>
    <definedName name="IL_avg_VIN_min">Variable_Management!$B$25</definedName>
    <definedName name="IL_avg_VIN_nom">Variable_Management!$B$29</definedName>
    <definedName name="IL_pk">Variable_Management!$B$142</definedName>
    <definedName name="IL_pk_max">Variable_Management!$B$143</definedName>
    <definedName name="ILp_VINmax">Variable_Management!$B$119</definedName>
    <definedName name="ILp_VINmin">Variable_Management!$B$113</definedName>
    <definedName name="ILp_VINnom">Variable_Management!$B$116</definedName>
    <definedName name="ILrip">Variable_Management!$B$71</definedName>
    <definedName name="ILrip_VINmax">Variable_Management!$B$118</definedName>
    <definedName name="ILrip_VINmin">Variable_Management!$B$112</definedName>
    <definedName name="ILrip_VINnom">Variable_Management!$B$115</definedName>
    <definedName name="IOUT">Variable_Management!$B$14</definedName>
    <definedName name="Ipk_margin">Variable_Management!$B$122</definedName>
    <definedName name="Ipk_selected">Variable_Management!$B$123</definedName>
    <definedName name="IQ">Constants!$B$48</definedName>
    <definedName name="IRMS_COUT">Variable_Management!$B$154</definedName>
    <definedName name="Isl">Constants!$B$25</definedName>
    <definedName name="Iss">Constants!$B$37</definedName>
    <definedName name="Kslope">Variable_Management!$B$130</definedName>
    <definedName name="L_DCM">Variable_Management!$B$89</definedName>
    <definedName name="Lm">Variable_Management!$B$84</definedName>
    <definedName name="Lopt">Variable_Management!$B$76</definedName>
    <definedName name="Lopt_2">Variable_Management!$B$82</definedName>
    <definedName name="POUT">Variable_Management!$B$16</definedName>
    <definedName name="_xlnm.Print_Area" localSheetId="0">'Design Converter'!$A$1:$Z$100</definedName>
    <definedName name="Q">Loop_Modeling!$B$49</definedName>
    <definedName name="Q_VINmin">Variable_Management!$B$206</definedName>
    <definedName name="Qg_tot">Variable_Management!$B$244</definedName>
    <definedName name="Qgd">Variable_Management!$B$245</definedName>
    <definedName name="Qgs">Variable_Management!$B$246</definedName>
    <definedName name="Qrr">Variable_Management!$B$239</definedName>
    <definedName name="R_cs">Variable_Management!$B$138</definedName>
    <definedName name="R_sl">Variable_Management!$B$139</definedName>
    <definedName name="RCOMP">Variable_Management!$B$228</definedName>
    <definedName name="Rcomp_calc">Variable_Management!$B$227</definedName>
    <definedName name="Rcs_max">Variable_Management!$B$127</definedName>
    <definedName name="Rcs_w_sl">Variable_Management!$B$131</definedName>
    <definedName name="Rcs_wo_sl">Variable_Management!$B$128</definedName>
    <definedName name="Rdcr">Variable_Management!$B$85</definedName>
    <definedName name="RDS_on">Variable_Management!$B$243</definedName>
    <definedName name="Resr">Variable_Management!$B$156</definedName>
    <definedName name="RFBB">Variable_Management!$B$184</definedName>
    <definedName name="RFBB_calc">Variable_Management!$B$183</definedName>
    <definedName name="RFBT">Variable_Management!$B$182</definedName>
    <definedName name="Rgate">Variable_Management!$B$247</definedName>
    <definedName name="ROUT">Variable_Management!$B$15</definedName>
    <definedName name="Rsl_int">Constants!$B$26</definedName>
    <definedName name="Rsl_max">Constants!$B$28</definedName>
    <definedName name="RT">Variable_Management!$B$11</definedName>
    <definedName name="Ruvlo_bottom_calc">Variable_Management!$B$173</definedName>
    <definedName name="Ruvlo_top">Variable_Management!$B$172</definedName>
    <definedName name="Ruvlo_top_calc">Variable_Management!$B$171</definedName>
    <definedName name="SCH_1">Plot_Management_Sch!$B$2</definedName>
    <definedName name="SCH_2">Plot_Management_Sch!$B$4</definedName>
    <definedName name="Se_VINmin">Variable_Management!$B$202</definedName>
    <definedName name="Sn_VINmin">Variable_Management!$B$203</definedName>
    <definedName name="tf_sw">Variable_Management!$B$256</definedName>
    <definedName name="tr_sw">Variable_Management!$B$255</definedName>
    <definedName name="tss">Variable_Management!$B$162</definedName>
    <definedName name="UV_fall">Constants!$B$41</definedName>
    <definedName name="UV_I_hyst">Constants!$B$42</definedName>
    <definedName name="UV_rise">Constants!$B$40</definedName>
    <definedName name="Vcc">Constants!$B$45</definedName>
    <definedName name="Vcl">Constants!$B$27</definedName>
    <definedName name="Vd_rect">Variable_Management!$B$238</definedName>
    <definedName name="VIN_33">Variable_Management!$B$80</definedName>
    <definedName name="VIN_max">Variable_Management!$B$9</definedName>
    <definedName name="VIN_min">Variable_Management!$B$7</definedName>
    <definedName name="VIN_nom">Variable_Management!$B$8</definedName>
    <definedName name="VIN_op_max">Constants!$B$52</definedName>
    <definedName name="VIN_op_max_56">Constants!$B$53</definedName>
    <definedName name="VIN_op_min">Constants!$B$51</definedName>
    <definedName name="VIN_var">Variable_Management!$B$8</definedName>
    <definedName name="VOUT">Variable_Management!$B$13</definedName>
    <definedName name="Vout_rip_sel">Variable_Management!$B$152</definedName>
    <definedName name="Vref">Constants!$B$33</definedName>
    <definedName name="Vth">Variable_Management!$B$250</definedName>
    <definedName name="Vuvlo_off">Variable_Management!$B$167</definedName>
    <definedName name="Vuvlo_on">Variable_Management!$B$166</definedName>
    <definedName name="wp_hf">Loop_Modeling!$B$50</definedName>
    <definedName name="wp_lf">Loop_Modeling!$B$36</definedName>
    <definedName name="wp_lf_VINmin">Variable_Management!$B$191</definedName>
    <definedName name="wp0_ea">Loop_Modeling!$B$63</definedName>
    <definedName name="wp1_ea">Loop_Modeling!$B$64</definedName>
    <definedName name="wsl">Loop_Modeling!$B$48</definedName>
    <definedName name="wsl_VINmin">Variable_Management!$B$205</definedName>
    <definedName name="wz_ea">Loop_Modeling!$B$62</definedName>
    <definedName name="wz_esr">Loop_Modeling!$B$42</definedName>
    <definedName name="wz_esr_VINmin">Variable_Management!$B$194</definedName>
    <definedName name="wz_rhp">Loop_Modeling!$B$39</definedName>
    <definedName name="wz_RHP_VINmin">Variable_Management!$B$197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 i="7" l="1"/>
  <c r="B36" i="2" l="1"/>
  <c r="M126" i="2"/>
  <c r="B2" i="6"/>
  <c r="B48" i="3"/>
  <c r="B251" i="2"/>
  <c r="B250" i="2"/>
  <c r="B249" i="2"/>
  <c r="B247" i="2"/>
  <c r="B246" i="2"/>
  <c r="B245" i="2"/>
  <c r="B244" i="2"/>
  <c r="B243" i="2"/>
  <c r="B239" i="2"/>
  <c r="B238" i="2"/>
  <c r="B172" i="2"/>
  <c r="B42" i="3"/>
  <c r="B170" i="2" s="1"/>
  <c r="B169" i="2"/>
  <c r="B168" i="2"/>
  <c r="B167" i="2"/>
  <c r="B166" i="2"/>
  <c r="B162" i="2"/>
  <c r="B37" i="3"/>
  <c r="B160" i="2" s="1"/>
  <c r="B213" i="2"/>
  <c r="O8" i="5" s="1"/>
  <c r="B34" i="3"/>
  <c r="O548" i="5"/>
  <c r="O549" i="5"/>
  <c r="O550" i="5"/>
  <c r="O551" i="5"/>
  <c r="O552" i="5"/>
  <c r="O553" i="5"/>
  <c r="O554" i="5"/>
  <c r="O555" i="5"/>
  <c r="O556" i="5"/>
  <c r="O557" i="5"/>
  <c r="O558" i="5"/>
  <c r="O559" i="5"/>
  <c r="O560" i="5"/>
  <c r="O537" i="5"/>
  <c r="O538" i="5"/>
  <c r="O539" i="5"/>
  <c r="O540" i="5"/>
  <c r="O541" i="5"/>
  <c r="O542" i="5"/>
  <c r="O543" i="5"/>
  <c r="O544" i="5"/>
  <c r="O545" i="5"/>
  <c r="O546" i="5"/>
  <c r="O547" i="5"/>
  <c r="O520" i="5"/>
  <c r="O521" i="5"/>
  <c r="O522" i="5"/>
  <c r="O523" i="5"/>
  <c r="O524" i="5"/>
  <c r="O525" i="5"/>
  <c r="O526" i="5"/>
  <c r="O527" i="5"/>
  <c r="O528" i="5"/>
  <c r="O529" i="5"/>
  <c r="O530" i="5"/>
  <c r="O531" i="5"/>
  <c r="O532" i="5"/>
  <c r="O533" i="5"/>
  <c r="O534" i="5"/>
  <c r="O535" i="5"/>
  <c r="O536" i="5"/>
  <c r="O5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4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3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2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1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9" i="5"/>
  <c r="B29" i="3"/>
  <c r="B31" i="5" s="1"/>
  <c r="B182" i="2"/>
  <c r="B55" i="5" s="1"/>
  <c r="B184" i="2"/>
  <c r="B56" i="5" s="1"/>
  <c r="B230" i="2"/>
  <c r="B232" i="2"/>
  <c r="B59" i="5" s="1"/>
  <c r="B228" i="2"/>
  <c r="B28" i="5"/>
  <c r="B156" i="2"/>
  <c r="B155" i="2"/>
  <c r="B152" i="2"/>
  <c r="B144" i="2"/>
  <c r="B139" i="2"/>
  <c r="B27" i="5" s="1"/>
  <c r="B138" i="2"/>
  <c r="B26" i="5" s="1"/>
  <c r="B27" i="3"/>
  <c r="B25" i="3"/>
  <c r="B122" i="2"/>
  <c r="B85" i="2"/>
  <c r="B84" i="2"/>
  <c r="B22" i="3"/>
  <c r="B71" i="2"/>
  <c r="B10" i="2"/>
  <c r="B14" i="3"/>
  <c r="B12" i="3"/>
  <c r="B10" i="3"/>
  <c r="B17" i="2"/>
  <c r="B14" i="2"/>
  <c r="H85" i="1" s="1"/>
  <c r="B13" i="2"/>
  <c r="B9" i="2"/>
  <c r="B5" i="8" s="1"/>
  <c r="B8" i="2"/>
  <c r="T121" i="4" s="1"/>
  <c r="B7" i="2"/>
  <c r="B21" i="5"/>
  <c r="AP87" i="4" l="1"/>
  <c r="B10" i="5"/>
  <c r="B89" i="2"/>
  <c r="B194" i="2"/>
  <c r="B195" i="2" s="1"/>
  <c r="B63" i="5"/>
  <c r="AG446" i="5" s="1"/>
  <c r="AI446" i="5" s="1"/>
  <c r="T130" i="4"/>
  <c r="AQ130" i="4" s="1"/>
  <c r="T118" i="4"/>
  <c r="AQ118" i="4" s="1"/>
  <c r="T29" i="4"/>
  <c r="AQ29" i="4" s="1"/>
  <c r="T31" i="4"/>
  <c r="AQ31" i="4" s="1"/>
  <c r="T63" i="4"/>
  <c r="T138" i="4"/>
  <c r="AQ138" i="4" s="1"/>
  <c r="T126" i="4"/>
  <c r="AQ126" i="4" s="1"/>
  <c r="T49" i="4"/>
  <c r="AQ49" i="4" s="1"/>
  <c r="T19" i="4"/>
  <c r="AQ19" i="4" s="1"/>
  <c r="T74" i="4"/>
  <c r="AQ74" i="4" s="1"/>
  <c r="T54" i="4"/>
  <c r="AQ54" i="4" s="1"/>
  <c r="T28" i="4"/>
  <c r="AQ28" i="4" s="1"/>
  <c r="T132" i="4"/>
  <c r="AQ132" i="4" s="1"/>
  <c r="T13" i="4"/>
  <c r="AQ13" i="4" s="1"/>
  <c r="T144" i="4"/>
  <c r="AQ144" i="4" s="1"/>
  <c r="T124" i="4"/>
  <c r="AQ124" i="4" s="1"/>
  <c r="T151" i="4"/>
  <c r="AQ151" i="4" s="1"/>
  <c r="T88" i="4"/>
  <c r="AQ88" i="4" s="1"/>
  <c r="T76" i="4"/>
  <c r="AQ76" i="4" s="1"/>
  <c r="R84" i="4"/>
  <c r="B36" i="5"/>
  <c r="Q96" i="5" s="1"/>
  <c r="T33" i="4"/>
  <c r="AQ33" i="4" s="1"/>
  <c r="B35" i="5"/>
  <c r="T79" i="4"/>
  <c r="B58" i="5"/>
  <c r="R62" i="4"/>
  <c r="B15" i="2"/>
  <c r="R143" i="4"/>
  <c r="B16" i="2"/>
  <c r="H15" i="1" s="1"/>
  <c r="B20" i="5"/>
  <c r="R79" i="4"/>
  <c r="R105" i="4"/>
  <c r="R34" i="4"/>
  <c r="B45" i="5"/>
  <c r="B11" i="2"/>
  <c r="H13" i="1" s="1"/>
  <c r="B19" i="3"/>
  <c r="B20" i="3" s="1"/>
  <c r="B21" i="2" s="1"/>
  <c r="H16" i="1" s="1"/>
  <c r="B13" i="5"/>
  <c r="AP56" i="4"/>
  <c r="K21" i="2"/>
  <c r="AP30" i="4"/>
  <c r="AP116" i="4"/>
  <c r="AP115" i="4"/>
  <c r="AP66" i="4"/>
  <c r="AP49" i="4"/>
  <c r="O12" i="4"/>
  <c r="T30" i="4"/>
  <c r="AQ30" i="4" s="1"/>
  <c r="T152" i="4"/>
  <c r="AQ152" i="4" s="1"/>
  <c r="T82" i="4"/>
  <c r="AQ82" i="4" s="1"/>
  <c r="T27" i="4"/>
  <c r="AQ27" i="4" s="1"/>
  <c r="T137" i="4"/>
  <c r="AQ137" i="4" s="1"/>
  <c r="T105" i="4"/>
  <c r="AQ105" i="4" s="1"/>
  <c r="T80" i="4"/>
  <c r="AQ80" i="4" s="1"/>
  <c r="T24" i="4"/>
  <c r="AQ24" i="4" s="1"/>
  <c r="T62" i="4"/>
  <c r="AQ62" i="4" s="1"/>
  <c r="T93" i="4"/>
  <c r="AQ93" i="4" s="1"/>
  <c r="R141" i="4"/>
  <c r="R133" i="4"/>
  <c r="R98" i="4"/>
  <c r="R155" i="4"/>
  <c r="R76" i="4"/>
  <c r="T136" i="4"/>
  <c r="AQ136" i="4" s="1"/>
  <c r="T21" i="4"/>
  <c r="AQ21" i="4" s="1"/>
  <c r="T110" i="4"/>
  <c r="AQ110" i="4" s="1"/>
  <c r="T133" i="4"/>
  <c r="AQ133" i="4" s="1"/>
  <c r="T59" i="4"/>
  <c r="AQ59" i="4" s="1"/>
  <c r="B39" i="5"/>
  <c r="W161" i="5" s="1"/>
  <c r="Y161" i="5" s="1"/>
  <c r="T128" i="4"/>
  <c r="AQ128" i="4" s="1"/>
  <c r="T64" i="4"/>
  <c r="AQ64" i="4" s="1"/>
  <c r="T15" i="4"/>
  <c r="AQ15" i="4" s="1"/>
  <c r="T122" i="4"/>
  <c r="AQ122" i="4" s="1"/>
  <c r="T58" i="4"/>
  <c r="AQ58" i="4" s="1"/>
  <c r="T108" i="4"/>
  <c r="AQ108" i="4" s="1"/>
  <c r="T60" i="4"/>
  <c r="AQ60" i="4" s="1"/>
  <c r="T16" i="4"/>
  <c r="AQ16" i="4" s="1"/>
  <c r="T102" i="4"/>
  <c r="AQ102" i="4" s="1"/>
  <c r="T40" i="4"/>
  <c r="AQ40" i="4" s="1"/>
  <c r="T9" i="4"/>
  <c r="AQ9" i="4" s="1"/>
  <c r="T147" i="4"/>
  <c r="AQ147" i="4" s="1"/>
  <c r="T131" i="4"/>
  <c r="AQ131" i="4" s="1"/>
  <c r="T115" i="4"/>
  <c r="AQ115" i="4" s="1"/>
  <c r="T101" i="4"/>
  <c r="AQ101" i="4" s="1"/>
  <c r="T87" i="4"/>
  <c r="AQ87" i="4" s="1"/>
  <c r="T73" i="4"/>
  <c r="T57" i="4"/>
  <c r="AQ57" i="4" s="1"/>
  <c r="T43" i="4"/>
  <c r="AQ43" i="4" s="1"/>
  <c r="T103" i="4"/>
  <c r="AQ103" i="4" s="1"/>
  <c r="T77" i="4"/>
  <c r="AQ77" i="4" s="1"/>
  <c r="T25" i="4"/>
  <c r="AQ25" i="4" s="1"/>
  <c r="T72" i="4"/>
  <c r="AQ72" i="4" s="1"/>
  <c r="T66" i="4"/>
  <c r="AQ66" i="4" s="1"/>
  <c r="T20" i="4"/>
  <c r="AQ20" i="4" s="1"/>
  <c r="T149" i="4"/>
  <c r="AQ149" i="4" s="1"/>
  <c r="T75" i="4"/>
  <c r="AQ75" i="4" s="1"/>
  <c r="T120" i="4"/>
  <c r="AQ120" i="4" s="1"/>
  <c r="T56" i="4"/>
  <c r="AQ56" i="4" s="1"/>
  <c r="T12" i="4"/>
  <c r="AQ12" i="4" s="1"/>
  <c r="T114" i="4"/>
  <c r="AQ114" i="4" s="1"/>
  <c r="T50" i="4"/>
  <c r="AQ50" i="4" s="1"/>
  <c r="T14" i="4"/>
  <c r="AQ14" i="4" s="1"/>
  <c r="T52" i="4"/>
  <c r="AQ52" i="4" s="1"/>
  <c r="T8" i="4"/>
  <c r="AQ8" i="4" s="1"/>
  <c r="T94" i="4"/>
  <c r="AQ94" i="4" s="1"/>
  <c r="T37" i="4"/>
  <c r="AQ37" i="4" s="1"/>
  <c r="T145" i="4"/>
  <c r="AQ145" i="4" s="1"/>
  <c r="T129" i="4"/>
  <c r="AQ129" i="4" s="1"/>
  <c r="T113" i="4"/>
  <c r="AQ113" i="4" s="1"/>
  <c r="T99" i="4"/>
  <c r="AQ99" i="4" s="1"/>
  <c r="T71" i="4"/>
  <c r="AQ71" i="4" s="1"/>
  <c r="T55" i="4"/>
  <c r="AQ55" i="4" s="1"/>
  <c r="T41" i="4"/>
  <c r="AQ41" i="4" s="1"/>
  <c r="T17" i="4"/>
  <c r="AQ17" i="4" s="1"/>
  <c r="T89" i="4"/>
  <c r="AQ89" i="4" s="1"/>
  <c r="O9" i="4"/>
  <c r="T112" i="4"/>
  <c r="AQ112" i="4" s="1"/>
  <c r="T48" i="4"/>
  <c r="AQ48" i="4" s="1"/>
  <c r="T106" i="4"/>
  <c r="AQ106" i="4" s="1"/>
  <c r="T42" i="4"/>
  <c r="AQ42" i="4" s="1"/>
  <c r="T156" i="4"/>
  <c r="AQ156" i="4" s="1"/>
  <c r="T100" i="4"/>
  <c r="AQ100" i="4" s="1"/>
  <c r="T44" i="4"/>
  <c r="AQ44" i="4" s="1"/>
  <c r="T150" i="4"/>
  <c r="AQ150" i="4" s="1"/>
  <c r="T86" i="4"/>
  <c r="AQ86" i="4" s="1"/>
  <c r="T26" i="4"/>
  <c r="AQ26" i="4" s="1"/>
  <c r="T157" i="4"/>
  <c r="AQ157" i="4" s="1"/>
  <c r="T143" i="4"/>
  <c r="AQ143" i="4" s="1"/>
  <c r="T127" i="4"/>
  <c r="AQ127" i="4" s="1"/>
  <c r="T111" i="4"/>
  <c r="AQ111" i="4" s="1"/>
  <c r="T97" i="4"/>
  <c r="AQ97" i="4" s="1"/>
  <c r="T85" i="4"/>
  <c r="AQ85" i="4" s="1"/>
  <c r="T69" i="4"/>
  <c r="AQ69" i="4" s="1"/>
  <c r="T38" i="4"/>
  <c r="AQ38" i="4" s="1"/>
  <c r="T135" i="4"/>
  <c r="AQ135" i="4" s="1"/>
  <c r="T91" i="4"/>
  <c r="AQ91" i="4" s="1"/>
  <c r="T47" i="4"/>
  <c r="AQ47" i="4" s="1"/>
  <c r="B46" i="5"/>
  <c r="T68" i="4"/>
  <c r="AQ68" i="4" s="1"/>
  <c r="T11" i="4"/>
  <c r="AQ11" i="4" s="1"/>
  <c r="T45" i="4"/>
  <c r="AQ45" i="4" s="1"/>
  <c r="T7" i="4"/>
  <c r="AQ7" i="4" s="1"/>
  <c r="T10" i="4"/>
  <c r="AQ10" i="4" s="1"/>
  <c r="T104" i="4"/>
  <c r="AQ104" i="4" s="1"/>
  <c r="T36" i="4"/>
  <c r="AQ36" i="4" s="1"/>
  <c r="T154" i="4"/>
  <c r="AQ154" i="4" s="1"/>
  <c r="T98" i="4"/>
  <c r="AQ98" i="4" s="1"/>
  <c r="T39" i="4"/>
  <c r="AQ39" i="4" s="1"/>
  <c r="T148" i="4"/>
  <c r="AQ148" i="4" s="1"/>
  <c r="T92" i="4"/>
  <c r="AQ92" i="4" s="1"/>
  <c r="T142" i="4"/>
  <c r="AQ142" i="4" s="1"/>
  <c r="T78" i="4"/>
  <c r="AQ78" i="4" s="1"/>
  <c r="T23" i="4"/>
  <c r="AQ23" i="4" s="1"/>
  <c r="T155" i="4"/>
  <c r="AQ155" i="4" s="1"/>
  <c r="T141" i="4"/>
  <c r="T125" i="4"/>
  <c r="AQ125" i="4" s="1"/>
  <c r="T109" i="4"/>
  <c r="AQ109" i="4" s="1"/>
  <c r="T95" i="4"/>
  <c r="AQ95" i="4" s="1"/>
  <c r="T83" i="4"/>
  <c r="AQ83" i="4" s="1"/>
  <c r="T67" i="4"/>
  <c r="AQ67" i="4" s="1"/>
  <c r="T53" i="4"/>
  <c r="AQ53" i="4" s="1"/>
  <c r="B11" i="5"/>
  <c r="T119" i="4"/>
  <c r="AQ119" i="4" s="1"/>
  <c r="T61" i="4"/>
  <c r="AQ61" i="4" s="1"/>
  <c r="T18" i="4"/>
  <c r="AQ18" i="4" s="1"/>
  <c r="T116" i="4"/>
  <c r="AQ116" i="4" s="1"/>
  <c r="T46" i="4"/>
  <c r="AQ46" i="4" s="1"/>
  <c r="T117" i="4"/>
  <c r="AQ117" i="4" s="1"/>
  <c r="T22" i="4"/>
  <c r="AQ22" i="4" s="1"/>
  <c r="B17" i="5"/>
  <c r="P15" i="5" s="1"/>
  <c r="T96" i="4"/>
  <c r="AQ96" i="4" s="1"/>
  <c r="T32" i="4"/>
  <c r="AQ32" i="4" s="1"/>
  <c r="T146" i="4"/>
  <c r="AQ146" i="4" s="1"/>
  <c r="T90" i="4"/>
  <c r="AQ90" i="4" s="1"/>
  <c r="T35" i="4"/>
  <c r="AQ35" i="4" s="1"/>
  <c r="T140" i="4"/>
  <c r="AQ140" i="4" s="1"/>
  <c r="T84" i="4"/>
  <c r="AQ84" i="4" s="1"/>
  <c r="T34" i="4"/>
  <c r="AQ34" i="4" s="1"/>
  <c r="T134" i="4"/>
  <c r="T70" i="4"/>
  <c r="AQ70" i="4" s="1"/>
  <c r="T153" i="4"/>
  <c r="AQ153" i="4" s="1"/>
  <c r="T139" i="4"/>
  <c r="AQ139" i="4" s="1"/>
  <c r="T123" i="4"/>
  <c r="AQ123" i="4" s="1"/>
  <c r="T107" i="4"/>
  <c r="AQ107" i="4" s="1"/>
  <c r="T81" i="4"/>
  <c r="AQ81" i="4" s="1"/>
  <c r="T65" i="4"/>
  <c r="AQ65" i="4" s="1"/>
  <c r="T51" i="4"/>
  <c r="AQ51" i="4" s="1"/>
  <c r="L126" i="2"/>
  <c r="K38" i="5"/>
  <c r="B24" i="5"/>
  <c r="R134" i="4"/>
  <c r="R96" i="4"/>
  <c r="R71" i="4"/>
  <c r="R20" i="4"/>
  <c r="AP109" i="4"/>
  <c r="AP59" i="4"/>
  <c r="AP25" i="4"/>
  <c r="B57" i="5"/>
  <c r="B62" i="5"/>
  <c r="AM272" i="5" s="1"/>
  <c r="R126" i="4"/>
  <c r="R77" i="4"/>
  <c r="R24" i="4"/>
  <c r="R39" i="4"/>
  <c r="AP45" i="4"/>
  <c r="AP104" i="4"/>
  <c r="R91" i="4"/>
  <c r="R69" i="4"/>
  <c r="R148" i="4"/>
  <c r="R21" i="4"/>
  <c r="AP37" i="4"/>
  <c r="AP111" i="4"/>
  <c r="R70" i="4"/>
  <c r="R12" i="4"/>
  <c r="R140" i="4"/>
  <c r="AP128" i="4"/>
  <c r="AP156" i="4"/>
  <c r="B42" i="2"/>
  <c r="B3" i="8"/>
  <c r="AP33" i="4"/>
  <c r="AP58" i="4"/>
  <c r="AP127" i="4"/>
  <c r="AP123" i="4"/>
  <c r="AP148" i="4"/>
  <c r="AP53" i="4"/>
  <c r="AP94" i="4"/>
  <c r="B199" i="2"/>
  <c r="AP81" i="4"/>
  <c r="AP74" i="4"/>
  <c r="AP120" i="4"/>
  <c r="AP20" i="4"/>
  <c r="AP15" i="4"/>
  <c r="AP117" i="4"/>
  <c r="AP142" i="4"/>
  <c r="AP89" i="4"/>
  <c r="AP130" i="4"/>
  <c r="AP11" i="4"/>
  <c r="AP28" i="4"/>
  <c r="AP64" i="4"/>
  <c r="AP133" i="4"/>
  <c r="AP150" i="4"/>
  <c r="AP97" i="4"/>
  <c r="AP138" i="4"/>
  <c r="AP43" i="4"/>
  <c r="AP36" i="4"/>
  <c r="AP88" i="4"/>
  <c r="AP14" i="4"/>
  <c r="AP7" i="4"/>
  <c r="AP153" i="4"/>
  <c r="AP154" i="4"/>
  <c r="AP51" i="4"/>
  <c r="AP92" i="4"/>
  <c r="AP144" i="4"/>
  <c r="AP22" i="4"/>
  <c r="AP32" i="4"/>
  <c r="R10" i="4"/>
  <c r="R135" i="4"/>
  <c r="AP110" i="4"/>
  <c r="AP100" i="4"/>
  <c r="AP26" i="4"/>
  <c r="AP86" i="4"/>
  <c r="AP139" i="4"/>
  <c r="AP10" i="4"/>
  <c r="R19" i="4"/>
  <c r="R30" i="4"/>
  <c r="R100" i="4"/>
  <c r="R14" i="4"/>
  <c r="R95" i="4"/>
  <c r="R9" i="4"/>
  <c r="R93" i="4"/>
  <c r="R157" i="4"/>
  <c r="R86" i="4"/>
  <c r="R150" i="4"/>
  <c r="B191" i="2"/>
  <c r="B192" i="2" s="1"/>
  <c r="B220" i="2" s="1"/>
  <c r="B221" i="2" s="1"/>
  <c r="R23" i="4"/>
  <c r="R44" i="4"/>
  <c r="R108" i="4"/>
  <c r="R38" i="4"/>
  <c r="R103" i="4"/>
  <c r="R18" i="4"/>
  <c r="R101" i="4"/>
  <c r="R22" i="4"/>
  <c r="R94" i="4"/>
  <c r="R8" i="4"/>
  <c r="R27" i="4"/>
  <c r="R52" i="4"/>
  <c r="R116" i="4"/>
  <c r="R47" i="4"/>
  <c r="R111" i="4"/>
  <c r="R45" i="4"/>
  <c r="R109" i="4"/>
  <c r="R40" i="4"/>
  <c r="R102" i="4"/>
  <c r="R35" i="4"/>
  <c r="R68" i="4"/>
  <c r="R132" i="4"/>
  <c r="R63" i="4"/>
  <c r="R127" i="4"/>
  <c r="R61" i="4"/>
  <c r="R125" i="4"/>
  <c r="R54" i="4"/>
  <c r="R118" i="4"/>
  <c r="R7" i="4"/>
  <c r="R37" i="4"/>
  <c r="R73" i="4"/>
  <c r="R137" i="4"/>
  <c r="R66" i="4"/>
  <c r="R130" i="4"/>
  <c r="R64" i="4"/>
  <c r="R128" i="4"/>
  <c r="R59" i="4"/>
  <c r="R123" i="4"/>
  <c r="B42" i="5"/>
  <c r="T64" i="5" s="1"/>
  <c r="B183" i="2"/>
  <c r="H61" i="1" s="1"/>
  <c r="B62" i="2"/>
  <c r="B66" i="2"/>
  <c r="Q51" i="1"/>
  <c r="B127" i="2"/>
  <c r="B141" i="2"/>
  <c r="K141" i="2" s="1"/>
  <c r="B254" i="2"/>
  <c r="B256" i="2" s="1"/>
  <c r="B163" i="2"/>
  <c r="H47" i="1" s="1"/>
  <c r="K8" i="2"/>
  <c r="B60" i="2"/>
  <c r="B58" i="2"/>
  <c r="B203" i="2"/>
  <c r="H57" i="1"/>
  <c r="B179" i="2" s="1"/>
  <c r="O7" i="5"/>
  <c r="B219" i="2"/>
  <c r="AQ121" i="4"/>
  <c r="B48" i="2"/>
  <c r="B50" i="2"/>
  <c r="B12" i="5"/>
  <c r="AP41" i="4"/>
  <c r="AP105" i="4"/>
  <c r="AP18" i="4"/>
  <c r="AP82" i="4"/>
  <c r="AP146" i="4"/>
  <c r="AP143" i="4"/>
  <c r="AP136" i="4"/>
  <c r="AP67" i="4"/>
  <c r="AP131" i="4"/>
  <c r="AP44" i="4"/>
  <c r="AP108" i="4"/>
  <c r="AP47" i="4"/>
  <c r="AP112" i="4"/>
  <c r="AP61" i="4"/>
  <c r="AP125" i="4"/>
  <c r="AP38" i="4"/>
  <c r="AP102" i="4"/>
  <c r="AP23" i="4"/>
  <c r="AP96" i="4"/>
  <c r="B48" i="5"/>
  <c r="B205" i="2"/>
  <c r="AP57" i="4"/>
  <c r="AP121" i="4"/>
  <c r="AP34" i="4"/>
  <c r="AP98" i="4"/>
  <c r="AP31" i="4"/>
  <c r="AP24" i="4"/>
  <c r="AP19" i="4"/>
  <c r="AP83" i="4"/>
  <c r="AP147" i="4"/>
  <c r="AP60" i="4"/>
  <c r="AP124" i="4"/>
  <c r="AP103" i="4"/>
  <c r="AP13" i="4"/>
  <c r="AP77" i="4"/>
  <c r="AP141" i="4"/>
  <c r="AP54" i="4"/>
  <c r="AP118" i="4"/>
  <c r="AP63" i="4"/>
  <c r="AP152" i="4"/>
  <c r="O15" i="4"/>
  <c r="K126" i="2"/>
  <c r="M8" i="4"/>
  <c r="AP65" i="4"/>
  <c r="AP129" i="4"/>
  <c r="AP42" i="4"/>
  <c r="AP106" i="4"/>
  <c r="AP55" i="4"/>
  <c r="AP48" i="4"/>
  <c r="AP27" i="4"/>
  <c r="AP91" i="4"/>
  <c r="AP155" i="4"/>
  <c r="AP68" i="4"/>
  <c r="AP132" i="4"/>
  <c r="AP135" i="4"/>
  <c r="AP21" i="4"/>
  <c r="AP85" i="4"/>
  <c r="AP149" i="4"/>
  <c r="AP62" i="4"/>
  <c r="AP126" i="4"/>
  <c r="AP95" i="4"/>
  <c r="J125" i="2"/>
  <c r="AP9" i="4"/>
  <c r="AP73" i="4"/>
  <c r="AP137" i="4"/>
  <c r="AP50" i="4"/>
  <c r="AP114" i="4"/>
  <c r="AP71" i="4"/>
  <c r="AP72" i="4"/>
  <c r="AP35" i="4"/>
  <c r="AP99" i="4"/>
  <c r="AP12" i="4"/>
  <c r="AP76" i="4"/>
  <c r="AP140" i="4"/>
  <c r="AP8" i="4"/>
  <c r="AP29" i="4"/>
  <c r="AP93" i="4"/>
  <c r="AP157" i="4"/>
  <c r="AP70" i="4"/>
  <c r="AP134" i="4"/>
  <c r="AP119" i="4"/>
  <c r="AP151" i="4"/>
  <c r="AP78" i="4"/>
  <c r="AP101" i="4"/>
  <c r="AP40" i="4"/>
  <c r="AP84" i="4"/>
  <c r="AP107" i="4"/>
  <c r="AP80" i="4"/>
  <c r="AP122" i="4"/>
  <c r="AP145" i="4"/>
  <c r="AP17" i="4"/>
  <c r="B39" i="2"/>
  <c r="H17" i="1" s="1"/>
  <c r="B189" i="2"/>
  <c r="P7" i="5" s="1"/>
  <c r="B197" i="2"/>
  <c r="B198" i="2" s="1"/>
  <c r="R25" i="4"/>
  <c r="R41" i="4"/>
  <c r="R49" i="4"/>
  <c r="R81" i="4"/>
  <c r="R113" i="4"/>
  <c r="R145" i="4"/>
  <c r="R42" i="4"/>
  <c r="R74" i="4"/>
  <c r="R106" i="4"/>
  <c r="R138" i="4"/>
  <c r="R32" i="4"/>
  <c r="R72" i="4"/>
  <c r="R104" i="4"/>
  <c r="R136" i="4"/>
  <c r="R26" i="4"/>
  <c r="R67" i="4"/>
  <c r="R99" i="4"/>
  <c r="R131" i="4"/>
  <c r="R13" i="4"/>
  <c r="B44" i="2"/>
  <c r="R29" i="4"/>
  <c r="R28" i="4"/>
  <c r="R57" i="4"/>
  <c r="R89" i="4"/>
  <c r="R121" i="4"/>
  <c r="R153" i="4"/>
  <c r="R50" i="4"/>
  <c r="R82" i="4"/>
  <c r="R114" i="4"/>
  <c r="R146" i="4"/>
  <c r="R48" i="4"/>
  <c r="R80" i="4"/>
  <c r="R112" i="4"/>
  <c r="R144" i="4"/>
  <c r="R43" i="4"/>
  <c r="R75" i="4"/>
  <c r="R107" i="4"/>
  <c r="R139" i="4"/>
  <c r="B52" i="2"/>
  <c r="B33" i="2" s="1"/>
  <c r="R15" i="4"/>
  <c r="R31" i="4"/>
  <c r="R36" i="4"/>
  <c r="R60" i="4"/>
  <c r="R92" i="4"/>
  <c r="R124" i="4"/>
  <c r="R156" i="4"/>
  <c r="R55" i="4"/>
  <c r="R87" i="4"/>
  <c r="R119" i="4"/>
  <c r="R151" i="4"/>
  <c r="R53" i="4"/>
  <c r="R85" i="4"/>
  <c r="R117" i="4"/>
  <c r="R149" i="4"/>
  <c r="R46" i="4"/>
  <c r="R78" i="4"/>
  <c r="R110" i="4"/>
  <c r="R142" i="4"/>
  <c r="B161" i="2"/>
  <c r="H45" i="1" s="1"/>
  <c r="B55" i="2"/>
  <c r="B68" i="2"/>
  <c r="R17" i="4"/>
  <c r="R33" i="4"/>
  <c r="R16" i="4"/>
  <c r="R65" i="4"/>
  <c r="R97" i="4"/>
  <c r="R129" i="4"/>
  <c r="R11" i="4"/>
  <c r="R58" i="4"/>
  <c r="R90" i="4"/>
  <c r="R122" i="4"/>
  <c r="R154" i="4"/>
  <c r="R56" i="4"/>
  <c r="R88" i="4"/>
  <c r="R120" i="4"/>
  <c r="R152" i="4"/>
  <c r="R51" i="4"/>
  <c r="R83" i="4"/>
  <c r="R115" i="4"/>
  <c r="R147" i="4"/>
  <c r="B185" i="2"/>
  <c r="J126" i="2"/>
  <c r="B29" i="5"/>
  <c r="B202" i="2"/>
  <c r="AQ79" i="4"/>
  <c r="AQ63" i="4"/>
  <c r="AP39" i="4"/>
  <c r="AP46" i="4"/>
  <c r="AP69" i="4"/>
  <c r="AP79" i="4"/>
  <c r="AP52" i="4"/>
  <c r="AP75" i="4"/>
  <c r="AP16" i="4"/>
  <c r="AP90" i="4"/>
  <c r="AP113" i="4"/>
  <c r="B4" i="8"/>
  <c r="B64" i="2"/>
  <c r="B46" i="2"/>
  <c r="B61" i="5"/>
  <c r="B171" i="2"/>
  <c r="H52" i="1" s="1"/>
  <c r="B173" i="2"/>
  <c r="B64" i="5"/>
  <c r="AJ64" i="5" s="1"/>
  <c r="AG234" i="5" l="1"/>
  <c r="AG437" i="5"/>
  <c r="AG348" i="5"/>
  <c r="AH348" i="5" s="1"/>
  <c r="AG318" i="5"/>
  <c r="AH318" i="5" s="1"/>
  <c r="AG556" i="5"/>
  <c r="AG218" i="5"/>
  <c r="AI218" i="5" s="1"/>
  <c r="AG91" i="5"/>
  <c r="AH91" i="5" s="1"/>
  <c r="AG300" i="5"/>
  <c r="AI300" i="5" s="1"/>
  <c r="AG338" i="5"/>
  <c r="AI338" i="5" s="1"/>
  <c r="AG267" i="5"/>
  <c r="AH267" i="5" s="1"/>
  <c r="AG117" i="5"/>
  <c r="AI117" i="5" s="1"/>
  <c r="AG478" i="5"/>
  <c r="AH478" i="5" s="1"/>
  <c r="AG484" i="5"/>
  <c r="AH484" i="5" s="1"/>
  <c r="AG486" i="5"/>
  <c r="AH486" i="5" s="1"/>
  <c r="AG426" i="5"/>
  <c r="AI426" i="5" s="1"/>
  <c r="AG419" i="5"/>
  <c r="AI419" i="5" s="1"/>
  <c r="AG152" i="5"/>
  <c r="AH152" i="5" s="1"/>
  <c r="AG34" i="5"/>
  <c r="AH34" i="5" s="1"/>
  <c r="AG229" i="5"/>
  <c r="AH229" i="5" s="1"/>
  <c r="AG327" i="5"/>
  <c r="AI327" i="5" s="1"/>
  <c r="AG29" i="5"/>
  <c r="AI29" i="5" s="1"/>
  <c r="AG164" i="5"/>
  <c r="AI164" i="5" s="1"/>
  <c r="AG335" i="5"/>
  <c r="AI335" i="5" s="1"/>
  <c r="AM486" i="5"/>
  <c r="AO486" i="5" s="1"/>
  <c r="AM234" i="5"/>
  <c r="AG460" i="5"/>
  <c r="AI460" i="5" s="1"/>
  <c r="AG351" i="5"/>
  <c r="AI351" i="5" s="1"/>
  <c r="AG473" i="5"/>
  <c r="AH473" i="5" s="1"/>
  <c r="AG530" i="5"/>
  <c r="AI530" i="5" s="1"/>
  <c r="AG189" i="5"/>
  <c r="AH189" i="5" s="1"/>
  <c r="AG548" i="5"/>
  <c r="AI548" i="5" s="1"/>
  <c r="AG232" i="5"/>
  <c r="AH232" i="5" s="1"/>
  <c r="AG88" i="5"/>
  <c r="AH88" i="5" s="1"/>
  <c r="AG380" i="5"/>
  <c r="AI380" i="5" s="1"/>
  <c r="AG441" i="5"/>
  <c r="AI441" i="5" s="1"/>
  <c r="AG80" i="5"/>
  <c r="AH80" i="5" s="1"/>
  <c r="AG521" i="5"/>
  <c r="AH521" i="5" s="1"/>
  <c r="AG494" i="5"/>
  <c r="AI494" i="5" s="1"/>
  <c r="AG138" i="5"/>
  <c r="AH138" i="5" s="1"/>
  <c r="AG474" i="5"/>
  <c r="AH474" i="5" s="1"/>
  <c r="AG240" i="5"/>
  <c r="AI240" i="5" s="1"/>
  <c r="AG36" i="5"/>
  <c r="AH36" i="5" s="1"/>
  <c r="AG200" i="5"/>
  <c r="AI200" i="5" s="1"/>
  <c r="AG154" i="5"/>
  <c r="AH154" i="5" s="1"/>
  <c r="AG360" i="5"/>
  <c r="AI360" i="5" s="1"/>
  <c r="AG81" i="5"/>
  <c r="AH81" i="5" s="1"/>
  <c r="AG404" i="5"/>
  <c r="AH404" i="5" s="1"/>
  <c r="AG69" i="5"/>
  <c r="AH69" i="5" s="1"/>
  <c r="AG326" i="5"/>
  <c r="AI326" i="5" s="1"/>
  <c r="AG233" i="5"/>
  <c r="AG176" i="5"/>
  <c r="AI176" i="5" s="1"/>
  <c r="AG44" i="5"/>
  <c r="AH44" i="5" s="1"/>
  <c r="AG535" i="5"/>
  <c r="AI535" i="5" s="1"/>
  <c r="AG162" i="5"/>
  <c r="AI162" i="5" s="1"/>
  <c r="AG522" i="5"/>
  <c r="AH522" i="5" s="1"/>
  <c r="AG212" i="5"/>
  <c r="AH212" i="5" s="1"/>
  <c r="AG121" i="5"/>
  <c r="AH121" i="5" s="1"/>
  <c r="AG184" i="5"/>
  <c r="AI184" i="5" s="1"/>
  <c r="AG526" i="5"/>
  <c r="AI526" i="5" s="1"/>
  <c r="AG457" i="5"/>
  <c r="AI457" i="5" s="1"/>
  <c r="AG527" i="5"/>
  <c r="AG461" i="5"/>
  <c r="AI461" i="5" s="1"/>
  <c r="AG149" i="5"/>
  <c r="AH149" i="5" s="1"/>
  <c r="AG341" i="5"/>
  <c r="AI341" i="5" s="1"/>
  <c r="AG381" i="5"/>
  <c r="AH381" i="5" s="1"/>
  <c r="AG540" i="5"/>
  <c r="AH540" i="5" s="1"/>
  <c r="AG140" i="5"/>
  <c r="AH140" i="5" s="1"/>
  <c r="AG436" i="5"/>
  <c r="AI436" i="5" s="1"/>
  <c r="AG93" i="5"/>
  <c r="AI93" i="5" s="1"/>
  <c r="AG175" i="5"/>
  <c r="AI175" i="5" s="1"/>
  <c r="AG56" i="5"/>
  <c r="AH56" i="5" s="1"/>
  <c r="AG361" i="5"/>
  <c r="AI361" i="5" s="1"/>
  <c r="AG456" i="5"/>
  <c r="AH456" i="5" s="1"/>
  <c r="AG389" i="5"/>
  <c r="AH389" i="5" s="1"/>
  <c r="AG178" i="5"/>
  <c r="AI178" i="5" s="1"/>
  <c r="AG210" i="5"/>
  <c r="AH210" i="5" s="1"/>
  <c r="AG333" i="5"/>
  <c r="AI333" i="5" s="1"/>
  <c r="AG506" i="5"/>
  <c r="AI506" i="5" s="1"/>
  <c r="AG158" i="5"/>
  <c r="AH158" i="5" s="1"/>
  <c r="AG378" i="5"/>
  <c r="AH378" i="5" s="1"/>
  <c r="AG42" i="5"/>
  <c r="AI42" i="5" s="1"/>
  <c r="AG553" i="5"/>
  <c r="AH553" i="5" s="1"/>
  <c r="AG199" i="5"/>
  <c r="AH199" i="5" s="1"/>
  <c r="AG64" i="5"/>
  <c r="AI64" i="5" s="1"/>
  <c r="AG472" i="5"/>
  <c r="AH472" i="5" s="1"/>
  <c r="AG220" i="5"/>
  <c r="AH220" i="5" s="1"/>
  <c r="AG491" i="5"/>
  <c r="AH491" i="5" s="1"/>
  <c r="AG560" i="5"/>
  <c r="AI560" i="5" s="1"/>
  <c r="AG397" i="5"/>
  <c r="AI397" i="5" s="1"/>
  <c r="AG428" i="5"/>
  <c r="AH428" i="5" s="1"/>
  <c r="AG321" i="5"/>
  <c r="AI321" i="5" s="1"/>
  <c r="AG127" i="5"/>
  <c r="AI127" i="5" s="1"/>
  <c r="AG353" i="5"/>
  <c r="AI353" i="5" s="1"/>
  <c r="AG25" i="5"/>
  <c r="AH25" i="5" s="1"/>
  <c r="AG552" i="5"/>
  <c r="AH552" i="5" s="1"/>
  <c r="AG70" i="5"/>
  <c r="AH70" i="5" s="1"/>
  <c r="AG314" i="5"/>
  <c r="AH314" i="5" s="1"/>
  <c r="AG226" i="5"/>
  <c r="AH226" i="5" s="1"/>
  <c r="AG477" i="5"/>
  <c r="AH477" i="5" s="1"/>
  <c r="AG134" i="5"/>
  <c r="AI134" i="5" s="1"/>
  <c r="AG281" i="5"/>
  <c r="AI281" i="5" s="1"/>
  <c r="AG38" i="5"/>
  <c r="AI38" i="5" s="1"/>
  <c r="AG533" i="5"/>
  <c r="AI533" i="5" s="1"/>
  <c r="AG23" i="5"/>
  <c r="AH23" i="5" s="1"/>
  <c r="AG328" i="5"/>
  <c r="AH328" i="5" s="1"/>
  <c r="AG28" i="5"/>
  <c r="AI28" i="5" s="1"/>
  <c r="AG320" i="5"/>
  <c r="AI320" i="5" s="1"/>
  <c r="AG303" i="5"/>
  <c r="AI303" i="5" s="1"/>
  <c r="AG46" i="5"/>
  <c r="AH46" i="5" s="1"/>
  <c r="AG74" i="5"/>
  <c r="AH74" i="5" s="1"/>
  <c r="AG395" i="5"/>
  <c r="AH395" i="5" s="1"/>
  <c r="AG311" i="5"/>
  <c r="AI311" i="5" s="1"/>
  <c r="AG518" i="5"/>
  <c r="AH518" i="5" s="1"/>
  <c r="AG515" i="5"/>
  <c r="AH515" i="5" s="1"/>
  <c r="AG131" i="5"/>
  <c r="AH131" i="5" s="1"/>
  <c r="AG359" i="5"/>
  <c r="AI359" i="5" s="1"/>
  <c r="AG377" i="5"/>
  <c r="AI377" i="5" s="1"/>
  <c r="AG400" i="5"/>
  <c r="AI400" i="5" s="1"/>
  <c r="AG102" i="5"/>
  <c r="AI102" i="5" s="1"/>
  <c r="AG246" i="5"/>
  <c r="AI246" i="5" s="1"/>
  <c r="AG259" i="5"/>
  <c r="AH259" i="5" s="1"/>
  <c r="AG211" i="5"/>
  <c r="AI211" i="5" s="1"/>
  <c r="AG387" i="5"/>
  <c r="AH387" i="5" s="1"/>
  <c r="AG434" i="5"/>
  <c r="AI434" i="5" s="1"/>
  <c r="AG260" i="5"/>
  <c r="AH260" i="5" s="1"/>
  <c r="AG37" i="5"/>
  <c r="AH37" i="5" s="1"/>
  <c r="AG340" i="5"/>
  <c r="AI340" i="5" s="1"/>
  <c r="AG190" i="5"/>
  <c r="AI190" i="5" s="1"/>
  <c r="AG302" i="5"/>
  <c r="AH302" i="5" s="1"/>
  <c r="AG394" i="5"/>
  <c r="AI394" i="5" s="1"/>
  <c r="AG126" i="5"/>
  <c r="AH126" i="5" s="1"/>
  <c r="AG418" i="5"/>
  <c r="AH418" i="5" s="1"/>
  <c r="AG244" i="5"/>
  <c r="AH244" i="5" s="1"/>
  <c r="AG544" i="5"/>
  <c r="AI544" i="5" s="1"/>
  <c r="AG370" i="5"/>
  <c r="AI370" i="5" s="1"/>
  <c r="AG316" i="5"/>
  <c r="AH316" i="5" s="1"/>
  <c r="AG130" i="5"/>
  <c r="AH130" i="5" s="1"/>
  <c r="AG447" i="5"/>
  <c r="AI447" i="5" s="1"/>
  <c r="AG255" i="5"/>
  <c r="AI255" i="5" s="1"/>
  <c r="AG47" i="5"/>
  <c r="AI47" i="5" s="1"/>
  <c r="AG280" i="5"/>
  <c r="AH280" i="5" s="1"/>
  <c r="AG519" i="5"/>
  <c r="AI519" i="5" s="1"/>
  <c r="AG408" i="5"/>
  <c r="AI408" i="5" s="1"/>
  <c r="AG501" i="5"/>
  <c r="AI501" i="5" s="1"/>
  <c r="AG196" i="5"/>
  <c r="AH196" i="5" s="1"/>
  <c r="AG355" i="5"/>
  <c r="AH355" i="5" s="1"/>
  <c r="AG278" i="5"/>
  <c r="AH278" i="5" s="1"/>
  <c r="AG412" i="5"/>
  <c r="AI412" i="5" s="1"/>
  <c r="AG524" i="5"/>
  <c r="AI524" i="5" s="1"/>
  <c r="AG109" i="5"/>
  <c r="AH109" i="5" s="1"/>
  <c r="AG285" i="5"/>
  <c r="AH285" i="5" s="1"/>
  <c r="AG516" i="5"/>
  <c r="AH516" i="5" s="1"/>
  <c r="AG133" i="5"/>
  <c r="AI133" i="5" s="1"/>
  <c r="AG439" i="5"/>
  <c r="AH439" i="5" s="1"/>
  <c r="AG96" i="5"/>
  <c r="AI96" i="5" s="1"/>
  <c r="AG291" i="5"/>
  <c r="AH291" i="5" s="1"/>
  <c r="AG257" i="5"/>
  <c r="AI257" i="5" s="1"/>
  <c r="AG305" i="5"/>
  <c r="AI305" i="5" s="1"/>
  <c r="AG294" i="5"/>
  <c r="AI294" i="5" s="1"/>
  <c r="AG245" i="5"/>
  <c r="AH245" i="5" s="1"/>
  <c r="AG30" i="5"/>
  <c r="AH30" i="5" s="1"/>
  <c r="AG262" i="5"/>
  <c r="AI262" i="5" s="1"/>
  <c r="AG182" i="5"/>
  <c r="AI182" i="5" s="1"/>
  <c r="AG458" i="5"/>
  <c r="AI458" i="5" s="1"/>
  <c r="AG205" i="5"/>
  <c r="AI205" i="5" s="1"/>
  <c r="AG77" i="5"/>
  <c r="AH77" i="5" s="1"/>
  <c r="AG405" i="5"/>
  <c r="AH405" i="5" s="1"/>
  <c r="AG258" i="5"/>
  <c r="AI258" i="5" s="1"/>
  <c r="AG449" i="5"/>
  <c r="AI449" i="5" s="1"/>
  <c r="AG417" i="5"/>
  <c r="AI417" i="5" s="1"/>
  <c r="AG286" i="5"/>
  <c r="AH286" i="5" s="1"/>
  <c r="AG92" i="5"/>
  <c r="AH92" i="5" s="1"/>
  <c r="AG455" i="5"/>
  <c r="AH455" i="5" s="1"/>
  <c r="AG287" i="5"/>
  <c r="AI287" i="5" s="1"/>
  <c r="AG103" i="5"/>
  <c r="AI103" i="5" s="1"/>
  <c r="AG488" i="5"/>
  <c r="AH488" i="5" s="1"/>
  <c r="AG144" i="5"/>
  <c r="AI144" i="5" s="1"/>
  <c r="AG459" i="5"/>
  <c r="AI459" i="5" s="1"/>
  <c r="AG554" i="5"/>
  <c r="AH554" i="5" s="1"/>
  <c r="AG416" i="5"/>
  <c r="AH416" i="5" s="1"/>
  <c r="AG59" i="5"/>
  <c r="AH59" i="5" s="1"/>
  <c r="AG505" i="5"/>
  <c r="AI505" i="5" s="1"/>
  <c r="AG114" i="5"/>
  <c r="AI114" i="5" s="1"/>
  <c r="AG99" i="5"/>
  <c r="AH99" i="5" s="1"/>
  <c r="AG462" i="5"/>
  <c r="AH462" i="5" s="1"/>
  <c r="AG58" i="5"/>
  <c r="AI58" i="5" s="1"/>
  <c r="AG221" i="5"/>
  <c r="AH221" i="5" s="1"/>
  <c r="AG420" i="5"/>
  <c r="AI420" i="5" s="1"/>
  <c r="AG452" i="5"/>
  <c r="AI452" i="5" s="1"/>
  <c r="AG45" i="5"/>
  <c r="AH45" i="5" s="1"/>
  <c r="AG237" i="5"/>
  <c r="AI237" i="5" s="1"/>
  <c r="AG31" i="5"/>
  <c r="AI31" i="5" s="1"/>
  <c r="AG264" i="5"/>
  <c r="AH264" i="5" s="1"/>
  <c r="AG379" i="5"/>
  <c r="AI379" i="5" s="1"/>
  <c r="AG283" i="5"/>
  <c r="AI283" i="5" s="1"/>
  <c r="AG499" i="5"/>
  <c r="AH499" i="5" s="1"/>
  <c r="AG466" i="5"/>
  <c r="AI466" i="5" s="1"/>
  <c r="AG194" i="5"/>
  <c r="AI194" i="5" s="1"/>
  <c r="AG558" i="5"/>
  <c r="AI558" i="5" s="1"/>
  <c r="AG421" i="5"/>
  <c r="AI421" i="5" s="1"/>
  <c r="AG78" i="5"/>
  <c r="AH78" i="5" s="1"/>
  <c r="AG422" i="5"/>
  <c r="AH422" i="5" s="1"/>
  <c r="AG238" i="5"/>
  <c r="AI238" i="5" s="1"/>
  <c r="AG22" i="5"/>
  <c r="AH22" i="5" s="1"/>
  <c r="AG372" i="5"/>
  <c r="AI372" i="5" s="1"/>
  <c r="AG252" i="5"/>
  <c r="AH252" i="5" s="1"/>
  <c r="AG523" i="5"/>
  <c r="AI523" i="5" s="1"/>
  <c r="AG396" i="5"/>
  <c r="AI396" i="5" s="1"/>
  <c r="AG250" i="5"/>
  <c r="AH250" i="5" s="1"/>
  <c r="AG89" i="5"/>
  <c r="AI89" i="5" s="1"/>
  <c r="AG463" i="5"/>
  <c r="AI463" i="5" s="1"/>
  <c r="AG219" i="5"/>
  <c r="AI219" i="5" s="1"/>
  <c r="AG496" i="5"/>
  <c r="AH496" i="5" s="1"/>
  <c r="AG160" i="5"/>
  <c r="AH160" i="5" s="1"/>
  <c r="AG483" i="5"/>
  <c r="AI483" i="5" s="1"/>
  <c r="AG546" i="5"/>
  <c r="AI546" i="5" s="1"/>
  <c r="AG224" i="5"/>
  <c r="AH224" i="5" s="1"/>
  <c r="AG145" i="5"/>
  <c r="AI145" i="5" s="1"/>
  <c r="AG509" i="5"/>
  <c r="AH509" i="5" s="1"/>
  <c r="AG559" i="5"/>
  <c r="AH559" i="5" s="1"/>
  <c r="AG512" i="5"/>
  <c r="AI512" i="5" s="1"/>
  <c r="AG128" i="5"/>
  <c r="AI128" i="5" s="1"/>
  <c r="AG72" i="5"/>
  <c r="AH72" i="5" s="1"/>
  <c r="AG513" i="5"/>
  <c r="AI513" i="5" s="1"/>
  <c r="AG507" i="5"/>
  <c r="AH507" i="5" s="1"/>
  <c r="AG538" i="5"/>
  <c r="AI538" i="5" s="1"/>
  <c r="AG376" i="5"/>
  <c r="AI376" i="5" s="1"/>
  <c r="AG168" i="5"/>
  <c r="AH168" i="5" s="1"/>
  <c r="AG98" i="5"/>
  <c r="AH98" i="5" s="1"/>
  <c r="AG71" i="5"/>
  <c r="AG427" i="5"/>
  <c r="AH427" i="5" s="1"/>
  <c r="AG367" i="5"/>
  <c r="AI367" i="5" s="1"/>
  <c r="AG207" i="5"/>
  <c r="AH207" i="5" s="1"/>
  <c r="AG236" i="5"/>
  <c r="AI236" i="5" s="1"/>
  <c r="AG511" i="5"/>
  <c r="AH511" i="5" s="1"/>
  <c r="AG256" i="5"/>
  <c r="AI256" i="5" s="1"/>
  <c r="AG48" i="5"/>
  <c r="AH48" i="5" s="1"/>
  <c r="AG443" i="5"/>
  <c r="AI443" i="5" s="1"/>
  <c r="AG480" i="5"/>
  <c r="AI480" i="5" s="1"/>
  <c r="AG120" i="5"/>
  <c r="AI120" i="5" s="1"/>
  <c r="AG195" i="5"/>
  <c r="AH195" i="5" s="1"/>
  <c r="AG343" i="5"/>
  <c r="AH343" i="5" s="1"/>
  <c r="AG411" i="5"/>
  <c r="AI411" i="5" s="1"/>
  <c r="AG504" i="5"/>
  <c r="AI504" i="5" s="1"/>
  <c r="AG136" i="5"/>
  <c r="AH136" i="5" s="1"/>
  <c r="AG297" i="5"/>
  <c r="AI297" i="5" s="1"/>
  <c r="AG63" i="5"/>
  <c r="AH63" i="5" s="1"/>
  <c r="AG107" i="5"/>
  <c r="AI107" i="5" s="1"/>
  <c r="AG465" i="5"/>
  <c r="AI465" i="5" s="1"/>
  <c r="AG481" i="5"/>
  <c r="AI481" i="5" s="1"/>
  <c r="AG206" i="5"/>
  <c r="AH206" i="5" s="1"/>
  <c r="AG85" i="5"/>
  <c r="AI85" i="5" s="1"/>
  <c r="AG151" i="5"/>
  <c r="AI151" i="5" s="1"/>
  <c r="AG169" i="5"/>
  <c r="AH169" i="5" s="1"/>
  <c r="AG334" i="5"/>
  <c r="AI334" i="5" s="1"/>
  <c r="AG123" i="5"/>
  <c r="AH123" i="5" s="1"/>
  <c r="AG83" i="5"/>
  <c r="AG514" i="5"/>
  <c r="AI514" i="5" s="1"/>
  <c r="AG106" i="5"/>
  <c r="AH106" i="5" s="1"/>
  <c r="AG230" i="5"/>
  <c r="AI230" i="5" s="1"/>
  <c r="AG295" i="5"/>
  <c r="AI295" i="5" s="1"/>
  <c r="AG177" i="5"/>
  <c r="AI177" i="5" s="1"/>
  <c r="AG502" i="5"/>
  <c r="AI502" i="5" s="1"/>
  <c r="AG249" i="5"/>
  <c r="AH249" i="5" s="1"/>
  <c r="AG50" i="5"/>
  <c r="AH50" i="5" s="1"/>
  <c r="AG156" i="5"/>
  <c r="AH156" i="5" s="1"/>
  <c r="AG179" i="5"/>
  <c r="AI179" i="5" s="1"/>
  <c r="AG429" i="5"/>
  <c r="AI429" i="5" s="1"/>
  <c r="AG282" i="5"/>
  <c r="AG105" i="5"/>
  <c r="AH105" i="5" s="1"/>
  <c r="AG490" i="5"/>
  <c r="AI490" i="5" s="1"/>
  <c r="AG366" i="5"/>
  <c r="AH366" i="5" s="1"/>
  <c r="AG73" i="5"/>
  <c r="AH73" i="5" s="1"/>
  <c r="AG265" i="5"/>
  <c r="AH265" i="5" s="1"/>
  <c r="AG155" i="5"/>
  <c r="AI155" i="5" s="1"/>
  <c r="AG391" i="5"/>
  <c r="AI391" i="5" s="1"/>
  <c r="AG471" i="5"/>
  <c r="AH471" i="5" s="1"/>
  <c r="T65" i="5"/>
  <c r="T308" i="5"/>
  <c r="AM498" i="5"/>
  <c r="AO498" i="5" s="1"/>
  <c r="AM530" i="5"/>
  <c r="AO530" i="5" s="1"/>
  <c r="AM395" i="5"/>
  <c r="AO395" i="5" s="1"/>
  <c r="AM445" i="5"/>
  <c r="AN445" i="5" s="1"/>
  <c r="AM540" i="5"/>
  <c r="AN540" i="5" s="1"/>
  <c r="AM362" i="5"/>
  <c r="AN362" i="5" s="1"/>
  <c r="AM135" i="5"/>
  <c r="AN135" i="5" s="1"/>
  <c r="AG299" i="5"/>
  <c r="AH299" i="5" s="1"/>
  <c r="AG97" i="5"/>
  <c r="AI97" i="5" s="1"/>
  <c r="AG497" i="5"/>
  <c r="AH497" i="5" s="1"/>
  <c r="AI515" i="5"/>
  <c r="AG476" i="5"/>
  <c r="AI476" i="5" s="1"/>
  <c r="AG202" i="5"/>
  <c r="AH202" i="5" s="1"/>
  <c r="AG214" i="5"/>
  <c r="AH214" i="5" s="1"/>
  <c r="AG146" i="5"/>
  <c r="AI146" i="5" s="1"/>
  <c r="AG454" i="5"/>
  <c r="AH454" i="5" s="1"/>
  <c r="AG402" i="5"/>
  <c r="AI402" i="5" s="1"/>
  <c r="AG356" i="5"/>
  <c r="AH356" i="5" s="1"/>
  <c r="AG118" i="5"/>
  <c r="AI118" i="5" s="1"/>
  <c r="AG365" i="5"/>
  <c r="AH365" i="5" s="1"/>
  <c r="AG493" i="5"/>
  <c r="AI493" i="5" s="1"/>
  <c r="AG330" i="5"/>
  <c r="AH330" i="5" s="1"/>
  <c r="AG157" i="5"/>
  <c r="AI157" i="5" s="1"/>
  <c r="AG20" i="5"/>
  <c r="AH20" i="5" s="1"/>
  <c r="AG517" i="5"/>
  <c r="AI517" i="5" s="1"/>
  <c r="AG406" i="5"/>
  <c r="AI406" i="5" s="1"/>
  <c r="AG332" i="5"/>
  <c r="AI332" i="5" s="1"/>
  <c r="AG101" i="5"/>
  <c r="AI101" i="5" s="1"/>
  <c r="AG536" i="5"/>
  <c r="AI536" i="5" s="1"/>
  <c r="AG510" i="5"/>
  <c r="AI510" i="5" s="1"/>
  <c r="AG284" i="5"/>
  <c r="AI284" i="5" s="1"/>
  <c r="AG324" i="5"/>
  <c r="AI324" i="5" s="1"/>
  <c r="AG165" i="5"/>
  <c r="AH165" i="5" s="1"/>
  <c r="AG66" i="5"/>
  <c r="AH66" i="5" s="1"/>
  <c r="AM370" i="5"/>
  <c r="AO370" i="5" s="1"/>
  <c r="AM253" i="5"/>
  <c r="AO253" i="5" s="1"/>
  <c r="AG545" i="5"/>
  <c r="AH545" i="5" s="1"/>
  <c r="AG487" i="5"/>
  <c r="AH487" i="5" s="1"/>
  <c r="AG383" i="5"/>
  <c r="AH383" i="5" s="1"/>
  <c r="AG135" i="5"/>
  <c r="AI135" i="5" s="1"/>
  <c r="AG55" i="5"/>
  <c r="AI55" i="5" s="1"/>
  <c r="AG432" i="5"/>
  <c r="AI432" i="5" s="1"/>
  <c r="AG368" i="5"/>
  <c r="AI368" i="5" s="1"/>
  <c r="AG296" i="5"/>
  <c r="AI296" i="5" s="1"/>
  <c r="AG192" i="5"/>
  <c r="AI192" i="5" s="1"/>
  <c r="AG104" i="5"/>
  <c r="AI104" i="5" s="1"/>
  <c r="AG409" i="5"/>
  <c r="AI409" i="5" s="1"/>
  <c r="AG347" i="5"/>
  <c r="AI347" i="5" s="1"/>
  <c r="AG503" i="5"/>
  <c r="AG534" i="5"/>
  <c r="AH534" i="5" s="1"/>
  <c r="AG336" i="5"/>
  <c r="AH336" i="5" s="1"/>
  <c r="AG248" i="5"/>
  <c r="AH248" i="5" s="1"/>
  <c r="AG208" i="5"/>
  <c r="AI208" i="5" s="1"/>
  <c r="AG185" i="5"/>
  <c r="AI185" i="5" s="1"/>
  <c r="AG228" i="5"/>
  <c r="AI228" i="5" s="1"/>
  <c r="AG482" i="5"/>
  <c r="AH482" i="5" s="1"/>
  <c r="AG322" i="5"/>
  <c r="AG315" i="5"/>
  <c r="AI315" i="5" s="1"/>
  <c r="AG188" i="5"/>
  <c r="AI188" i="5" s="1"/>
  <c r="AG61" i="5"/>
  <c r="AG357" i="5"/>
  <c r="AH357" i="5" s="1"/>
  <c r="AG253" i="5"/>
  <c r="AH253" i="5" s="1"/>
  <c r="AG183" i="5"/>
  <c r="AI183" i="5" s="1"/>
  <c r="AG537" i="5"/>
  <c r="AI537" i="5" s="1"/>
  <c r="AG414" i="5"/>
  <c r="AM482" i="5"/>
  <c r="AN482" i="5" s="1"/>
  <c r="AG129" i="5"/>
  <c r="AI129" i="5" s="1"/>
  <c r="AM115" i="5"/>
  <c r="AN115" i="5" s="1"/>
  <c r="AG451" i="5"/>
  <c r="AI451" i="5" s="1"/>
  <c r="AG113" i="5"/>
  <c r="AI113" i="5" s="1"/>
  <c r="AG363" i="5"/>
  <c r="AH363" i="5" s="1"/>
  <c r="AG531" i="5"/>
  <c r="AI531" i="5" s="1"/>
  <c r="AG398" i="5"/>
  <c r="AH398" i="5" s="1"/>
  <c r="AG222" i="5"/>
  <c r="AI222" i="5" s="1"/>
  <c r="AG148" i="5"/>
  <c r="AI148" i="5" s="1"/>
  <c r="AG444" i="5"/>
  <c r="AI444" i="5" s="1"/>
  <c r="AG410" i="5"/>
  <c r="AI410" i="5" s="1"/>
  <c r="AG261" i="5"/>
  <c r="AI261" i="5" s="1"/>
  <c r="AG142" i="5"/>
  <c r="AI142" i="5" s="1"/>
  <c r="AG520" i="5"/>
  <c r="AH520" i="5" s="1"/>
  <c r="AG450" i="5"/>
  <c r="AI450" i="5" s="1"/>
  <c r="AG354" i="5"/>
  <c r="AH354" i="5" s="1"/>
  <c r="AG181" i="5"/>
  <c r="AH181" i="5" s="1"/>
  <c r="AG21" i="5"/>
  <c r="AH21" i="5" s="1"/>
  <c r="AG485" i="5"/>
  <c r="AI485" i="5" s="1"/>
  <c r="AG382" i="5"/>
  <c r="AI382" i="5" s="1"/>
  <c r="AG306" i="5"/>
  <c r="AI306" i="5" s="1"/>
  <c r="AG94" i="5"/>
  <c r="AI94" i="5" s="1"/>
  <c r="AG542" i="5"/>
  <c r="AI542" i="5" s="1"/>
  <c r="AG438" i="5"/>
  <c r="AH438" i="5" s="1"/>
  <c r="AG345" i="5"/>
  <c r="AI345" i="5" s="1"/>
  <c r="AG301" i="5"/>
  <c r="AI301" i="5" s="1"/>
  <c r="AG153" i="5"/>
  <c r="AI153" i="5" s="1"/>
  <c r="AG65" i="5"/>
  <c r="AI65" i="5" s="1"/>
  <c r="AM189" i="5"/>
  <c r="AO189" i="5" s="1"/>
  <c r="AM93" i="5"/>
  <c r="AO93" i="5" s="1"/>
  <c r="AG525" i="5"/>
  <c r="AH525" i="5" s="1"/>
  <c r="AG495" i="5"/>
  <c r="AI495" i="5" s="1"/>
  <c r="AG223" i="5"/>
  <c r="AI223" i="5" s="1"/>
  <c r="AG143" i="5"/>
  <c r="AH143" i="5" s="1"/>
  <c r="AG79" i="5"/>
  <c r="AH79" i="5" s="1"/>
  <c r="AG448" i="5"/>
  <c r="AH448" i="5" s="1"/>
  <c r="AG384" i="5"/>
  <c r="AH384" i="5" s="1"/>
  <c r="AG304" i="5"/>
  <c r="AI304" i="5" s="1"/>
  <c r="AG216" i="5"/>
  <c r="AH216" i="5" s="1"/>
  <c r="AG112" i="5"/>
  <c r="AH112" i="5" s="1"/>
  <c r="AG547" i="5"/>
  <c r="AH547" i="5" s="1"/>
  <c r="AG549" i="5"/>
  <c r="AI549" i="5" s="1"/>
  <c r="AG403" i="5"/>
  <c r="AI403" i="5" s="1"/>
  <c r="AG375" i="5"/>
  <c r="AH375" i="5" s="1"/>
  <c r="AG424" i="5"/>
  <c r="AI424" i="5" s="1"/>
  <c r="AG344" i="5"/>
  <c r="AI344" i="5" s="1"/>
  <c r="AG272" i="5"/>
  <c r="AG32" i="5"/>
  <c r="AI32" i="5" s="1"/>
  <c r="AG193" i="5"/>
  <c r="AI193" i="5" s="1"/>
  <c r="AG309" i="5"/>
  <c r="AI309" i="5" s="1"/>
  <c r="AG308" i="5"/>
  <c r="AH308" i="5" s="1"/>
  <c r="AG139" i="5"/>
  <c r="AH139" i="5" s="1"/>
  <c r="AG254" i="5"/>
  <c r="AH254" i="5" s="1"/>
  <c r="AG76" i="5"/>
  <c r="AI76" i="5" s="1"/>
  <c r="AG423" i="5"/>
  <c r="AH423" i="5" s="1"/>
  <c r="AG349" i="5"/>
  <c r="AI349" i="5" s="1"/>
  <c r="AG167" i="5"/>
  <c r="AH167" i="5" s="1"/>
  <c r="AG39" i="5"/>
  <c r="AH39" i="5" s="1"/>
  <c r="AG489" i="5"/>
  <c r="AH489" i="5" s="1"/>
  <c r="AM251" i="5"/>
  <c r="AO251" i="5" s="1"/>
  <c r="AM365" i="5"/>
  <c r="AN365" i="5" s="1"/>
  <c r="AM105" i="5"/>
  <c r="AO105" i="5" s="1"/>
  <c r="AM459" i="5"/>
  <c r="AN459" i="5" s="1"/>
  <c r="AM258" i="5"/>
  <c r="AN258" i="5" s="1"/>
  <c r="AM519" i="5"/>
  <c r="AN519" i="5" s="1"/>
  <c r="AM476" i="5"/>
  <c r="AO476" i="5" s="1"/>
  <c r="AG51" i="5"/>
  <c r="AH51" i="5" s="1"/>
  <c r="AG217" i="5"/>
  <c r="AI217" i="5" s="1"/>
  <c r="AM235" i="5"/>
  <c r="AN235" i="5" s="1"/>
  <c r="AG337" i="5"/>
  <c r="AI337" i="5" s="1"/>
  <c r="AG119" i="5"/>
  <c r="AH119" i="5" s="1"/>
  <c r="AG557" i="5"/>
  <c r="AH557" i="5" s="1"/>
  <c r="AG498" i="5"/>
  <c r="AI498" i="5" s="1"/>
  <c r="AG364" i="5"/>
  <c r="AI364" i="5" s="1"/>
  <c r="AG166" i="5"/>
  <c r="AI166" i="5" s="1"/>
  <c r="AG82" i="5"/>
  <c r="AI82" i="5" s="1"/>
  <c r="AG528" i="5"/>
  <c r="AH528" i="5" s="1"/>
  <c r="AG386" i="5"/>
  <c r="AI386" i="5" s="1"/>
  <c r="AG276" i="5"/>
  <c r="AH276" i="5" s="1"/>
  <c r="AG141" i="5"/>
  <c r="AH141" i="5" s="1"/>
  <c r="AG551" i="5"/>
  <c r="AI551" i="5" s="1"/>
  <c r="AG390" i="5"/>
  <c r="AI390" i="5" s="1"/>
  <c r="AG270" i="5"/>
  <c r="AH270" i="5" s="1"/>
  <c r="AG173" i="5"/>
  <c r="AH173" i="5" s="1"/>
  <c r="AG470" i="5"/>
  <c r="AH470" i="5" s="1"/>
  <c r="AG350" i="5"/>
  <c r="AI350" i="5" s="1"/>
  <c r="AG290" i="5"/>
  <c r="AH290" i="5" s="1"/>
  <c r="AG274" i="5"/>
  <c r="AI274" i="5" s="1"/>
  <c r="AG26" i="5"/>
  <c r="AI26" i="5" s="1"/>
  <c r="AG492" i="5"/>
  <c r="AI492" i="5" s="1"/>
  <c r="AG346" i="5"/>
  <c r="AI346" i="5" s="1"/>
  <c r="AG313" i="5"/>
  <c r="AI313" i="5" s="1"/>
  <c r="AG273" i="5"/>
  <c r="AH273" i="5" s="1"/>
  <c r="AG110" i="5"/>
  <c r="AH110" i="5" s="1"/>
  <c r="AG54" i="5"/>
  <c r="AH54" i="5" s="1"/>
  <c r="AM66" i="5"/>
  <c r="AO66" i="5" s="1"/>
  <c r="AM508" i="5"/>
  <c r="AO508" i="5" s="1"/>
  <c r="AM525" i="5"/>
  <c r="AO525" i="5" s="1"/>
  <c r="AG239" i="5"/>
  <c r="AH239" i="5" s="1"/>
  <c r="AG159" i="5"/>
  <c r="AI159" i="5" s="1"/>
  <c r="AG87" i="5"/>
  <c r="AH87" i="5" s="1"/>
  <c r="AG464" i="5"/>
  <c r="AH464" i="5" s="1"/>
  <c r="AG392" i="5"/>
  <c r="AI392" i="5" s="1"/>
  <c r="AG312" i="5"/>
  <c r="AH312" i="5" s="1"/>
  <c r="AG24" i="5"/>
  <c r="AI24" i="5" s="1"/>
  <c r="AG8" i="5"/>
  <c r="AH8" i="5" s="1"/>
  <c r="AG425" i="5"/>
  <c r="AH425" i="5" s="1"/>
  <c r="AG529" i="5"/>
  <c r="AG319" i="5"/>
  <c r="AI319" i="5" s="1"/>
  <c r="AG19" i="5"/>
  <c r="AI19" i="5" s="1"/>
  <c r="AG440" i="5"/>
  <c r="AH440" i="5" s="1"/>
  <c r="AG352" i="5"/>
  <c r="AI352" i="5" s="1"/>
  <c r="AG288" i="5"/>
  <c r="AH288" i="5" s="1"/>
  <c r="AG40" i="5"/>
  <c r="AH40" i="5" s="1"/>
  <c r="AG57" i="5"/>
  <c r="AI57" i="5" s="1"/>
  <c r="AG292" i="5"/>
  <c r="AI292" i="5" s="1"/>
  <c r="AG49" i="5"/>
  <c r="AH49" i="5" s="1"/>
  <c r="AG307" i="5"/>
  <c r="AH307" i="5" s="1"/>
  <c r="AG187" i="5"/>
  <c r="AH187" i="5" s="1"/>
  <c r="AG203" i="5"/>
  <c r="AH203" i="5" s="1"/>
  <c r="AG108" i="5"/>
  <c r="AH108" i="5" s="1"/>
  <c r="AG550" i="5"/>
  <c r="AH550" i="5" s="1"/>
  <c r="AG415" i="5"/>
  <c r="AH415" i="5" s="1"/>
  <c r="AG247" i="5"/>
  <c r="AG68" i="5"/>
  <c r="AG475" i="5"/>
  <c r="T31" i="5"/>
  <c r="T73" i="5"/>
  <c r="T75" i="5"/>
  <c r="V75" i="5" s="1"/>
  <c r="B31" i="2"/>
  <c r="AJ187" i="5"/>
  <c r="AL187" i="5" s="1"/>
  <c r="AJ307" i="5"/>
  <c r="AK307" i="5" s="1"/>
  <c r="AG508" i="5"/>
  <c r="AH508" i="5" s="1"/>
  <c r="AG275" i="5"/>
  <c r="AH275" i="5" s="1"/>
  <c r="AG75" i="5"/>
  <c r="AH75" i="5" s="1"/>
  <c r="AG198" i="5"/>
  <c r="AH198" i="5" s="1"/>
  <c r="AG339" i="5"/>
  <c r="AI339" i="5" s="1"/>
  <c r="AG116" i="5"/>
  <c r="AH116" i="5" s="1"/>
  <c r="AG213" i="5"/>
  <c r="AH213" i="5" s="1"/>
  <c r="AG445" i="5"/>
  <c r="AH445" i="5" s="1"/>
  <c r="AG86" i="5"/>
  <c r="AH86" i="5" s="1"/>
  <c r="AG266" i="5"/>
  <c r="AI266" i="5" s="1"/>
  <c r="AG453" i="5"/>
  <c r="AH453" i="5" s="1"/>
  <c r="AG122" i="5"/>
  <c r="AI122" i="5" s="1"/>
  <c r="AG174" i="5"/>
  <c r="AH174" i="5" s="1"/>
  <c r="AG555" i="5"/>
  <c r="AH555" i="5" s="1"/>
  <c r="AG172" i="5"/>
  <c r="AH172" i="5" s="1"/>
  <c r="AG393" i="5"/>
  <c r="AI393" i="5" s="1"/>
  <c r="AI74" i="5"/>
  <c r="AJ283" i="5"/>
  <c r="AK283" i="5" s="1"/>
  <c r="AJ521" i="5"/>
  <c r="AL521" i="5" s="1"/>
  <c r="T51" i="5"/>
  <c r="V51" i="5" s="1"/>
  <c r="AM285" i="5"/>
  <c r="AN285" i="5" s="1"/>
  <c r="AM133" i="5"/>
  <c r="AN133" i="5" s="1"/>
  <c r="AM332" i="5"/>
  <c r="AO332" i="5" s="1"/>
  <c r="AG201" i="5"/>
  <c r="AI201" i="5" s="1"/>
  <c r="AG84" i="5"/>
  <c r="AG310" i="5"/>
  <c r="AH310" i="5" s="1"/>
  <c r="AG358" i="5"/>
  <c r="AI358" i="5" s="1"/>
  <c r="AG163" i="5"/>
  <c r="AG268" i="5"/>
  <c r="AG235" i="5"/>
  <c r="AI235" i="5" s="1"/>
  <c r="AG27" i="5"/>
  <c r="AI27" i="5" s="1"/>
  <c r="AG124" i="5"/>
  <c r="AG323" i="5"/>
  <c r="AI323" i="5" s="1"/>
  <c r="AG539" i="5"/>
  <c r="AH539" i="5" s="1"/>
  <c r="AG171" i="5"/>
  <c r="AI171" i="5" s="1"/>
  <c r="AG401" i="5"/>
  <c r="AH401" i="5" s="1"/>
  <c r="AG467" i="5"/>
  <c r="AH467" i="5" s="1"/>
  <c r="AG227" i="5"/>
  <c r="AH227" i="5" s="1"/>
  <c r="AG385" i="5"/>
  <c r="AH385" i="5" s="1"/>
  <c r="AG62" i="5"/>
  <c r="AH62" i="5" s="1"/>
  <c r="AG293" i="5"/>
  <c r="AG442" i="5"/>
  <c r="AG132" i="5"/>
  <c r="AG271" i="5"/>
  <c r="AG479" i="5"/>
  <c r="AG209" i="5"/>
  <c r="AI209" i="5" s="1"/>
  <c r="AG161" i="5"/>
  <c r="AH161" i="5" s="1"/>
  <c r="AG180" i="5"/>
  <c r="AH180" i="5" s="1"/>
  <c r="AG500" i="5"/>
  <c r="AI500" i="5" s="1"/>
  <c r="AG197" i="5"/>
  <c r="AI197" i="5" s="1"/>
  <c r="AG317" i="5"/>
  <c r="AI317" i="5" s="1"/>
  <c r="AG243" i="5"/>
  <c r="AI243" i="5" s="1"/>
  <c r="AG35" i="5"/>
  <c r="AH35" i="5" s="1"/>
  <c r="AG147" i="5"/>
  <c r="AI147" i="5" s="1"/>
  <c r="AG374" i="5"/>
  <c r="AI374" i="5" s="1"/>
  <c r="AG413" i="5"/>
  <c r="AH413" i="5" s="1"/>
  <c r="AG111" i="5"/>
  <c r="AI111" i="5" s="1"/>
  <c r="AG362" i="5"/>
  <c r="AI362" i="5" s="1"/>
  <c r="AG33" i="5"/>
  <c r="AI33" i="5" s="1"/>
  <c r="AG225" i="5"/>
  <c r="AI225" i="5" s="1"/>
  <c r="AG469" i="5"/>
  <c r="AI469" i="5" s="1"/>
  <c r="AG90" i="5"/>
  <c r="AH90" i="5" s="1"/>
  <c r="AG279" i="5"/>
  <c r="AH279" i="5" s="1"/>
  <c r="AG468" i="5"/>
  <c r="AH468" i="5" s="1"/>
  <c r="AG137" i="5"/>
  <c r="AH137" i="5" s="1"/>
  <c r="AG231" i="5"/>
  <c r="AH231" i="5" s="1"/>
  <c r="AG532" i="5"/>
  <c r="AI532" i="5" s="1"/>
  <c r="AM449" i="5"/>
  <c r="AM41" i="5"/>
  <c r="AN41" i="5" s="1"/>
  <c r="AM436" i="5"/>
  <c r="AN436" i="5" s="1"/>
  <c r="AM69" i="5"/>
  <c r="AO69" i="5" s="1"/>
  <c r="AM348" i="5"/>
  <c r="AO348" i="5" s="1"/>
  <c r="AG289" i="5"/>
  <c r="AH289" i="5" s="1"/>
  <c r="AG41" i="5"/>
  <c r="AI41" i="5" s="1"/>
  <c r="AG186" i="5"/>
  <c r="AG407" i="5"/>
  <c r="AI407" i="5" s="1"/>
  <c r="AG242" i="5"/>
  <c r="AH242" i="5" s="1"/>
  <c r="AG371" i="5"/>
  <c r="AI371" i="5" s="1"/>
  <c r="AG251" i="5"/>
  <c r="AG67" i="5"/>
  <c r="AG170" i="5"/>
  <c r="AH170" i="5" s="1"/>
  <c r="AG298" i="5"/>
  <c r="AG100" i="5"/>
  <c r="AG215" i="5"/>
  <c r="AI215" i="5" s="1"/>
  <c r="AG373" i="5"/>
  <c r="AI373" i="5" s="1"/>
  <c r="AG60" i="5"/>
  <c r="AH60" i="5" s="1"/>
  <c r="AG277" i="5"/>
  <c r="AI277" i="5" s="1"/>
  <c r="AG435" i="5"/>
  <c r="AG115" i="5"/>
  <c r="AI115" i="5" s="1"/>
  <c r="AG269" i="5"/>
  <c r="AH269" i="5" s="1"/>
  <c r="AG204" i="5"/>
  <c r="AH204" i="5" s="1"/>
  <c r="AG125" i="5"/>
  <c r="AG433" i="5"/>
  <c r="AH433" i="5" s="1"/>
  <c r="AM549" i="5"/>
  <c r="AO549" i="5" s="1"/>
  <c r="AM409" i="5"/>
  <c r="AN409" i="5" s="1"/>
  <c r="AM113" i="5"/>
  <c r="AO113" i="5" s="1"/>
  <c r="AM347" i="5"/>
  <c r="AO347" i="5" s="1"/>
  <c r="AM500" i="5"/>
  <c r="AO500" i="5" s="1"/>
  <c r="AM485" i="5"/>
  <c r="AO485" i="5" s="1"/>
  <c r="AM334" i="5"/>
  <c r="AO334" i="5" s="1"/>
  <c r="AM238" i="5"/>
  <c r="AN238" i="5" s="1"/>
  <c r="AM29" i="5"/>
  <c r="AN29" i="5" s="1"/>
  <c r="AM426" i="5"/>
  <c r="AN426" i="5" s="1"/>
  <c r="AM322" i="5"/>
  <c r="AN322" i="5" s="1"/>
  <c r="AM53" i="5"/>
  <c r="AO53" i="5" s="1"/>
  <c r="AM454" i="5"/>
  <c r="AO454" i="5" s="1"/>
  <c r="AM286" i="5"/>
  <c r="AN286" i="5" s="1"/>
  <c r="AM186" i="5"/>
  <c r="AN186" i="5" s="1"/>
  <c r="AM62" i="5"/>
  <c r="AO62" i="5" s="1"/>
  <c r="AM493" i="5"/>
  <c r="AO493" i="5" s="1"/>
  <c r="AM222" i="5"/>
  <c r="AO222" i="5" s="1"/>
  <c r="AM492" i="5"/>
  <c r="AO492" i="5" s="1"/>
  <c r="AM326" i="5"/>
  <c r="AN326" i="5" s="1"/>
  <c r="AM68" i="5"/>
  <c r="AN68" i="5" s="1"/>
  <c r="AM487" i="5"/>
  <c r="AO487" i="5" s="1"/>
  <c r="AM496" i="5"/>
  <c r="AN496" i="5" s="1"/>
  <c r="AM263" i="5"/>
  <c r="AO263" i="5" s="1"/>
  <c r="AM554" i="5"/>
  <c r="AO554" i="5" s="1"/>
  <c r="AM243" i="5"/>
  <c r="AO243" i="5" s="1"/>
  <c r="AM388" i="5"/>
  <c r="AN388" i="5" s="1"/>
  <c r="AM520" i="5"/>
  <c r="AN520" i="5" s="1"/>
  <c r="AM346" i="5"/>
  <c r="AN346" i="5" s="1"/>
  <c r="AM173" i="5"/>
  <c r="AN173" i="5" s="1"/>
  <c r="AM550" i="5"/>
  <c r="AN550" i="5" s="1"/>
  <c r="AM458" i="5"/>
  <c r="AN458" i="5" s="1"/>
  <c r="AM298" i="5"/>
  <c r="AN298" i="5" s="1"/>
  <c r="AM38" i="5"/>
  <c r="AN38" i="5" s="1"/>
  <c r="AM484" i="5"/>
  <c r="AN484" i="5" s="1"/>
  <c r="AM389" i="5"/>
  <c r="AN389" i="5" s="1"/>
  <c r="AM204" i="5"/>
  <c r="AO204" i="5" s="1"/>
  <c r="AM28" i="5"/>
  <c r="AO28" i="5" s="1"/>
  <c r="AM397" i="5"/>
  <c r="AO397" i="5" s="1"/>
  <c r="AM141" i="5"/>
  <c r="AN141" i="5" s="1"/>
  <c r="AM394" i="5"/>
  <c r="AN394" i="5" s="1"/>
  <c r="AM161" i="5"/>
  <c r="AN161" i="5" s="1"/>
  <c r="AM431" i="5"/>
  <c r="AO431" i="5" s="1"/>
  <c r="AM495" i="5"/>
  <c r="AN495" i="5" s="1"/>
  <c r="AM359" i="5"/>
  <c r="AO359" i="5" s="1"/>
  <c r="AM546" i="5"/>
  <c r="AO546" i="5" s="1"/>
  <c r="AM24" i="5"/>
  <c r="AN24" i="5" s="1"/>
  <c r="AM457" i="5"/>
  <c r="AO457" i="5" s="1"/>
  <c r="AM129" i="5"/>
  <c r="AO129" i="5" s="1"/>
  <c r="AM211" i="5"/>
  <c r="AN211" i="5" s="1"/>
  <c r="AM410" i="5"/>
  <c r="AO410" i="5" s="1"/>
  <c r="AM270" i="5"/>
  <c r="AO270" i="5" s="1"/>
  <c r="AM430" i="5"/>
  <c r="AN430" i="5" s="1"/>
  <c r="AM58" i="5"/>
  <c r="AN58" i="5" s="1"/>
  <c r="AM198" i="5"/>
  <c r="AO198" i="5" s="1"/>
  <c r="AM31" i="5"/>
  <c r="AN31" i="5" s="1"/>
  <c r="AM72" i="5"/>
  <c r="AO72" i="5" s="1"/>
  <c r="AM289" i="5"/>
  <c r="AO289" i="5" s="1"/>
  <c r="AM155" i="5"/>
  <c r="AN155" i="5" s="1"/>
  <c r="AM83" i="5"/>
  <c r="AO83" i="5" s="1"/>
  <c r="AM299" i="5"/>
  <c r="AN299" i="5" s="1"/>
  <c r="AM396" i="5"/>
  <c r="AO396" i="5" s="1"/>
  <c r="AM434" i="5"/>
  <c r="AO434" i="5" s="1"/>
  <c r="AM306" i="5"/>
  <c r="AO306" i="5" s="1"/>
  <c r="AM122" i="5"/>
  <c r="AN122" i="5" s="1"/>
  <c r="AM437" i="5"/>
  <c r="AN437" i="5" s="1"/>
  <c r="AM354" i="5"/>
  <c r="AO354" i="5" s="1"/>
  <c r="AM282" i="5"/>
  <c r="AO282" i="5" s="1"/>
  <c r="AM26" i="5"/>
  <c r="AO26" i="5" s="1"/>
  <c r="AM462" i="5"/>
  <c r="AO462" i="5" s="1"/>
  <c r="AM293" i="5"/>
  <c r="AN293" i="5" s="1"/>
  <c r="AM205" i="5"/>
  <c r="AN205" i="5" s="1"/>
  <c r="AM42" i="5"/>
  <c r="AN42" i="5" s="1"/>
  <c r="AM374" i="5"/>
  <c r="AO374" i="5" s="1"/>
  <c r="AM149" i="5"/>
  <c r="AO149" i="5" s="1"/>
  <c r="AM422" i="5"/>
  <c r="AN422" i="5" s="1"/>
  <c r="AM194" i="5"/>
  <c r="AO194" i="5" s="1"/>
  <c r="AM311" i="5"/>
  <c r="AO311" i="5" s="1"/>
  <c r="AM175" i="5"/>
  <c r="AN175" i="5" s="1"/>
  <c r="AM32" i="5"/>
  <c r="AO32" i="5" s="1"/>
  <c r="AM465" i="5"/>
  <c r="AN465" i="5" s="1"/>
  <c r="AM145" i="5"/>
  <c r="AO145" i="5" s="1"/>
  <c r="AM324" i="5"/>
  <c r="AO324" i="5" s="1"/>
  <c r="AM556" i="5"/>
  <c r="AO556" i="5" s="1"/>
  <c r="AM438" i="5"/>
  <c r="AO438" i="5" s="1"/>
  <c r="AM61" i="5"/>
  <c r="AO61" i="5" s="1"/>
  <c r="AM418" i="5"/>
  <c r="AO418" i="5" s="1"/>
  <c r="AM514" i="5"/>
  <c r="AO514" i="5" s="1"/>
  <c r="AM157" i="5"/>
  <c r="AO157" i="5" s="1"/>
  <c r="AM423" i="5"/>
  <c r="AN423" i="5" s="1"/>
  <c r="AM128" i="5"/>
  <c r="AO128" i="5" s="1"/>
  <c r="AM225" i="5"/>
  <c r="AN225" i="5" s="1"/>
  <c r="AM369" i="5"/>
  <c r="AO369" i="5" s="1"/>
  <c r="AM450" i="5"/>
  <c r="AN450" i="5" s="1"/>
  <c r="AM506" i="5"/>
  <c r="AN506" i="5" s="1"/>
  <c r="AM262" i="5"/>
  <c r="AO262" i="5" s="1"/>
  <c r="AM109" i="5"/>
  <c r="AN109" i="5" s="1"/>
  <c r="AM536" i="5"/>
  <c r="AN536" i="5" s="1"/>
  <c r="AM349" i="5"/>
  <c r="AO349" i="5" s="1"/>
  <c r="AM261" i="5"/>
  <c r="AN261" i="5" s="1"/>
  <c r="AM372" i="5"/>
  <c r="AN372" i="5" s="1"/>
  <c r="AM412" i="5"/>
  <c r="AO412" i="5" s="1"/>
  <c r="AM404" i="5"/>
  <c r="AO404" i="5" s="1"/>
  <c r="AM162" i="5"/>
  <c r="AO162" i="5" s="1"/>
  <c r="AM552" i="5"/>
  <c r="AO552" i="5" s="1"/>
  <c r="AM413" i="5"/>
  <c r="AN413" i="5" s="1"/>
  <c r="AM85" i="5"/>
  <c r="AN85" i="5" s="1"/>
  <c r="AM340" i="5"/>
  <c r="AO340" i="5" s="1"/>
  <c r="AM197" i="5"/>
  <c r="AN197" i="5" s="1"/>
  <c r="AM447" i="5"/>
  <c r="AN447" i="5" s="1"/>
  <c r="AM383" i="5"/>
  <c r="AN383" i="5" s="1"/>
  <c r="AM360" i="5"/>
  <c r="AO360" i="5" s="1"/>
  <c r="AM48" i="5"/>
  <c r="AO48" i="5" s="1"/>
  <c r="AM435" i="5"/>
  <c r="AN435" i="5" s="1"/>
  <c r="AM130" i="5"/>
  <c r="AO130" i="5" s="1"/>
  <c r="AM302" i="5"/>
  <c r="AO302" i="5" s="1"/>
  <c r="AM228" i="5"/>
  <c r="AN228" i="5" s="1"/>
  <c r="AM444" i="5"/>
  <c r="AO444" i="5" s="1"/>
  <c r="AM136" i="5"/>
  <c r="AO136" i="5" s="1"/>
  <c r="AM185" i="5"/>
  <c r="AN185" i="5" s="1"/>
  <c r="AM131" i="5"/>
  <c r="AN131" i="5" s="1"/>
  <c r="AM195" i="5"/>
  <c r="AO195" i="5" s="1"/>
  <c r="AM281" i="5"/>
  <c r="AO281" i="5" s="1"/>
  <c r="AM169" i="5"/>
  <c r="AO169" i="5" s="1"/>
  <c r="AJ539" i="5"/>
  <c r="AK539" i="5" s="1"/>
  <c r="AM209" i="5"/>
  <c r="AN209" i="5" s="1"/>
  <c r="AM551" i="5"/>
  <c r="AN551" i="5" s="1"/>
  <c r="AM325" i="5"/>
  <c r="AN325" i="5" s="1"/>
  <c r="AM318" i="5"/>
  <c r="AO318" i="5" s="1"/>
  <c r="AM98" i="5"/>
  <c r="AO98" i="5" s="1"/>
  <c r="AM518" i="5"/>
  <c r="AO518" i="5" s="1"/>
  <c r="AM390" i="5"/>
  <c r="AN390" i="5" s="1"/>
  <c r="AM210" i="5"/>
  <c r="AN210" i="5" s="1"/>
  <c r="AM528" i="5"/>
  <c r="AN528" i="5" s="1"/>
  <c r="AM532" i="5"/>
  <c r="AO532" i="5" s="1"/>
  <c r="AM301" i="5"/>
  <c r="AN301" i="5" s="1"/>
  <c r="AM142" i="5"/>
  <c r="AN142" i="5" s="1"/>
  <c r="AM543" i="5"/>
  <c r="AN543" i="5" s="1"/>
  <c r="AM338" i="5"/>
  <c r="AN338" i="5" s="1"/>
  <c r="AM82" i="5"/>
  <c r="AO82" i="5" s="1"/>
  <c r="AM356" i="5"/>
  <c r="AO356" i="5" s="1"/>
  <c r="AM116" i="5"/>
  <c r="AN116" i="5" s="1"/>
  <c r="AM87" i="5"/>
  <c r="AN87" i="5" s="1"/>
  <c r="AM176" i="5"/>
  <c r="AO176" i="5" s="1"/>
  <c r="AM118" i="5"/>
  <c r="AN118" i="5" s="1"/>
  <c r="AM510" i="5"/>
  <c r="AO510" i="5" s="1"/>
  <c r="AM490" i="5"/>
  <c r="AN490" i="5" s="1"/>
  <c r="AM294" i="5"/>
  <c r="AO294" i="5" s="1"/>
  <c r="AM106" i="5"/>
  <c r="AN106" i="5" s="1"/>
  <c r="AM560" i="5"/>
  <c r="AO560" i="5" s="1"/>
  <c r="AM206" i="5"/>
  <c r="AM481" i="5"/>
  <c r="AN481" i="5" s="1"/>
  <c r="AM358" i="5"/>
  <c r="AO358" i="5" s="1"/>
  <c r="AM110" i="5"/>
  <c r="AO110" i="5" s="1"/>
  <c r="AM223" i="5"/>
  <c r="AO223" i="5" s="1"/>
  <c r="AM127" i="5"/>
  <c r="AO127" i="5" s="1"/>
  <c r="AM267" i="5"/>
  <c r="AO267" i="5" s="1"/>
  <c r="AM421" i="5"/>
  <c r="AO421" i="5" s="1"/>
  <c r="AM341" i="5"/>
  <c r="AO341" i="5" s="1"/>
  <c r="AM174" i="5"/>
  <c r="AO174" i="5" s="1"/>
  <c r="AM45" i="5"/>
  <c r="AN45" i="5" s="1"/>
  <c r="AM474" i="5"/>
  <c r="AO474" i="5" s="1"/>
  <c r="AM252" i="5"/>
  <c r="AN252" i="5" s="1"/>
  <c r="AM274" i="5"/>
  <c r="AN274" i="5" s="1"/>
  <c r="AM132" i="5"/>
  <c r="AN132" i="5" s="1"/>
  <c r="AM79" i="5"/>
  <c r="AN79" i="5" s="1"/>
  <c r="AM533" i="5"/>
  <c r="AN533" i="5" s="1"/>
  <c r="AM455" i="5"/>
  <c r="AN455" i="5" s="1"/>
  <c r="AM367" i="5"/>
  <c r="AO367" i="5" s="1"/>
  <c r="AM239" i="5"/>
  <c r="AN239" i="5" s="1"/>
  <c r="AM219" i="5"/>
  <c r="AO219" i="5" s="1"/>
  <c r="T167" i="5"/>
  <c r="U167" i="5" s="1"/>
  <c r="AM71" i="5"/>
  <c r="AN71" i="5" s="1"/>
  <c r="T153" i="5"/>
  <c r="T122" i="5"/>
  <c r="AM328" i="5"/>
  <c r="AO328" i="5" s="1"/>
  <c r="AM224" i="5"/>
  <c r="AO224" i="5" s="1"/>
  <c r="AM56" i="5"/>
  <c r="AN56" i="5" s="1"/>
  <c r="AM385" i="5"/>
  <c r="AO385" i="5" s="1"/>
  <c r="AM331" i="5"/>
  <c r="AM260" i="5"/>
  <c r="AO260" i="5" s="1"/>
  <c r="AM415" i="5"/>
  <c r="AM547" i="5"/>
  <c r="AN547" i="5" s="1"/>
  <c r="AM446" i="5"/>
  <c r="AO446" i="5" s="1"/>
  <c r="AM420" i="5"/>
  <c r="AO420" i="5" s="1"/>
  <c r="AM220" i="5"/>
  <c r="AO220" i="5" s="1"/>
  <c r="AM81" i="5"/>
  <c r="AO81" i="5" s="1"/>
  <c r="AM463" i="5"/>
  <c r="AO463" i="5" s="1"/>
  <c r="AM419" i="5"/>
  <c r="AN419" i="5" s="1"/>
  <c r="AM167" i="5"/>
  <c r="AO167" i="5" s="1"/>
  <c r="AM23" i="5"/>
  <c r="AN23" i="5" s="1"/>
  <c r="T198" i="5"/>
  <c r="V198" i="5" s="1"/>
  <c r="T58" i="5"/>
  <c r="V58" i="5" s="1"/>
  <c r="AM232" i="5"/>
  <c r="AO232" i="5" s="1"/>
  <c r="AM296" i="5"/>
  <c r="AO296" i="5" s="1"/>
  <c r="AM168" i="5"/>
  <c r="AN168" i="5" s="1"/>
  <c r="AM8" i="5"/>
  <c r="AO8" i="5" s="1"/>
  <c r="AM276" i="5"/>
  <c r="AO276" i="5" s="1"/>
  <c r="AM39" i="5"/>
  <c r="AO39" i="5" s="1"/>
  <c r="AJ371" i="5"/>
  <c r="AK371" i="5" s="1"/>
  <c r="O12" i="5"/>
  <c r="T12" i="5" s="1"/>
  <c r="AM477" i="5"/>
  <c r="AO477" i="5" s="1"/>
  <c r="AM314" i="5"/>
  <c r="AO314" i="5" s="1"/>
  <c r="AM125" i="5"/>
  <c r="AO125" i="5" s="1"/>
  <c r="AM505" i="5"/>
  <c r="AN505" i="5" s="1"/>
  <c r="AM406" i="5"/>
  <c r="AO406" i="5" s="1"/>
  <c r="AM249" i="5"/>
  <c r="AO249" i="5" s="1"/>
  <c r="AM221" i="5"/>
  <c r="AO221" i="5" s="1"/>
  <c r="AM70" i="5"/>
  <c r="AO70" i="5" s="1"/>
  <c r="AM537" i="5"/>
  <c r="AN537" i="5" s="1"/>
  <c r="AM335" i="5"/>
  <c r="AN335" i="5" s="1"/>
  <c r="AM287" i="5"/>
  <c r="AO287" i="5" s="1"/>
  <c r="AM199" i="5"/>
  <c r="AO199" i="5" s="1"/>
  <c r="AM47" i="5"/>
  <c r="AO47" i="5" s="1"/>
  <c r="AM103" i="5"/>
  <c r="AO103" i="5" s="1"/>
  <c r="T218" i="5"/>
  <c r="U218" i="5" s="1"/>
  <c r="AM538" i="5"/>
  <c r="AO538" i="5" s="1"/>
  <c r="T184" i="5"/>
  <c r="AM40" i="5"/>
  <c r="AO40" i="5" s="1"/>
  <c r="AM88" i="5"/>
  <c r="AN88" i="5" s="1"/>
  <c r="AM137" i="5"/>
  <c r="AO137" i="5" s="1"/>
  <c r="AM451" i="5"/>
  <c r="AM259" i="5"/>
  <c r="AO259" i="5" s="1"/>
  <c r="AJ379" i="5"/>
  <c r="AK379" i="5" s="1"/>
  <c r="AM442" i="5"/>
  <c r="AO442" i="5" s="1"/>
  <c r="AM178" i="5"/>
  <c r="AN178" i="5" s="1"/>
  <c r="AM114" i="5"/>
  <c r="AN114" i="5" s="1"/>
  <c r="AM473" i="5"/>
  <c r="AO473" i="5" s="1"/>
  <c r="AM380" i="5"/>
  <c r="AO380" i="5" s="1"/>
  <c r="AM278" i="5"/>
  <c r="AN278" i="5" s="1"/>
  <c r="AM172" i="5"/>
  <c r="AO172" i="5" s="1"/>
  <c r="AM50" i="5"/>
  <c r="AN50" i="5" s="1"/>
  <c r="AM231" i="5"/>
  <c r="AO231" i="5" s="1"/>
  <c r="T219" i="5"/>
  <c r="U219" i="5" s="1"/>
  <c r="AM207" i="5"/>
  <c r="AO207" i="5" s="1"/>
  <c r="T111" i="5"/>
  <c r="V111" i="5" s="1"/>
  <c r="T42" i="5"/>
  <c r="U42" i="5" s="1"/>
  <c r="AM526" i="5"/>
  <c r="AO526" i="5" s="1"/>
  <c r="AM392" i="5"/>
  <c r="AO392" i="5" s="1"/>
  <c r="AM264" i="5"/>
  <c r="AN264" i="5" s="1"/>
  <c r="AM192" i="5"/>
  <c r="AO192" i="5" s="1"/>
  <c r="AM555" i="5"/>
  <c r="AN555" i="5" s="1"/>
  <c r="AM97" i="5"/>
  <c r="AN97" i="5" s="1"/>
  <c r="AM283" i="5"/>
  <c r="AN283" i="5" s="1"/>
  <c r="AM159" i="5"/>
  <c r="AO159" i="5" s="1"/>
  <c r="T23" i="5"/>
  <c r="U23" i="5" s="1"/>
  <c r="T71" i="5"/>
  <c r="AM111" i="5"/>
  <c r="AO111" i="5" s="1"/>
  <c r="T193" i="5"/>
  <c r="U193" i="5" s="1"/>
  <c r="AM534" i="5"/>
  <c r="AO534" i="5" s="1"/>
  <c r="AM152" i="5"/>
  <c r="AO152" i="5" s="1"/>
  <c r="AM112" i="5"/>
  <c r="AO112" i="5" s="1"/>
  <c r="AM139" i="5"/>
  <c r="AO139" i="5" s="1"/>
  <c r="AM539" i="5"/>
  <c r="AM497" i="5"/>
  <c r="AN497" i="5" s="1"/>
  <c r="AM233" i="5"/>
  <c r="AN233" i="5" s="1"/>
  <c r="AM25" i="5"/>
  <c r="AO25" i="5" s="1"/>
  <c r="AM557" i="5"/>
  <c r="AO557" i="5" s="1"/>
  <c r="AM467" i="5"/>
  <c r="AO467" i="5" s="1"/>
  <c r="AM355" i="5"/>
  <c r="AO355" i="5" s="1"/>
  <c r="AM147" i="5"/>
  <c r="AN147" i="5" s="1"/>
  <c r="AM284" i="5"/>
  <c r="AN284" i="5" s="1"/>
  <c r="AM92" i="5"/>
  <c r="AN92" i="5" s="1"/>
  <c r="AM416" i="5"/>
  <c r="AN416" i="5" s="1"/>
  <c r="AM432" i="5"/>
  <c r="AN432" i="5" s="1"/>
  <c r="AM512" i="5"/>
  <c r="AN512" i="5" s="1"/>
  <c r="AM240" i="5"/>
  <c r="AO240" i="5" s="1"/>
  <c r="AM96" i="5"/>
  <c r="AN96" i="5" s="1"/>
  <c r="AM265" i="5"/>
  <c r="AN265" i="5" s="1"/>
  <c r="AM33" i="5"/>
  <c r="AO33" i="5" s="1"/>
  <c r="AM521" i="5"/>
  <c r="AN521" i="5" s="1"/>
  <c r="AM475" i="5"/>
  <c r="AO475" i="5" s="1"/>
  <c r="AM363" i="5"/>
  <c r="AO363" i="5" s="1"/>
  <c r="AM171" i="5"/>
  <c r="AM140" i="5"/>
  <c r="AO140" i="5" s="1"/>
  <c r="AM108" i="5"/>
  <c r="AM89" i="5"/>
  <c r="AN89" i="5" s="1"/>
  <c r="AI484" i="5"/>
  <c r="AJ51" i="5"/>
  <c r="AK51" i="5" s="1"/>
  <c r="AJ105" i="5"/>
  <c r="AL105" i="5" s="1"/>
  <c r="AM320" i="5"/>
  <c r="AN320" i="5" s="1"/>
  <c r="AM384" i="5"/>
  <c r="AO384" i="5" s="1"/>
  <c r="AM256" i="5"/>
  <c r="AN256" i="5" s="1"/>
  <c r="AM304" i="5"/>
  <c r="AO304" i="5" s="1"/>
  <c r="AM160" i="5"/>
  <c r="AO160" i="5" s="1"/>
  <c r="AM200" i="5"/>
  <c r="AO200" i="5" s="1"/>
  <c r="AM527" i="5"/>
  <c r="AN527" i="5" s="1"/>
  <c r="AM273" i="5"/>
  <c r="AO273" i="5" s="1"/>
  <c r="AM49" i="5"/>
  <c r="AN49" i="5" s="1"/>
  <c r="AM371" i="5"/>
  <c r="AN371" i="5" s="1"/>
  <c r="AM27" i="5"/>
  <c r="AN27" i="5" s="1"/>
  <c r="AM156" i="5"/>
  <c r="AN156" i="5" s="1"/>
  <c r="AM305" i="5"/>
  <c r="AN305" i="5" s="1"/>
  <c r="AM65" i="5"/>
  <c r="AO65" i="5" s="1"/>
  <c r="AM491" i="5"/>
  <c r="AN491" i="5" s="1"/>
  <c r="AM43" i="5"/>
  <c r="AO43" i="5" s="1"/>
  <c r="AM164" i="5"/>
  <c r="AN164" i="5" s="1"/>
  <c r="AM179" i="5"/>
  <c r="AO179" i="5" s="1"/>
  <c r="AJ273" i="5"/>
  <c r="AL273" i="5" s="1"/>
  <c r="AM312" i="5"/>
  <c r="AO312" i="5" s="1"/>
  <c r="AM433" i="5"/>
  <c r="AN433" i="5" s="1"/>
  <c r="AM313" i="5"/>
  <c r="AM73" i="5"/>
  <c r="AM427" i="5"/>
  <c r="AM499" i="5"/>
  <c r="AM51" i="5"/>
  <c r="AM212" i="5"/>
  <c r="AN212" i="5" s="1"/>
  <c r="AM343" i="5"/>
  <c r="AN343" i="5" s="1"/>
  <c r="AG43" i="5"/>
  <c r="AG191" i="5"/>
  <c r="AG431" i="5"/>
  <c r="AG329" i="5"/>
  <c r="AG263" i="5"/>
  <c r="AG331" i="5"/>
  <c r="AG342" i="5"/>
  <c r="AG541" i="5"/>
  <c r="AG150" i="5"/>
  <c r="AG95" i="5"/>
  <c r="AG241" i="5"/>
  <c r="AG399" i="5"/>
  <c r="AG52" i="5"/>
  <c r="AG388" i="5"/>
  <c r="AG430" i="5"/>
  <c r="AG325" i="5"/>
  <c r="AG543" i="5"/>
  <c r="AG53" i="5"/>
  <c r="AG369" i="5"/>
  <c r="B29" i="2"/>
  <c r="B25" i="2"/>
  <c r="B27" i="2"/>
  <c r="B23" i="2"/>
  <c r="B20" i="2"/>
  <c r="T90" i="5"/>
  <c r="V90" i="5" s="1"/>
  <c r="T168" i="5"/>
  <c r="T132" i="5"/>
  <c r="T165" i="5"/>
  <c r="T189" i="5"/>
  <c r="AJ225" i="5"/>
  <c r="AK225" i="5" s="1"/>
  <c r="T143" i="5"/>
  <c r="V143" i="5" s="1"/>
  <c r="T103" i="5"/>
  <c r="U103" i="5" s="1"/>
  <c r="T217" i="5"/>
  <c r="U217" i="5" s="1"/>
  <c r="T110" i="5"/>
  <c r="T277" i="5"/>
  <c r="T124" i="5"/>
  <c r="T46" i="5"/>
  <c r="U46" i="5" s="1"/>
  <c r="T158" i="5"/>
  <c r="T102" i="5"/>
  <c r="U102" i="5" s="1"/>
  <c r="T240" i="5"/>
  <c r="V240" i="5" s="1"/>
  <c r="T200" i="5"/>
  <c r="T255" i="5"/>
  <c r="T220" i="5"/>
  <c r="U220" i="5" s="1"/>
  <c r="T97" i="5"/>
  <c r="U97" i="5" s="1"/>
  <c r="T213" i="5"/>
  <c r="U213" i="5" s="1"/>
  <c r="T108" i="5"/>
  <c r="U108" i="5" s="1"/>
  <c r="B43" i="5"/>
  <c r="T163" i="5"/>
  <c r="U163" i="5" s="1"/>
  <c r="T81" i="5"/>
  <c r="T128" i="5"/>
  <c r="T48" i="5"/>
  <c r="U48" i="5" s="1"/>
  <c r="T99" i="5"/>
  <c r="U99" i="5" s="1"/>
  <c r="T127" i="5"/>
  <c r="V127" i="5" s="1"/>
  <c r="T202" i="5"/>
  <c r="U202" i="5" s="1"/>
  <c r="T78" i="5"/>
  <c r="V78" i="5" s="1"/>
  <c r="T157" i="5"/>
  <c r="T60" i="5"/>
  <c r="U60" i="5" s="1"/>
  <c r="T238" i="5"/>
  <c r="U238" i="5" s="1"/>
  <c r="T178" i="5"/>
  <c r="V178" i="5" s="1"/>
  <c r="T77" i="5"/>
  <c r="V77" i="5" s="1"/>
  <c r="T144" i="5"/>
  <c r="V144" i="5" s="1"/>
  <c r="T216" i="5"/>
  <c r="U216" i="5" s="1"/>
  <c r="T96" i="5"/>
  <c r="U96" i="5" s="1"/>
  <c r="T147" i="5"/>
  <c r="U147" i="5" s="1"/>
  <c r="AJ227" i="5"/>
  <c r="AK227" i="5" s="1"/>
  <c r="T179" i="5"/>
  <c r="V179" i="5" s="1"/>
  <c r="T49" i="5"/>
  <c r="U49" i="5" s="1"/>
  <c r="T197" i="5"/>
  <c r="U197" i="5" s="1"/>
  <c r="T68" i="5"/>
  <c r="T234" i="5"/>
  <c r="U234" i="5" s="1"/>
  <c r="T148" i="5"/>
  <c r="T54" i="5"/>
  <c r="U54" i="5" s="1"/>
  <c r="AM163" i="5"/>
  <c r="AN163" i="5" s="1"/>
  <c r="AM488" i="5"/>
  <c r="AN488" i="5" s="1"/>
  <c r="T278" i="5"/>
  <c r="U278" i="5" s="1"/>
  <c r="T145" i="5"/>
  <c r="U145" i="5" s="1"/>
  <c r="T45" i="5"/>
  <c r="V45" i="5" s="1"/>
  <c r="T182" i="5"/>
  <c r="U182" i="5" s="1"/>
  <c r="T62" i="5"/>
  <c r="U62" i="5" s="1"/>
  <c r="T209" i="5"/>
  <c r="V209" i="5" s="1"/>
  <c r="T116" i="5"/>
  <c r="U116" i="5" s="1"/>
  <c r="T29" i="5"/>
  <c r="V29" i="5" s="1"/>
  <c r="T104" i="5"/>
  <c r="U104" i="5" s="1"/>
  <c r="T534" i="5"/>
  <c r="U534" i="5" s="1"/>
  <c r="T136" i="5"/>
  <c r="U136" i="5" s="1"/>
  <c r="AH446" i="5"/>
  <c r="T175" i="5"/>
  <c r="V175" i="5" s="1"/>
  <c r="T257" i="5"/>
  <c r="V257" i="5" s="1"/>
  <c r="T129" i="5"/>
  <c r="V129" i="5" s="1"/>
  <c r="T21" i="5"/>
  <c r="U21" i="5" s="1"/>
  <c r="T86" i="5"/>
  <c r="V86" i="5" s="1"/>
  <c r="T20" i="5"/>
  <c r="V20" i="5" s="1"/>
  <c r="T164" i="5"/>
  <c r="U164" i="5" s="1"/>
  <c r="T113" i="5"/>
  <c r="U113" i="5" s="1"/>
  <c r="T120" i="5"/>
  <c r="U120" i="5" s="1"/>
  <c r="T40" i="5"/>
  <c r="V40" i="5" s="1"/>
  <c r="T72" i="5"/>
  <c r="U72" i="5" s="1"/>
  <c r="AM504" i="5"/>
  <c r="AN504" i="5" s="1"/>
  <c r="B59" i="2"/>
  <c r="K26" i="2"/>
  <c r="B67" i="2"/>
  <c r="M26" i="2"/>
  <c r="B63" i="2"/>
  <c r="L26" i="2"/>
  <c r="AJ43" i="5"/>
  <c r="AL43" i="5" s="1"/>
  <c r="AJ147" i="5"/>
  <c r="AL147" i="5" s="1"/>
  <c r="B43" i="2"/>
  <c r="K35" i="2"/>
  <c r="AJ153" i="5"/>
  <c r="AL153" i="5" s="1"/>
  <c r="AJ169" i="5"/>
  <c r="AK169" i="5" s="1"/>
  <c r="AM64" i="5"/>
  <c r="AO64" i="5" s="1"/>
  <c r="L35" i="2"/>
  <c r="AM80" i="5"/>
  <c r="AO80" i="5" s="1"/>
  <c r="AJ483" i="5"/>
  <c r="AL483" i="5" s="1"/>
  <c r="AM472" i="5"/>
  <c r="AO472" i="5" s="1"/>
  <c r="T176" i="5"/>
  <c r="U176" i="5" s="1"/>
  <c r="AM352" i="5"/>
  <c r="AO352" i="5" s="1"/>
  <c r="Q554" i="5"/>
  <c r="S554" i="5" s="1"/>
  <c r="Q312" i="5"/>
  <c r="S312" i="5" s="1"/>
  <c r="K35" i="5"/>
  <c r="W184" i="5"/>
  <c r="X184" i="5" s="1"/>
  <c r="W451" i="5"/>
  <c r="Y451" i="5" s="1"/>
  <c r="W319" i="5"/>
  <c r="Y319" i="5" s="1"/>
  <c r="Q344" i="5"/>
  <c r="R344" i="5" s="1"/>
  <c r="Q304" i="5"/>
  <c r="R304" i="5" s="1"/>
  <c r="W78" i="5"/>
  <c r="Y78" i="5" s="1"/>
  <c r="Q534" i="5"/>
  <c r="Q48" i="5"/>
  <c r="S48" i="5" s="1"/>
  <c r="Q320" i="5"/>
  <c r="S320" i="5" s="1"/>
  <c r="Q392" i="5"/>
  <c r="S392" i="5" s="1"/>
  <c r="Q400" i="5"/>
  <c r="S400" i="5" s="1"/>
  <c r="Q488" i="5"/>
  <c r="S488" i="5" s="1"/>
  <c r="Q8" i="5"/>
  <c r="R8" i="5" s="1"/>
  <c r="Q440" i="5"/>
  <c r="S440" i="5" s="1"/>
  <c r="Q200" i="5"/>
  <c r="Q72" i="5"/>
  <c r="S72" i="5" s="1"/>
  <c r="W301" i="5"/>
  <c r="X301" i="5" s="1"/>
  <c r="Q526" i="5"/>
  <c r="R526" i="5" s="1"/>
  <c r="Q456" i="5"/>
  <c r="S456" i="5" s="1"/>
  <c r="Q208" i="5"/>
  <c r="R208" i="5" s="1"/>
  <c r="Q512" i="5"/>
  <c r="S512" i="5" s="1"/>
  <c r="Q144" i="5"/>
  <c r="R144" i="5" s="1"/>
  <c r="B49" i="5"/>
  <c r="W272" i="5"/>
  <c r="W74" i="5"/>
  <c r="Y74" i="5" s="1"/>
  <c r="Q432" i="5"/>
  <c r="S432" i="5" s="1"/>
  <c r="Q168" i="5"/>
  <c r="S168" i="5" s="1"/>
  <c r="Q104" i="5"/>
  <c r="R104" i="5" s="1"/>
  <c r="Q448" i="5"/>
  <c r="R448" i="5" s="1"/>
  <c r="Q480" i="5"/>
  <c r="R480" i="5" s="1"/>
  <c r="Q384" i="5"/>
  <c r="S384" i="5" s="1"/>
  <c r="Q224" i="5"/>
  <c r="R224" i="5" s="1"/>
  <c r="Q152" i="5"/>
  <c r="S152" i="5" s="1"/>
  <c r="Q56" i="5"/>
  <c r="R56" i="5" s="1"/>
  <c r="Q112" i="5"/>
  <c r="R112" i="5" s="1"/>
  <c r="Q538" i="5"/>
  <c r="S538" i="5" s="1"/>
  <c r="Q496" i="5"/>
  <c r="S496" i="5" s="1"/>
  <c r="Q256" i="5"/>
  <c r="S256" i="5" s="1"/>
  <c r="Q120" i="5"/>
  <c r="R120" i="5" s="1"/>
  <c r="Q216" i="5"/>
  <c r="S216" i="5" s="1"/>
  <c r="Q80" i="5"/>
  <c r="S80" i="5" s="1"/>
  <c r="Q424" i="5"/>
  <c r="S424" i="5" s="1"/>
  <c r="Q464" i="5"/>
  <c r="S464" i="5" s="1"/>
  <c r="Q352" i="5"/>
  <c r="S352" i="5" s="1"/>
  <c r="Q264" i="5"/>
  <c r="S264" i="5" s="1"/>
  <c r="Q176" i="5"/>
  <c r="Q546" i="5"/>
  <c r="Q472" i="5"/>
  <c r="S472" i="5" s="1"/>
  <c r="Q416" i="5"/>
  <c r="R416" i="5" s="1"/>
  <c r="Q272" i="5"/>
  <c r="R272" i="5" s="1"/>
  <c r="Q40" i="5"/>
  <c r="S40" i="5" s="1"/>
  <c r="W515" i="5"/>
  <c r="Y515" i="5" s="1"/>
  <c r="W55" i="5"/>
  <c r="X55" i="5" s="1"/>
  <c r="W557" i="5"/>
  <c r="W453" i="5"/>
  <c r="Y453" i="5" s="1"/>
  <c r="W270" i="5"/>
  <c r="Y270" i="5" s="1"/>
  <c r="W100" i="5"/>
  <c r="Y100" i="5" s="1"/>
  <c r="W341" i="5"/>
  <c r="Y341" i="5" s="1"/>
  <c r="W375" i="5"/>
  <c r="Y375" i="5" s="1"/>
  <c r="W26" i="5"/>
  <c r="X26" i="5" s="1"/>
  <c r="Q296" i="5"/>
  <c r="R296" i="5" s="1"/>
  <c r="Q328" i="5"/>
  <c r="S328" i="5" s="1"/>
  <c r="Q360" i="5"/>
  <c r="S360" i="5" s="1"/>
  <c r="Q232" i="5"/>
  <c r="S232" i="5" s="1"/>
  <c r="Q128" i="5"/>
  <c r="R128" i="5" s="1"/>
  <c r="W160" i="5"/>
  <c r="Y160" i="5" s="1"/>
  <c r="Q184" i="5"/>
  <c r="S184" i="5" s="1"/>
  <c r="W24" i="5"/>
  <c r="Y24" i="5" s="1"/>
  <c r="Q64" i="5"/>
  <c r="R64" i="5" s="1"/>
  <c r="Q88" i="5"/>
  <c r="S88" i="5" s="1"/>
  <c r="W66" i="5"/>
  <c r="Y66" i="5" s="1"/>
  <c r="W281" i="5"/>
  <c r="X281" i="5" s="1"/>
  <c r="W28" i="5"/>
  <c r="X28" i="5" s="1"/>
  <c r="W490" i="5"/>
  <c r="X490" i="5" s="1"/>
  <c r="W372" i="5"/>
  <c r="Y372" i="5" s="1"/>
  <c r="W102" i="5"/>
  <c r="Y102" i="5" s="1"/>
  <c r="W86" i="5"/>
  <c r="Y86" i="5" s="1"/>
  <c r="W331" i="5"/>
  <c r="W441" i="5"/>
  <c r="X441" i="5" s="1"/>
  <c r="W204" i="5"/>
  <c r="Y204" i="5" s="1"/>
  <c r="W260" i="5"/>
  <c r="X260" i="5" s="1"/>
  <c r="W399" i="5"/>
  <c r="Y399" i="5" s="1"/>
  <c r="W492" i="5"/>
  <c r="X492" i="5" s="1"/>
  <c r="Q336" i="5"/>
  <c r="S336" i="5" s="1"/>
  <c r="Q368" i="5"/>
  <c r="Q408" i="5"/>
  <c r="S408" i="5" s="1"/>
  <c r="Q240" i="5"/>
  <c r="R240" i="5" s="1"/>
  <c r="Q280" i="5"/>
  <c r="S280" i="5" s="1"/>
  <c r="W136" i="5"/>
  <c r="Y136" i="5" s="1"/>
  <c r="Q160" i="5"/>
  <c r="S160" i="5" s="1"/>
  <c r="W192" i="5"/>
  <c r="Y192" i="5" s="1"/>
  <c r="Q24" i="5"/>
  <c r="S24" i="5" s="1"/>
  <c r="W282" i="5"/>
  <c r="W323" i="5"/>
  <c r="X323" i="5" s="1"/>
  <c r="W135" i="5"/>
  <c r="X135" i="5" s="1"/>
  <c r="W439" i="5"/>
  <c r="X439" i="5" s="1"/>
  <c r="W501" i="5"/>
  <c r="Y501" i="5" s="1"/>
  <c r="W210" i="5"/>
  <c r="Y210" i="5" s="1"/>
  <c r="W259" i="5"/>
  <c r="Y259" i="5" s="1"/>
  <c r="W98" i="5"/>
  <c r="X98" i="5" s="1"/>
  <c r="W110" i="5"/>
  <c r="W291" i="5"/>
  <c r="X291" i="5" s="1"/>
  <c r="W139" i="5"/>
  <c r="X139" i="5" s="1"/>
  <c r="W159" i="5"/>
  <c r="X159" i="5" s="1"/>
  <c r="W382" i="5"/>
  <c r="X382" i="5" s="1"/>
  <c r="W216" i="5"/>
  <c r="X216" i="5" s="1"/>
  <c r="W472" i="5"/>
  <c r="Y472" i="5" s="1"/>
  <c r="Q504" i="5"/>
  <c r="S504" i="5" s="1"/>
  <c r="Q376" i="5"/>
  <c r="Q248" i="5"/>
  <c r="R248" i="5" s="1"/>
  <c r="Q288" i="5"/>
  <c r="S288" i="5" s="1"/>
  <c r="Q136" i="5"/>
  <c r="R136" i="5" s="1"/>
  <c r="W168" i="5"/>
  <c r="Y168" i="5" s="1"/>
  <c r="Q192" i="5"/>
  <c r="S192" i="5" s="1"/>
  <c r="Q32" i="5"/>
  <c r="S32" i="5" s="1"/>
  <c r="W72" i="5"/>
  <c r="X72" i="5" s="1"/>
  <c r="W262" i="5"/>
  <c r="W29" i="5"/>
  <c r="Y29" i="5" s="1"/>
  <c r="W62" i="5"/>
  <c r="Y62" i="5" s="1"/>
  <c r="W365" i="5"/>
  <c r="X365" i="5" s="1"/>
  <c r="W497" i="5"/>
  <c r="Y497" i="5" s="1"/>
  <c r="W183" i="5"/>
  <c r="Y183" i="5" s="1"/>
  <c r="W239" i="5"/>
  <c r="X239" i="5" s="1"/>
  <c r="W334" i="5"/>
  <c r="Y334" i="5" s="1"/>
  <c r="W243" i="5"/>
  <c r="Y243" i="5" s="1"/>
  <c r="W212" i="5"/>
  <c r="W521" i="5"/>
  <c r="X521" i="5" s="1"/>
  <c r="W51" i="5"/>
  <c r="X51" i="5" s="1"/>
  <c r="W330" i="5"/>
  <c r="X330" i="5" s="1"/>
  <c r="W526" i="5"/>
  <c r="X526" i="5" s="1"/>
  <c r="W333" i="5"/>
  <c r="Y333" i="5" s="1"/>
  <c r="W321" i="5"/>
  <c r="X321" i="5" s="1"/>
  <c r="W481" i="5"/>
  <c r="Y481" i="5" s="1"/>
  <c r="W405" i="5"/>
  <c r="W65" i="5"/>
  <c r="X65" i="5" s="1"/>
  <c r="W274" i="5"/>
  <c r="Y274" i="5" s="1"/>
  <c r="W305" i="5"/>
  <c r="X305" i="5" s="1"/>
  <c r="W101" i="5"/>
  <c r="X101" i="5" s="1"/>
  <c r="W467" i="5"/>
  <c r="X467" i="5" s="1"/>
  <c r="W60" i="5"/>
  <c r="Y60" i="5" s="1"/>
  <c r="W366" i="5"/>
  <c r="W290" i="5"/>
  <c r="W189" i="5"/>
  <c r="X189" i="5" s="1"/>
  <c r="W554" i="5"/>
  <c r="X554" i="5" s="1"/>
  <c r="W80" i="5"/>
  <c r="X80" i="5" s="1"/>
  <c r="W75" i="5"/>
  <c r="X75" i="5" s="1"/>
  <c r="W438" i="5"/>
  <c r="Y438" i="5" s="1"/>
  <c r="W386" i="5"/>
  <c r="X386" i="5" s="1"/>
  <c r="W132" i="5"/>
  <c r="W343" i="5"/>
  <c r="W237" i="5"/>
  <c r="X237" i="5" s="1"/>
  <c r="W181" i="5"/>
  <c r="X181" i="5" s="1"/>
  <c r="W71" i="5"/>
  <c r="Y71" i="5" s="1"/>
  <c r="W422" i="5"/>
  <c r="X422" i="5" s="1"/>
  <c r="W197" i="5"/>
  <c r="X197" i="5" s="1"/>
  <c r="W549" i="5"/>
  <c r="Y549" i="5" s="1"/>
  <c r="W293" i="5"/>
  <c r="X293" i="5" s="1"/>
  <c r="W403" i="5"/>
  <c r="X161" i="5"/>
  <c r="W392" i="5"/>
  <c r="Y392" i="5" s="1"/>
  <c r="W394" i="5"/>
  <c r="Y394" i="5" s="1"/>
  <c r="W358" i="5"/>
  <c r="Y358" i="5" s="1"/>
  <c r="W517" i="5"/>
  <c r="X517" i="5" s="1"/>
  <c r="W125" i="5"/>
  <c r="W551" i="5"/>
  <c r="Y551" i="5" s="1"/>
  <c r="W106" i="5"/>
  <c r="X106" i="5" s="1"/>
  <c r="W255" i="5"/>
  <c r="X255" i="5" s="1"/>
  <c r="W436" i="5"/>
  <c r="X436" i="5" s="1"/>
  <c r="W535" i="5"/>
  <c r="Y535" i="5" s="1"/>
  <c r="W340" i="5"/>
  <c r="Y340" i="5" s="1"/>
  <c r="W154" i="5"/>
  <c r="W435" i="5"/>
  <c r="W158" i="5"/>
  <c r="X158" i="5" s="1"/>
  <c r="W27" i="5"/>
  <c r="Y27" i="5" s="1"/>
  <c r="W122" i="5"/>
  <c r="W348" i="5"/>
  <c r="Y348" i="5" s="1"/>
  <c r="W510" i="5"/>
  <c r="X510" i="5" s="1"/>
  <c r="W68" i="5"/>
  <c r="W507" i="5"/>
  <c r="Y507" i="5" s="1"/>
  <c r="W454" i="5"/>
  <c r="X454" i="5" s="1"/>
  <c r="W531" i="5"/>
  <c r="X531" i="5" s="1"/>
  <c r="W449" i="5"/>
  <c r="Y449" i="5" s="1"/>
  <c r="W267" i="5"/>
  <c r="X267" i="5" s="1"/>
  <c r="W177" i="5"/>
  <c r="Y177" i="5" s="1"/>
  <c r="W299" i="5"/>
  <c r="Y299" i="5" s="1"/>
  <c r="W351" i="5"/>
  <c r="Y351" i="5" s="1"/>
  <c r="W536" i="5"/>
  <c r="Y536" i="5" s="1"/>
  <c r="S19" i="4"/>
  <c r="AL19" i="4" s="1"/>
  <c r="S27" i="4"/>
  <c r="AL27" i="4" s="1"/>
  <c r="S35" i="4"/>
  <c r="AL35" i="4" s="1"/>
  <c r="S43" i="4"/>
  <c r="AL43" i="4" s="1"/>
  <c r="S51" i="4"/>
  <c r="AL51" i="4" s="1"/>
  <c r="S60" i="4"/>
  <c r="AL60" i="4" s="1"/>
  <c r="S134" i="4"/>
  <c r="AL134" i="4" s="1"/>
  <c r="S98" i="4"/>
  <c r="U98" i="4" s="1"/>
  <c r="S65" i="4"/>
  <c r="AL65" i="4" s="1"/>
  <c r="S92" i="4"/>
  <c r="AL92" i="4" s="1"/>
  <c r="S123" i="4"/>
  <c r="AL123" i="4" s="1"/>
  <c r="S149" i="4"/>
  <c r="AL149" i="4" s="1"/>
  <c r="S91" i="4"/>
  <c r="AL91" i="4" s="1"/>
  <c r="S133" i="4"/>
  <c r="AS133" i="4" s="1"/>
  <c r="S145" i="4"/>
  <c r="AL145" i="4" s="1"/>
  <c r="S138" i="4"/>
  <c r="AL138" i="4" s="1"/>
  <c r="S113" i="4"/>
  <c r="AL113" i="4" s="1"/>
  <c r="S89" i="4"/>
  <c r="AL89" i="4" s="1"/>
  <c r="S7" i="4"/>
  <c r="AL7" i="4" s="1"/>
  <c r="S58" i="4"/>
  <c r="AL58" i="4" s="1"/>
  <c r="S122" i="4"/>
  <c r="AL122" i="4" s="1"/>
  <c r="S73" i="4"/>
  <c r="V73" i="4" s="1"/>
  <c r="AM73" i="4" s="1"/>
  <c r="S20" i="4"/>
  <c r="AL20" i="4" s="1"/>
  <c r="S28" i="4"/>
  <c r="AL28" i="4" s="1"/>
  <c r="S36" i="4"/>
  <c r="AL36" i="4" s="1"/>
  <c r="S44" i="4"/>
  <c r="AL44" i="4" s="1"/>
  <c r="S52" i="4"/>
  <c r="AL52" i="4" s="1"/>
  <c r="S67" i="4"/>
  <c r="AL67" i="4" s="1"/>
  <c r="S68" i="4"/>
  <c r="AL68" i="4" s="1"/>
  <c r="S102" i="4"/>
  <c r="AL102" i="4" s="1"/>
  <c r="S66" i="4"/>
  <c r="AL66" i="4" s="1"/>
  <c r="S96" i="4"/>
  <c r="AL96" i="4" s="1"/>
  <c r="S124" i="4"/>
  <c r="AL124" i="4" s="1"/>
  <c r="S153" i="4"/>
  <c r="AL153" i="4" s="1"/>
  <c r="S95" i="4"/>
  <c r="AL95" i="4" s="1"/>
  <c r="S77" i="4"/>
  <c r="V77" i="4" s="1"/>
  <c r="S156" i="4"/>
  <c r="AL156" i="4" s="1"/>
  <c r="S141" i="4"/>
  <c r="AS141" i="4" s="1"/>
  <c r="S117" i="4"/>
  <c r="AL117" i="4" s="1"/>
  <c r="S108" i="4"/>
  <c r="AL108" i="4" s="1"/>
  <c r="S50" i="4"/>
  <c r="AL50" i="4" s="1"/>
  <c r="S88" i="4"/>
  <c r="AL88" i="4" s="1"/>
  <c r="S118" i="4"/>
  <c r="U118" i="4" s="1"/>
  <c r="S15" i="4"/>
  <c r="AL15" i="4" s="1"/>
  <c r="S21" i="4"/>
  <c r="S29" i="4"/>
  <c r="AL29" i="4" s="1"/>
  <c r="S37" i="4"/>
  <c r="AL37" i="4" s="1"/>
  <c r="S45" i="4"/>
  <c r="AL45" i="4" s="1"/>
  <c r="S53" i="4"/>
  <c r="AL53" i="4" s="1"/>
  <c r="S62" i="4"/>
  <c r="U62" i="4" s="1"/>
  <c r="S74" i="4"/>
  <c r="AL74" i="4" s="1"/>
  <c r="S109" i="4"/>
  <c r="AL109" i="4" s="1"/>
  <c r="S71" i="4"/>
  <c r="AL71" i="4" s="1"/>
  <c r="S100" i="4"/>
  <c r="AL100" i="4" s="1"/>
  <c r="S125" i="4"/>
  <c r="AL125" i="4" s="1"/>
  <c r="S8" i="4"/>
  <c r="AL8" i="4" s="1"/>
  <c r="S103" i="4"/>
  <c r="AL103" i="4" s="1"/>
  <c r="S93" i="4"/>
  <c r="AL93" i="4" s="1"/>
  <c r="S9" i="4"/>
  <c r="AL9" i="4" s="1"/>
  <c r="S152" i="4"/>
  <c r="AL152" i="4" s="1"/>
  <c r="S147" i="4"/>
  <c r="AL147" i="4" s="1"/>
  <c r="S116" i="4"/>
  <c r="AL116" i="4" s="1"/>
  <c r="S26" i="4"/>
  <c r="AL26" i="4" s="1"/>
  <c r="S130" i="4"/>
  <c r="U130" i="4" s="1"/>
  <c r="S83" i="4"/>
  <c r="AL83" i="4" s="1"/>
  <c r="S101" i="4"/>
  <c r="S63" i="4"/>
  <c r="AL63" i="4" s="1"/>
  <c r="S22" i="4"/>
  <c r="AL22" i="4" s="1"/>
  <c r="S30" i="4"/>
  <c r="AL30" i="4" s="1"/>
  <c r="S38" i="4"/>
  <c r="AL38" i="4" s="1"/>
  <c r="S46" i="4"/>
  <c r="AL46" i="4" s="1"/>
  <c r="S54" i="4"/>
  <c r="AL54" i="4" s="1"/>
  <c r="S69" i="4"/>
  <c r="AL69" i="4" s="1"/>
  <c r="S78" i="4"/>
  <c r="AL78" i="4" s="1"/>
  <c r="S110" i="4"/>
  <c r="AL110" i="4" s="1"/>
  <c r="S72" i="4"/>
  <c r="AL72" i="4" s="1"/>
  <c r="S105" i="4"/>
  <c r="V105" i="4" s="1"/>
  <c r="S126" i="4"/>
  <c r="AL126" i="4" s="1"/>
  <c r="S61" i="4"/>
  <c r="AL61" i="4" s="1"/>
  <c r="S104" i="4"/>
  <c r="AL104" i="4" s="1"/>
  <c r="S107" i="4"/>
  <c r="AL107" i="4" s="1"/>
  <c r="S10" i="4"/>
  <c r="AS10" i="4" s="1"/>
  <c r="S155" i="4"/>
  <c r="AS155" i="4" s="1"/>
  <c r="S148" i="4"/>
  <c r="AL148" i="4" s="1"/>
  <c r="S143" i="4"/>
  <c r="U143" i="4" s="1"/>
  <c r="S18" i="4"/>
  <c r="AL18" i="4" s="1"/>
  <c r="S94" i="4"/>
  <c r="S132" i="4"/>
  <c r="S64" i="4"/>
  <c r="AL64" i="4" s="1"/>
  <c r="S23" i="4"/>
  <c r="AL23" i="4" s="1"/>
  <c r="S31" i="4"/>
  <c r="AL31" i="4" s="1"/>
  <c r="S39" i="4"/>
  <c r="AL39" i="4" s="1"/>
  <c r="S47" i="4"/>
  <c r="AL47" i="4" s="1"/>
  <c r="S55" i="4"/>
  <c r="AL55" i="4" s="1"/>
  <c r="S87" i="4"/>
  <c r="AL87" i="4" s="1"/>
  <c r="S82" i="4"/>
  <c r="AL82" i="4" s="1"/>
  <c r="S119" i="4"/>
  <c r="AL119" i="4" s="1"/>
  <c r="S76" i="4"/>
  <c r="AL76" i="4" s="1"/>
  <c r="S106" i="4"/>
  <c r="AL106" i="4" s="1"/>
  <c r="S135" i="4"/>
  <c r="AL135" i="4" s="1"/>
  <c r="S70" i="4"/>
  <c r="AL70" i="4" s="1"/>
  <c r="S111" i="4"/>
  <c r="AL111" i="4" s="1"/>
  <c r="S115" i="4"/>
  <c r="AL115" i="4" s="1"/>
  <c r="S81" i="4"/>
  <c r="AL81" i="4" s="1"/>
  <c r="S13" i="4"/>
  <c r="AL13" i="4" s="1"/>
  <c r="S151" i="4"/>
  <c r="AL151" i="4" s="1"/>
  <c r="S146" i="4"/>
  <c r="AL146" i="4" s="1"/>
  <c r="S42" i="4"/>
  <c r="AL42" i="4" s="1"/>
  <c r="S144" i="4"/>
  <c r="AL144" i="4" s="1"/>
  <c r="S11" i="4"/>
  <c r="AL11" i="4" s="1"/>
  <c r="S16" i="4"/>
  <c r="AL16" i="4" s="1"/>
  <c r="S24" i="4"/>
  <c r="AL24" i="4" s="1"/>
  <c r="S32" i="4"/>
  <c r="AL32" i="4" s="1"/>
  <c r="S40" i="4"/>
  <c r="AL40" i="4" s="1"/>
  <c r="S48" i="4"/>
  <c r="AL48" i="4" s="1"/>
  <c r="S56" i="4"/>
  <c r="AL56" i="4" s="1"/>
  <c r="S99" i="4"/>
  <c r="AL99" i="4" s="1"/>
  <c r="S86" i="4"/>
  <c r="AL86" i="4" s="1"/>
  <c r="S128" i="4"/>
  <c r="AL128" i="4" s="1"/>
  <c r="S80" i="4"/>
  <c r="AL80" i="4" s="1"/>
  <c r="S112" i="4"/>
  <c r="AL112" i="4" s="1"/>
  <c r="S139" i="4"/>
  <c r="AL139" i="4" s="1"/>
  <c r="S75" i="4"/>
  <c r="AL75" i="4" s="1"/>
  <c r="S129" i="4"/>
  <c r="AL129" i="4" s="1"/>
  <c r="S127" i="4"/>
  <c r="AL127" i="4" s="1"/>
  <c r="S97" i="4"/>
  <c r="AL97" i="4" s="1"/>
  <c r="S14" i="4"/>
  <c r="AL14" i="4" s="1"/>
  <c r="S154" i="4"/>
  <c r="AL154" i="4" s="1"/>
  <c r="S150" i="4"/>
  <c r="AL150" i="4" s="1"/>
  <c r="S17" i="4"/>
  <c r="AL17" i="4" s="1"/>
  <c r="S25" i="4"/>
  <c r="AL25" i="4" s="1"/>
  <c r="S33" i="4"/>
  <c r="AL33" i="4" s="1"/>
  <c r="S41" i="4"/>
  <c r="AL41" i="4" s="1"/>
  <c r="S49" i="4"/>
  <c r="AL49" i="4" s="1"/>
  <c r="S57" i="4"/>
  <c r="AL57" i="4" s="1"/>
  <c r="S120" i="4"/>
  <c r="AL120" i="4" s="1"/>
  <c r="S90" i="4"/>
  <c r="AL90" i="4" s="1"/>
  <c r="S137" i="4"/>
  <c r="AL137" i="4" s="1"/>
  <c r="S84" i="4"/>
  <c r="V84" i="4" s="1"/>
  <c r="S121" i="4"/>
  <c r="AL121" i="4" s="1"/>
  <c r="S140" i="4"/>
  <c r="V140" i="4" s="1"/>
  <c r="S79" i="4"/>
  <c r="S131" i="4"/>
  <c r="AL131" i="4" s="1"/>
  <c r="S136" i="4"/>
  <c r="AL136" i="4" s="1"/>
  <c r="S114" i="4"/>
  <c r="AL114" i="4" s="1"/>
  <c r="S85" i="4"/>
  <c r="AL85" i="4" s="1"/>
  <c r="S12" i="4"/>
  <c r="AL12" i="4" s="1"/>
  <c r="S157" i="4"/>
  <c r="V157" i="4" s="1"/>
  <c r="S34" i="4"/>
  <c r="S59" i="4"/>
  <c r="S142" i="4"/>
  <c r="AL142" i="4" s="1"/>
  <c r="W546" i="5"/>
  <c r="Y546" i="5" s="1"/>
  <c r="W424" i="5"/>
  <c r="X424" i="5" s="1"/>
  <c r="W448" i="5"/>
  <c r="X448" i="5" s="1"/>
  <c r="W496" i="5"/>
  <c r="Y496" i="5" s="1"/>
  <c r="W320" i="5"/>
  <c r="X320" i="5" s="1"/>
  <c r="W344" i="5"/>
  <c r="Y344" i="5" s="1"/>
  <c r="W368" i="5"/>
  <c r="Y368" i="5" s="1"/>
  <c r="W312" i="5"/>
  <c r="X312" i="5" s="1"/>
  <c r="W48" i="5"/>
  <c r="X48" i="5" s="1"/>
  <c r="W96" i="5"/>
  <c r="Y96" i="5" s="1"/>
  <c r="W553" i="5"/>
  <c r="Y553" i="5" s="1"/>
  <c r="W220" i="5"/>
  <c r="X220" i="5" s="1"/>
  <c r="W89" i="5"/>
  <c r="Y89" i="5" s="1"/>
  <c r="W218" i="5"/>
  <c r="Y218" i="5" s="1"/>
  <c r="W324" i="5"/>
  <c r="Y324" i="5" s="1"/>
  <c r="W390" i="5"/>
  <c r="Y390" i="5" s="1"/>
  <c r="W425" i="5"/>
  <c r="X425" i="5" s="1"/>
  <c r="W361" i="5"/>
  <c r="X361" i="5" s="1"/>
  <c r="W362" i="5"/>
  <c r="X362" i="5" s="1"/>
  <c r="W67" i="5"/>
  <c r="X67" i="5" s="1"/>
  <c r="W105" i="5"/>
  <c r="X105" i="5" s="1"/>
  <c r="W503" i="5"/>
  <c r="X503" i="5" s="1"/>
  <c r="W494" i="5"/>
  <c r="X494" i="5" s="1"/>
  <c r="W58" i="5"/>
  <c r="Y58" i="5" s="1"/>
  <c r="W552" i="5"/>
  <c r="Y552" i="5" s="1"/>
  <c r="W332" i="5"/>
  <c r="X332" i="5" s="1"/>
  <c r="W93" i="5"/>
  <c r="X93" i="5" s="1"/>
  <c r="W476" i="5"/>
  <c r="Y476" i="5" s="1"/>
  <c r="W478" i="5"/>
  <c r="Y478" i="5" s="1"/>
  <c r="W164" i="5"/>
  <c r="Y164" i="5" s="1"/>
  <c r="W474" i="5"/>
  <c r="Y474" i="5" s="1"/>
  <c r="W273" i="5"/>
  <c r="Y273" i="5" s="1"/>
  <c r="W244" i="5"/>
  <c r="Y244" i="5" s="1"/>
  <c r="W129" i="5"/>
  <c r="Y129" i="5" s="1"/>
  <c r="W163" i="5"/>
  <c r="X163" i="5" s="1"/>
  <c r="W167" i="5"/>
  <c r="W318" i="5"/>
  <c r="X318" i="5" s="1"/>
  <c r="W310" i="5"/>
  <c r="Y310" i="5" s="1"/>
  <c r="W44" i="5"/>
  <c r="Y44" i="5" s="1"/>
  <c r="W233" i="5"/>
  <c r="X233" i="5" s="1"/>
  <c r="W36" i="5"/>
  <c r="Y36" i="5" s="1"/>
  <c r="W82" i="5"/>
  <c r="X82" i="5" s="1"/>
  <c r="W428" i="5"/>
  <c r="Y428" i="5" s="1"/>
  <c r="W471" i="5"/>
  <c r="Y471" i="5" s="1"/>
  <c r="W21" i="5"/>
  <c r="Y21" i="5" s="1"/>
  <c r="W559" i="5"/>
  <c r="Y559" i="5" s="1"/>
  <c r="W410" i="5"/>
  <c r="X410" i="5" s="1"/>
  <c r="W222" i="5"/>
  <c r="Y222" i="5" s="1"/>
  <c r="W254" i="5"/>
  <c r="Y254" i="5" s="1"/>
  <c r="W130" i="5"/>
  <c r="X130" i="5" s="1"/>
  <c r="W235" i="5"/>
  <c r="W377" i="5"/>
  <c r="W461" i="5"/>
  <c r="W207" i="5"/>
  <c r="Y207" i="5" s="1"/>
  <c r="W408" i="5"/>
  <c r="X408" i="5" s="1"/>
  <c r="W47" i="5"/>
  <c r="W77" i="5"/>
  <c r="X77" i="5" s="1"/>
  <c r="W307" i="5"/>
  <c r="W445" i="5"/>
  <c r="Y445" i="5" s="1"/>
  <c r="W429" i="5"/>
  <c r="X429" i="5" s="1"/>
  <c r="W185" i="5"/>
  <c r="X185" i="5" s="1"/>
  <c r="W423" i="5"/>
  <c r="X423" i="5" s="1"/>
  <c r="W442" i="5"/>
  <c r="Y442" i="5" s="1"/>
  <c r="W248" i="5"/>
  <c r="Y248" i="5" s="1"/>
  <c r="W456" i="5"/>
  <c r="W504" i="5"/>
  <c r="Y504" i="5" s="1"/>
  <c r="W376" i="5"/>
  <c r="X376" i="5" s="1"/>
  <c r="W400" i="5"/>
  <c r="Y400" i="5" s="1"/>
  <c r="W224" i="5"/>
  <c r="Y224" i="5" s="1"/>
  <c r="W256" i="5"/>
  <c r="Y256" i="5" s="1"/>
  <c r="W288" i="5"/>
  <c r="X288" i="5" s="1"/>
  <c r="W120" i="5"/>
  <c r="X120" i="5" s="1"/>
  <c r="W56" i="5"/>
  <c r="W104" i="5"/>
  <c r="Y104" i="5" s="1"/>
  <c r="W148" i="5"/>
  <c r="X148" i="5" s="1"/>
  <c r="W491" i="5"/>
  <c r="Y491" i="5" s="1"/>
  <c r="W322" i="5"/>
  <c r="Y322" i="5" s="1"/>
  <c r="W114" i="5"/>
  <c r="Y114" i="5" s="1"/>
  <c r="W347" i="5"/>
  <c r="Y347" i="5" s="1"/>
  <c r="W378" i="5"/>
  <c r="X378" i="5" s="1"/>
  <c r="W528" i="5"/>
  <c r="Y528" i="5" s="1"/>
  <c r="W508" i="5"/>
  <c r="Y508" i="5" s="1"/>
  <c r="W327" i="5"/>
  <c r="Y327" i="5" s="1"/>
  <c r="W271" i="5"/>
  <c r="X271" i="5" s="1"/>
  <c r="W37" i="5"/>
  <c r="X37" i="5" s="1"/>
  <c r="W356" i="5"/>
  <c r="X356" i="5" s="1"/>
  <c r="W409" i="5"/>
  <c r="Y409" i="5" s="1"/>
  <c r="W530" i="5"/>
  <c r="X530" i="5" s="1"/>
  <c r="W269" i="5"/>
  <c r="W206" i="5"/>
  <c r="Y206" i="5" s="1"/>
  <c r="W20" i="5"/>
  <c r="X20" i="5" s="1"/>
  <c r="W300" i="5"/>
  <c r="Y300" i="5" s="1"/>
  <c r="W393" i="5"/>
  <c r="Y393" i="5" s="1"/>
  <c r="W34" i="5"/>
  <c r="Y34" i="5" s="1"/>
  <c r="W391" i="5"/>
  <c r="X391" i="5" s="1"/>
  <c r="W373" i="5"/>
  <c r="W145" i="5"/>
  <c r="X145" i="5" s="1"/>
  <c r="W178" i="5"/>
  <c r="Y178" i="5" s="1"/>
  <c r="W458" i="5"/>
  <c r="X458" i="5" s="1"/>
  <c r="W511" i="5"/>
  <c r="Y511" i="5" s="1"/>
  <c r="W134" i="5"/>
  <c r="X134" i="5" s="1"/>
  <c r="W236" i="5"/>
  <c r="X236" i="5" s="1"/>
  <c r="W411" i="5"/>
  <c r="X411" i="5" s="1"/>
  <c r="W278" i="5"/>
  <c r="Y278" i="5" s="1"/>
  <c r="W311" i="5"/>
  <c r="Y311" i="5" s="1"/>
  <c r="W39" i="5"/>
  <c r="X39" i="5" s="1"/>
  <c r="W261" i="5"/>
  <c r="Y261" i="5" s="1"/>
  <c r="W473" i="5"/>
  <c r="X473" i="5" s="1"/>
  <c r="W475" i="5"/>
  <c r="Y475" i="5" s="1"/>
  <c r="W430" i="5"/>
  <c r="X430" i="5" s="1"/>
  <c r="W45" i="5"/>
  <c r="X45" i="5" s="1"/>
  <c r="W174" i="5"/>
  <c r="Y174" i="5" s="1"/>
  <c r="W195" i="5"/>
  <c r="Y195" i="5" s="1"/>
  <c r="W505" i="5"/>
  <c r="Y505" i="5" s="1"/>
  <c r="W69" i="5"/>
  <c r="X69" i="5" s="1"/>
  <c r="W172" i="5"/>
  <c r="X172" i="5" s="1"/>
  <c r="W297" i="5"/>
  <c r="X297" i="5" s="1"/>
  <c r="W523" i="5"/>
  <c r="X523" i="5" s="1"/>
  <c r="W257" i="5"/>
  <c r="Y257" i="5" s="1"/>
  <c r="W258" i="5"/>
  <c r="Y258" i="5" s="1"/>
  <c r="W53" i="5"/>
  <c r="X53" i="5" s="1"/>
  <c r="W406" i="5"/>
  <c r="Y406" i="5" s="1"/>
  <c r="W213" i="5"/>
  <c r="X213" i="5" s="1"/>
  <c r="W460" i="5"/>
  <c r="X460" i="5" s="1"/>
  <c r="W46" i="5"/>
  <c r="X46" i="5" s="1"/>
  <c r="W268" i="5"/>
  <c r="X268" i="5" s="1"/>
  <c r="B40" i="5"/>
  <c r="W32" i="5"/>
  <c r="Y32" i="5" s="1"/>
  <c r="W432" i="5"/>
  <c r="Y432" i="5" s="1"/>
  <c r="W480" i="5"/>
  <c r="X480" i="5" s="1"/>
  <c r="W328" i="5"/>
  <c r="Y328" i="5" s="1"/>
  <c r="W144" i="5"/>
  <c r="X144" i="5" s="1"/>
  <c r="W200" i="5"/>
  <c r="Y200" i="5" s="1"/>
  <c r="W522" i="5"/>
  <c r="Y522" i="5" s="1"/>
  <c r="W283" i="5"/>
  <c r="Y283" i="5" s="1"/>
  <c r="W326" i="5"/>
  <c r="X326" i="5" s="1"/>
  <c r="W111" i="5"/>
  <c r="Y111" i="5" s="1"/>
  <c r="W149" i="5"/>
  <c r="Y149" i="5" s="1"/>
  <c r="W396" i="5"/>
  <c r="X396" i="5" s="1"/>
  <c r="W518" i="5"/>
  <c r="Y518" i="5" s="1"/>
  <c r="W294" i="5"/>
  <c r="X294" i="5" s="1"/>
  <c r="W306" i="5"/>
  <c r="Y306" i="5" s="1"/>
  <c r="W81" i="5"/>
  <c r="X81" i="5" s="1"/>
  <c r="W289" i="5"/>
  <c r="X289" i="5" s="1"/>
  <c r="W367" i="5"/>
  <c r="Y367" i="5" s="1"/>
  <c r="W401" i="5"/>
  <c r="X401" i="5" s="1"/>
  <c r="W292" i="5"/>
  <c r="Y292" i="5" s="1"/>
  <c r="W415" i="5"/>
  <c r="X415" i="5" s="1"/>
  <c r="W91" i="5"/>
  <c r="Y91" i="5" s="1"/>
  <c r="W265" i="5"/>
  <c r="X265" i="5" s="1"/>
  <c r="W346" i="5"/>
  <c r="X346" i="5" s="1"/>
  <c r="W387" i="5"/>
  <c r="Y387" i="5" s="1"/>
  <c r="W308" i="5"/>
  <c r="X308" i="5" s="1"/>
  <c r="W190" i="5"/>
  <c r="X190" i="5" s="1"/>
  <c r="W109" i="5"/>
  <c r="X109" i="5" s="1"/>
  <c r="W117" i="5"/>
  <c r="Y117" i="5" s="1"/>
  <c r="W443" i="5"/>
  <c r="X443" i="5" s="1"/>
  <c r="W483" i="5"/>
  <c r="Y483" i="5" s="1"/>
  <c r="W49" i="5"/>
  <c r="W459" i="5"/>
  <c r="W285" i="5"/>
  <c r="W242" i="5"/>
  <c r="X242" i="5" s="1"/>
  <c r="W263" i="5"/>
  <c r="Y263" i="5" s="1"/>
  <c r="W95" i="5"/>
  <c r="Y95" i="5" s="1"/>
  <c r="W298" i="5"/>
  <c r="Y298" i="5" s="1"/>
  <c r="W371" i="5"/>
  <c r="X371" i="5" s="1"/>
  <c r="W97" i="5"/>
  <c r="X97" i="5" s="1"/>
  <c r="W253" i="5"/>
  <c r="X253" i="5" s="1"/>
  <c r="W214" i="5"/>
  <c r="X214" i="5" s="1"/>
  <c r="W113" i="5"/>
  <c r="W166" i="5"/>
  <c r="Y166" i="5" s="1"/>
  <c r="W389" i="5"/>
  <c r="X389" i="5" s="1"/>
  <c r="W468" i="5"/>
  <c r="Y468" i="5" s="1"/>
  <c r="W115" i="5"/>
  <c r="X115" i="5" s="1"/>
  <c r="W520" i="5"/>
  <c r="X520" i="5" s="1"/>
  <c r="W506" i="5"/>
  <c r="X506" i="5" s="1"/>
  <c r="W193" i="5"/>
  <c r="W221" i="5"/>
  <c r="X221" i="5" s="1"/>
  <c r="W108" i="5"/>
  <c r="Y108" i="5" s="1"/>
  <c r="W313" i="5"/>
  <c r="Y313" i="5" s="1"/>
  <c r="W226" i="5"/>
  <c r="Y226" i="5" s="1"/>
  <c r="W479" i="5"/>
  <c r="W50" i="5"/>
  <c r="W275" i="5"/>
  <c r="Y275" i="5" s="1"/>
  <c r="W342" i="5"/>
  <c r="X342" i="5" s="1"/>
  <c r="W352" i="5"/>
  <c r="X352" i="5" s="1"/>
  <c r="W534" i="5"/>
  <c r="Y534" i="5" s="1"/>
  <c r="W264" i="5"/>
  <c r="X264" i="5" s="1"/>
  <c r="W176" i="5"/>
  <c r="X176" i="5" s="1"/>
  <c r="W64" i="5"/>
  <c r="Y64" i="5" s="1"/>
  <c r="W112" i="5"/>
  <c r="W537" i="5"/>
  <c r="Y537" i="5" s="1"/>
  <c r="W126" i="5"/>
  <c r="X126" i="5" s="1"/>
  <c r="W544" i="5"/>
  <c r="X544" i="5" s="1"/>
  <c r="W107" i="5"/>
  <c r="X107" i="5" s="1"/>
  <c r="W314" i="5"/>
  <c r="X314" i="5" s="1"/>
  <c r="W338" i="5"/>
  <c r="Y338" i="5" s="1"/>
  <c r="W170" i="5"/>
  <c r="Y170" i="5" s="1"/>
  <c r="W201" i="5"/>
  <c r="Y201" i="5" s="1"/>
  <c r="W198" i="5"/>
  <c r="Y198" i="5" s="1"/>
  <c r="W286" i="5"/>
  <c r="X286" i="5" s="1"/>
  <c r="W140" i="5"/>
  <c r="Y140" i="5" s="1"/>
  <c r="W196" i="5"/>
  <c r="X196" i="5" s="1"/>
  <c r="W302" i="5"/>
  <c r="Y302" i="5" s="1"/>
  <c r="W431" i="5"/>
  <c r="Y431" i="5" s="1"/>
  <c r="W76" i="5"/>
  <c r="X76" i="5" s="1"/>
  <c r="W59" i="5"/>
  <c r="X59" i="5" s="1"/>
  <c r="W179" i="5"/>
  <c r="X179" i="5" s="1"/>
  <c r="W231" i="5"/>
  <c r="Y231" i="5" s="1"/>
  <c r="W251" i="5"/>
  <c r="X251" i="5" s="1"/>
  <c r="W498" i="5"/>
  <c r="Y498" i="5" s="1"/>
  <c r="W43" i="5"/>
  <c r="Y43" i="5" s="1"/>
  <c r="W303" i="5"/>
  <c r="Y303" i="5" s="1"/>
  <c r="W54" i="5"/>
  <c r="X54" i="5" s="1"/>
  <c r="W84" i="5"/>
  <c r="X84" i="5" s="1"/>
  <c r="W465" i="5"/>
  <c r="Y465" i="5" s="1"/>
  <c r="W450" i="5"/>
  <c r="X450" i="5" s="1"/>
  <c r="W246" i="5"/>
  <c r="X246" i="5" s="1"/>
  <c r="W539" i="5"/>
  <c r="X539" i="5" s="1"/>
  <c r="W329" i="5"/>
  <c r="Y329" i="5" s="1"/>
  <c r="W228" i="5"/>
  <c r="Y228" i="5" s="1"/>
  <c r="W232" i="5"/>
  <c r="Y232" i="5" s="1"/>
  <c r="W191" i="5"/>
  <c r="Y191" i="5" s="1"/>
  <c r="W287" i="5"/>
  <c r="X287" i="5" s="1"/>
  <c r="W412" i="5"/>
  <c r="Y412" i="5" s="1"/>
  <c r="W407" i="5"/>
  <c r="X407" i="5" s="1"/>
  <c r="W309" i="5"/>
  <c r="Y309" i="5" s="1"/>
  <c r="W525" i="5"/>
  <c r="Y525" i="5" s="1"/>
  <c r="W63" i="5"/>
  <c r="X63" i="5" s="1"/>
  <c r="W121" i="5"/>
  <c r="X121" i="5" s="1"/>
  <c r="W402" i="5"/>
  <c r="X402" i="5" s="1"/>
  <c r="W433" i="5"/>
  <c r="X433" i="5" s="1"/>
  <c r="W35" i="5"/>
  <c r="X35" i="5" s="1"/>
  <c r="W560" i="5"/>
  <c r="Y560" i="5" s="1"/>
  <c r="W381" i="5"/>
  <c r="X381" i="5" s="1"/>
  <c r="W187" i="5"/>
  <c r="X187" i="5" s="1"/>
  <c r="W245" i="5"/>
  <c r="X245" i="5" s="1"/>
  <c r="W241" i="5"/>
  <c r="X241" i="5" s="1"/>
  <c r="W238" i="5"/>
  <c r="X238" i="5" s="1"/>
  <c r="W119" i="5"/>
  <c r="X119" i="5" s="1"/>
  <c r="W276" i="5"/>
  <c r="Y276" i="5" s="1"/>
  <c r="W141" i="5"/>
  <c r="X141" i="5" s="1"/>
  <c r="W414" i="5"/>
  <c r="Y414" i="5" s="1"/>
  <c r="W208" i="5"/>
  <c r="X208" i="5" s="1"/>
  <c r="W538" i="5"/>
  <c r="Y538" i="5" s="1"/>
  <c r="W440" i="5"/>
  <c r="X440" i="5" s="1"/>
  <c r="W464" i="5"/>
  <c r="X464" i="5" s="1"/>
  <c r="W336" i="5"/>
  <c r="X336" i="5" s="1"/>
  <c r="W384" i="5"/>
  <c r="X384" i="5" s="1"/>
  <c r="W296" i="5"/>
  <c r="X296" i="5" s="1"/>
  <c r="W128" i="5"/>
  <c r="Y128" i="5" s="1"/>
  <c r="W40" i="5"/>
  <c r="Y40" i="5" s="1"/>
  <c r="W88" i="5"/>
  <c r="Y88" i="5" s="1"/>
  <c r="W79" i="5"/>
  <c r="Y79" i="5" s="1"/>
  <c r="W543" i="5"/>
  <c r="X543" i="5" s="1"/>
  <c r="W355" i="5"/>
  <c r="Y355" i="5" s="1"/>
  <c r="W444" i="5"/>
  <c r="X444" i="5" s="1"/>
  <c r="W153" i="5"/>
  <c r="X153" i="5" s="1"/>
  <c r="W25" i="5"/>
  <c r="Y25" i="5" s="1"/>
  <c r="W38" i="5"/>
  <c r="X38" i="5" s="1"/>
  <c r="W165" i="5"/>
  <c r="Y165" i="5" s="1"/>
  <c r="W175" i="5"/>
  <c r="X175" i="5" s="1"/>
  <c r="W542" i="5"/>
  <c r="X542" i="5" s="1"/>
  <c r="W143" i="5"/>
  <c r="X143" i="5" s="1"/>
  <c r="W225" i="5"/>
  <c r="X225" i="5" s="1"/>
  <c r="W99" i="5"/>
  <c r="X99" i="5" s="1"/>
  <c r="W500" i="5"/>
  <c r="X500" i="5" s="1"/>
  <c r="W247" i="5"/>
  <c r="Y247" i="5" s="1"/>
  <c r="W532" i="5"/>
  <c r="Y532" i="5" s="1"/>
  <c r="W92" i="5"/>
  <c r="X92" i="5" s="1"/>
  <c r="W229" i="5"/>
  <c r="Y229" i="5" s="1"/>
  <c r="W123" i="5"/>
  <c r="Y123" i="5" s="1"/>
  <c r="W457" i="5"/>
  <c r="Y457" i="5" s="1"/>
  <c r="W359" i="5"/>
  <c r="X359" i="5" s="1"/>
  <c r="W350" i="5"/>
  <c r="X350" i="5" s="1"/>
  <c r="W52" i="5"/>
  <c r="Y52" i="5" s="1"/>
  <c r="W349" i="5"/>
  <c r="Y349" i="5" s="1"/>
  <c r="W487" i="5"/>
  <c r="X487" i="5" s="1"/>
  <c r="W466" i="5"/>
  <c r="Y466" i="5" s="1"/>
  <c r="W469" i="5"/>
  <c r="X469" i="5" s="1"/>
  <c r="W94" i="5"/>
  <c r="Y94" i="5" s="1"/>
  <c r="W173" i="5"/>
  <c r="X173" i="5" s="1"/>
  <c r="W219" i="5"/>
  <c r="X219" i="5" s="1"/>
  <c r="W23" i="5"/>
  <c r="Y23" i="5" s="1"/>
  <c r="W169" i="5"/>
  <c r="X169" i="5" s="1"/>
  <c r="W279" i="5"/>
  <c r="X279" i="5" s="1"/>
  <c r="W486" i="5"/>
  <c r="X486" i="5" s="1"/>
  <c r="W19" i="5"/>
  <c r="Y19" i="5" s="1"/>
  <c r="W419" i="5"/>
  <c r="X419" i="5" s="1"/>
  <c r="W61" i="5"/>
  <c r="Y61" i="5" s="1"/>
  <c r="W90" i="5"/>
  <c r="X90" i="5" s="1"/>
  <c r="W426" i="5"/>
  <c r="Y426" i="5" s="1"/>
  <c r="W417" i="5"/>
  <c r="X417" i="5" s="1"/>
  <c r="W252" i="5"/>
  <c r="X252" i="5" s="1"/>
  <c r="W462" i="5"/>
  <c r="Y462" i="5" s="1"/>
  <c r="W211" i="5"/>
  <c r="X211" i="5" s="1"/>
  <c r="W162" i="5"/>
  <c r="X162" i="5" s="1"/>
  <c r="W205" i="5"/>
  <c r="W548" i="5"/>
  <c r="Y548" i="5" s="1"/>
  <c r="W147" i="5"/>
  <c r="W388" i="5"/>
  <c r="Y388" i="5" s="1"/>
  <c r="W249" i="5"/>
  <c r="Y249" i="5" s="1"/>
  <c r="W397" i="5"/>
  <c r="X397" i="5" s="1"/>
  <c r="W556" i="5"/>
  <c r="X556" i="5" s="1"/>
  <c r="W527" i="5"/>
  <c r="X527" i="5" s="1"/>
  <c r="W152" i="5"/>
  <c r="X152" i="5" s="1"/>
  <c r="W280" i="5"/>
  <c r="Y280" i="5" s="1"/>
  <c r="W488" i="5"/>
  <c r="Y488" i="5" s="1"/>
  <c r="W512" i="5"/>
  <c r="Y512" i="5" s="1"/>
  <c r="W360" i="5"/>
  <c r="X360" i="5" s="1"/>
  <c r="W416" i="5"/>
  <c r="X416" i="5" s="1"/>
  <c r="W240" i="5"/>
  <c r="Y240" i="5" s="1"/>
  <c r="W304" i="5"/>
  <c r="Y304" i="5" s="1"/>
  <c r="W8" i="5"/>
  <c r="X8" i="5" s="1"/>
  <c r="W317" i="5"/>
  <c r="X317" i="5" s="1"/>
  <c r="W30" i="5"/>
  <c r="X30" i="5" s="1"/>
  <c r="W277" i="5"/>
  <c r="X277" i="5" s="1"/>
  <c r="W385" i="5"/>
  <c r="X385" i="5" s="1"/>
  <c r="W150" i="5"/>
  <c r="X150" i="5" s="1"/>
  <c r="W250" i="5"/>
  <c r="X250" i="5" s="1"/>
  <c r="W142" i="5"/>
  <c r="X142" i="5" s="1"/>
  <c r="W182" i="5"/>
  <c r="X182" i="5" s="1"/>
  <c r="W133" i="5"/>
  <c r="Y133" i="5" s="1"/>
  <c r="W151" i="5"/>
  <c r="Y151" i="5" s="1"/>
  <c r="W519" i="5"/>
  <c r="Y519" i="5" s="1"/>
  <c r="W477" i="5"/>
  <c r="Y477" i="5" s="1"/>
  <c r="W171" i="5"/>
  <c r="W398" i="5"/>
  <c r="Y398" i="5" s="1"/>
  <c r="W489" i="5"/>
  <c r="W124" i="5"/>
  <c r="Y124" i="5" s="1"/>
  <c r="W485" i="5"/>
  <c r="X485" i="5" s="1"/>
  <c r="W541" i="5"/>
  <c r="Y541" i="5" s="1"/>
  <c r="W137" i="5"/>
  <c r="Y137" i="5" s="1"/>
  <c r="W354" i="5"/>
  <c r="Y354" i="5" s="1"/>
  <c r="W447" i="5"/>
  <c r="Y447" i="5" s="1"/>
  <c r="W295" i="5"/>
  <c r="Y295" i="5" s="1"/>
  <c r="W325" i="5"/>
  <c r="W33" i="5"/>
  <c r="X33" i="5" s="1"/>
  <c r="W357" i="5"/>
  <c r="X357" i="5" s="1"/>
  <c r="W380" i="5"/>
  <c r="X380" i="5" s="1"/>
  <c r="W85" i="5"/>
  <c r="Y85" i="5" s="1"/>
  <c r="W369" i="5"/>
  <c r="X369" i="5" s="1"/>
  <c r="W524" i="5"/>
  <c r="X524" i="5" s="1"/>
  <c r="W127" i="5"/>
  <c r="W180" i="5"/>
  <c r="X180" i="5" s="1"/>
  <c r="W547" i="5"/>
  <c r="W22" i="5"/>
  <c r="X22" i="5" s="1"/>
  <c r="W209" i="5"/>
  <c r="X209" i="5" s="1"/>
  <c r="W223" i="5"/>
  <c r="Y223" i="5" s="1"/>
  <c r="W558" i="5"/>
  <c r="X558" i="5" s="1"/>
  <c r="W316" i="5"/>
  <c r="Y316" i="5" s="1"/>
  <c r="W413" i="5"/>
  <c r="Y413" i="5" s="1"/>
  <c r="W57" i="5"/>
  <c r="X57" i="5" s="1"/>
  <c r="W421" i="5"/>
  <c r="X421" i="5" s="1"/>
  <c r="W463" i="5"/>
  <c r="X463" i="5" s="1"/>
  <c r="W540" i="5"/>
  <c r="Y540" i="5" s="1"/>
  <c r="W353" i="5"/>
  <c r="X353" i="5" s="1"/>
  <c r="W337" i="5"/>
  <c r="X337" i="5" s="1"/>
  <c r="W157" i="5"/>
  <c r="X157" i="5" s="1"/>
  <c r="W156" i="5"/>
  <c r="Y156" i="5" s="1"/>
  <c r="W437" i="5"/>
  <c r="X437" i="5" s="1"/>
  <c r="W31" i="5"/>
  <c r="Y31" i="5" s="1"/>
  <c r="W452" i="5"/>
  <c r="W234" i="5"/>
  <c r="Y234" i="5" s="1"/>
  <c r="W266" i="5"/>
  <c r="W370" i="5"/>
  <c r="W230" i="5"/>
  <c r="U69" i="4"/>
  <c r="AQ134" i="4"/>
  <c r="W383" i="5"/>
  <c r="X383" i="5" s="1"/>
  <c r="O9" i="5"/>
  <c r="W533" i="5"/>
  <c r="Y533" i="5" s="1"/>
  <c r="W395" i="5"/>
  <c r="Y395" i="5" s="1"/>
  <c r="W199" i="5"/>
  <c r="X199" i="5" s="1"/>
  <c r="W215" i="5"/>
  <c r="Y215" i="5" s="1"/>
  <c r="W493" i="5"/>
  <c r="X493" i="5" s="1"/>
  <c r="W116" i="5"/>
  <c r="X116" i="5" s="1"/>
  <c r="W315" i="5"/>
  <c r="W345" i="5"/>
  <c r="W404" i="5"/>
  <c r="W499" i="5"/>
  <c r="AQ141" i="4"/>
  <c r="U45" i="4"/>
  <c r="W363" i="5"/>
  <c r="W364" i="5"/>
  <c r="X364" i="5" s="1"/>
  <c r="W545" i="5"/>
  <c r="X545" i="5" s="1"/>
  <c r="W194" i="5"/>
  <c r="Y194" i="5" s="1"/>
  <c r="W131" i="5"/>
  <c r="X131" i="5" s="1"/>
  <c r="W188" i="5"/>
  <c r="X188" i="5" s="1"/>
  <c r="W555" i="5"/>
  <c r="X555" i="5" s="1"/>
  <c r="W41" i="5"/>
  <c r="X41" i="5" s="1"/>
  <c r="W202" i="5"/>
  <c r="Y202" i="5" s="1"/>
  <c r="W502" i="5"/>
  <c r="X502" i="5" s="1"/>
  <c r="W455" i="5"/>
  <c r="Y455" i="5" s="1"/>
  <c r="W514" i="5"/>
  <c r="X514" i="5" s="1"/>
  <c r="W495" i="5"/>
  <c r="Y495" i="5" s="1"/>
  <c r="W484" i="5"/>
  <c r="X484" i="5" s="1"/>
  <c r="W138" i="5"/>
  <c r="Y138" i="5" s="1"/>
  <c r="W155" i="5"/>
  <c r="Y155" i="5" s="1"/>
  <c r="W513" i="5"/>
  <c r="X513" i="5" s="1"/>
  <c r="W550" i="5"/>
  <c r="Y550" i="5" s="1"/>
  <c r="W87" i="5"/>
  <c r="X87" i="5" s="1"/>
  <c r="W482" i="5"/>
  <c r="Y482" i="5" s="1"/>
  <c r="W335" i="5"/>
  <c r="Y335" i="5" s="1"/>
  <c r="W427" i="5"/>
  <c r="AQ73" i="4"/>
  <c r="W420" i="5"/>
  <c r="Y420" i="5" s="1"/>
  <c r="W203" i="5"/>
  <c r="Y203" i="5" s="1"/>
  <c r="W434" i="5"/>
  <c r="Y434" i="5" s="1"/>
  <c r="W339" i="5"/>
  <c r="X339" i="5" s="1"/>
  <c r="W83" i="5"/>
  <c r="X83" i="5" s="1"/>
  <c r="W146" i="5"/>
  <c r="Y146" i="5" s="1"/>
  <c r="W529" i="5"/>
  <c r="X529" i="5" s="1"/>
  <c r="W284" i="5"/>
  <c r="X284" i="5" s="1"/>
  <c r="W186" i="5"/>
  <c r="X186" i="5" s="1"/>
  <c r="W516" i="5"/>
  <c r="Y516" i="5" s="1"/>
  <c r="W103" i="5"/>
  <c r="W73" i="5"/>
  <c r="Y73" i="5" s="1"/>
  <c r="V143" i="4"/>
  <c r="W509" i="5"/>
  <c r="Y509" i="5" s="1"/>
  <c r="W227" i="5"/>
  <c r="Y227" i="5" s="1"/>
  <c r="W374" i="5"/>
  <c r="W42" i="5"/>
  <c r="X42" i="5" s="1"/>
  <c r="W70" i="5"/>
  <c r="X70" i="5" s="1"/>
  <c r="W418" i="5"/>
  <c r="X418" i="5" s="1"/>
  <c r="W217" i="5"/>
  <c r="X217" i="5" s="1"/>
  <c r="W446" i="5"/>
  <c r="X446" i="5" s="1"/>
  <c r="W470" i="5"/>
  <c r="Y470" i="5" s="1"/>
  <c r="W379" i="5"/>
  <c r="X379" i="5" s="1"/>
  <c r="W118" i="5"/>
  <c r="K36" i="5"/>
  <c r="K37" i="5" s="1"/>
  <c r="Q47" i="5"/>
  <c r="Q25" i="5"/>
  <c r="Q50" i="5"/>
  <c r="Q54" i="5"/>
  <c r="Q68" i="5"/>
  <c r="Q73" i="5"/>
  <c r="Q86" i="5"/>
  <c r="Q44" i="5"/>
  <c r="Q108" i="5"/>
  <c r="Q137" i="5"/>
  <c r="Q100" i="5"/>
  <c r="Q157" i="5"/>
  <c r="Q124" i="5"/>
  <c r="Q150" i="5"/>
  <c r="Q174" i="5"/>
  <c r="Q175" i="5"/>
  <c r="Q178" i="5"/>
  <c r="Q199" i="5"/>
  <c r="Q107" i="5"/>
  <c r="Q221" i="5"/>
  <c r="Q195" i="5"/>
  <c r="Q226" i="5"/>
  <c r="Q203" i="5"/>
  <c r="Q284" i="5"/>
  <c r="Q323" i="5"/>
  <c r="Q229" i="5"/>
  <c r="Q285" i="5"/>
  <c r="Q310" i="5"/>
  <c r="Q220" i="5"/>
  <c r="Q274" i="5"/>
  <c r="Q297" i="5"/>
  <c r="Q341" i="5"/>
  <c r="Q289" i="5"/>
  <c r="Q372" i="5"/>
  <c r="Q407" i="5"/>
  <c r="Q439" i="5"/>
  <c r="Q308" i="5"/>
  <c r="Q363" i="5"/>
  <c r="Q402" i="5"/>
  <c r="Q327" i="5"/>
  <c r="Q377" i="5"/>
  <c r="Q412" i="5"/>
  <c r="Q387" i="5"/>
  <c r="Q462" i="5"/>
  <c r="Q485" i="5"/>
  <c r="Q523" i="5"/>
  <c r="Q369" i="5"/>
  <c r="Q446" i="5"/>
  <c r="Q486" i="5"/>
  <c r="Q510" i="5"/>
  <c r="Q444" i="5"/>
  <c r="Q494" i="5"/>
  <c r="Q535" i="5"/>
  <c r="Q553" i="5"/>
  <c r="Q498" i="5"/>
  <c r="Q550" i="5"/>
  <c r="Q558" i="5"/>
  <c r="Q544" i="5"/>
  <c r="Q516" i="5"/>
  <c r="Q49" i="5"/>
  <c r="Q29" i="5"/>
  <c r="Q52" i="5"/>
  <c r="Q55" i="5"/>
  <c r="Q69" i="5"/>
  <c r="Q71" i="5"/>
  <c r="Q95" i="5"/>
  <c r="Q82" i="5"/>
  <c r="Q116" i="5"/>
  <c r="Q142" i="5"/>
  <c r="Q114" i="5"/>
  <c r="Q159" i="5"/>
  <c r="Q126" i="5"/>
  <c r="Q155" i="5"/>
  <c r="Q188" i="5"/>
  <c r="Q179" i="5"/>
  <c r="Q182" i="5"/>
  <c r="Q201" i="5"/>
  <c r="Q177" i="5"/>
  <c r="Q225" i="5"/>
  <c r="Q204" i="5"/>
  <c r="Q231" i="5"/>
  <c r="Q213" i="5"/>
  <c r="Q291" i="5"/>
  <c r="Q325" i="5"/>
  <c r="Q247" i="5"/>
  <c r="Q290" i="5"/>
  <c r="Q321" i="5"/>
  <c r="Q223" i="5"/>
  <c r="Q275" i="5"/>
  <c r="Q309" i="5"/>
  <c r="Q346" i="5"/>
  <c r="Q295" i="5"/>
  <c r="Q375" i="5"/>
  <c r="Q409" i="5"/>
  <c r="Q441" i="5"/>
  <c r="Q314" i="5"/>
  <c r="Q365" i="5"/>
  <c r="Q404" i="5"/>
  <c r="Q338" i="5"/>
  <c r="Q394" i="5"/>
  <c r="Q415" i="5"/>
  <c r="Q390" i="5"/>
  <c r="Q463" i="5"/>
  <c r="Q500" i="5"/>
  <c r="Q524" i="5"/>
  <c r="Q410" i="5"/>
  <c r="Q452" i="5"/>
  <c r="Q487" i="5"/>
  <c r="Q514" i="5"/>
  <c r="Q445" i="5"/>
  <c r="Q497" i="5"/>
  <c r="Q536" i="5"/>
  <c r="Q559" i="5"/>
  <c r="Q508" i="5"/>
  <c r="Q364" i="5"/>
  <c r="Q560" i="5"/>
  <c r="Q556" i="5"/>
  <c r="Q531" i="5"/>
  <c r="Q21" i="5"/>
  <c r="Q20" i="5"/>
  <c r="Q30" i="5"/>
  <c r="Q27" i="5"/>
  <c r="Q58" i="5"/>
  <c r="Q65" i="5"/>
  <c r="Q75" i="5"/>
  <c r="Q85" i="5"/>
  <c r="Q94" i="5"/>
  <c r="Q117" i="5"/>
  <c r="Q151" i="5"/>
  <c r="Q125" i="5"/>
  <c r="Q83" i="5"/>
  <c r="Q127" i="5"/>
  <c r="Q156" i="5"/>
  <c r="Q130" i="5"/>
  <c r="Q180" i="5"/>
  <c r="Q202" i="5"/>
  <c r="Q235" i="5"/>
  <c r="Q186" i="5"/>
  <c r="Q228" i="5"/>
  <c r="Q205" i="5"/>
  <c r="Q234" i="5"/>
  <c r="Q227" i="5"/>
  <c r="Q292" i="5"/>
  <c r="Q331" i="5"/>
  <c r="Q253" i="5"/>
  <c r="Q293" i="5"/>
  <c r="Q326" i="5"/>
  <c r="Q239" i="5"/>
  <c r="Q277" i="5"/>
  <c r="Q315" i="5"/>
  <c r="Q348" i="5"/>
  <c r="Q306" i="5"/>
  <c r="Q380" i="5"/>
  <c r="Q411" i="5"/>
  <c r="Q442" i="5"/>
  <c r="Q340" i="5"/>
  <c r="Q373" i="5"/>
  <c r="Q413" i="5"/>
  <c r="Q347" i="5"/>
  <c r="Q395" i="5"/>
  <c r="Q421" i="5"/>
  <c r="Q393" i="5"/>
  <c r="Q468" i="5"/>
  <c r="Q501" i="5"/>
  <c r="Q527" i="5"/>
  <c r="Q420" i="5"/>
  <c r="Q457" i="5"/>
  <c r="Q489" i="5"/>
  <c r="Q520" i="5"/>
  <c r="Q449" i="5"/>
  <c r="Q502" i="5"/>
  <c r="Q537" i="5"/>
  <c r="Q268" i="5"/>
  <c r="Q515" i="5"/>
  <c r="Q430" i="5"/>
  <c r="Q557" i="5"/>
  <c r="Q403" i="5"/>
  <c r="Q539" i="5"/>
  <c r="Q26" i="5"/>
  <c r="Q22" i="5"/>
  <c r="Q33" i="5"/>
  <c r="Q51" i="5"/>
  <c r="Q60" i="5"/>
  <c r="Q70" i="5"/>
  <c r="Q77" i="5"/>
  <c r="Q87" i="5"/>
  <c r="Q103" i="5"/>
  <c r="Q119" i="5"/>
  <c r="Q153" i="5"/>
  <c r="Q138" i="5"/>
  <c r="Q102" i="5"/>
  <c r="Q129" i="5"/>
  <c r="Q92" i="5"/>
  <c r="Q145" i="5"/>
  <c r="Q183" i="5"/>
  <c r="Q207" i="5"/>
  <c r="Q236" i="5"/>
  <c r="Q189" i="5"/>
  <c r="Q230" i="5"/>
  <c r="Q206" i="5"/>
  <c r="Q237" i="5"/>
  <c r="Q246" i="5"/>
  <c r="Q299" i="5"/>
  <c r="Q333" i="5"/>
  <c r="Q255" i="5"/>
  <c r="Q298" i="5"/>
  <c r="Q330" i="5"/>
  <c r="Q243" i="5"/>
  <c r="Q278" i="5"/>
  <c r="Q317" i="5"/>
  <c r="Q350" i="5"/>
  <c r="Q332" i="5"/>
  <c r="Q385" i="5"/>
  <c r="Q418" i="5"/>
  <c r="Q245" i="5"/>
  <c r="Q343" i="5"/>
  <c r="Q379" i="5"/>
  <c r="Q414" i="5"/>
  <c r="Q351" i="5"/>
  <c r="Q397" i="5"/>
  <c r="Q318" i="5"/>
  <c r="Q433" i="5"/>
  <c r="Q471" i="5"/>
  <c r="Q503" i="5"/>
  <c r="Q252" i="5"/>
  <c r="Q422" i="5"/>
  <c r="Q467" i="5"/>
  <c r="Q490" i="5"/>
  <c r="Q197" i="5"/>
  <c r="Q450" i="5"/>
  <c r="Q509" i="5"/>
  <c r="Q541" i="5"/>
  <c r="Q447" i="5"/>
  <c r="Q532" i="5"/>
  <c r="Q443" i="5"/>
  <c r="Q459" i="5"/>
  <c r="Q427" i="5"/>
  <c r="Q540" i="5"/>
  <c r="Q31" i="5"/>
  <c r="Q23" i="5"/>
  <c r="Q35" i="5"/>
  <c r="Q59" i="5"/>
  <c r="Q63" i="5"/>
  <c r="Q74" i="5"/>
  <c r="Q79" i="5"/>
  <c r="Q90" i="5"/>
  <c r="Q106" i="5"/>
  <c r="Q123" i="5"/>
  <c r="Q154" i="5"/>
  <c r="Q140" i="5"/>
  <c r="Q105" i="5"/>
  <c r="Q134" i="5"/>
  <c r="Q115" i="5"/>
  <c r="Q161" i="5"/>
  <c r="Q185" i="5"/>
  <c r="Q181" i="5"/>
  <c r="Q238" i="5"/>
  <c r="Q191" i="5"/>
  <c r="Q233" i="5"/>
  <c r="Q209" i="5"/>
  <c r="Q242" i="5"/>
  <c r="Q258" i="5"/>
  <c r="Q302" i="5"/>
  <c r="Q196" i="5"/>
  <c r="Q259" i="5"/>
  <c r="Q300" i="5"/>
  <c r="Q141" i="5"/>
  <c r="Q260" i="5"/>
  <c r="Q283" i="5"/>
  <c r="Q319" i="5"/>
  <c r="Q357" i="5"/>
  <c r="Q334" i="5"/>
  <c r="Q386" i="5"/>
  <c r="Q423" i="5"/>
  <c r="Q249" i="5"/>
  <c r="Q349" i="5"/>
  <c r="Q382" i="5"/>
  <c r="Q417" i="5"/>
  <c r="Q358" i="5"/>
  <c r="Q398" i="5"/>
  <c r="Q359" i="5"/>
  <c r="Q453" i="5"/>
  <c r="Q473" i="5"/>
  <c r="Q511" i="5"/>
  <c r="Q301" i="5"/>
  <c r="Q425" i="5"/>
  <c r="Q469" i="5"/>
  <c r="Q492" i="5"/>
  <c r="Q342" i="5"/>
  <c r="Q465" i="5"/>
  <c r="Q518" i="5"/>
  <c r="Q542" i="5"/>
  <c r="Q451" i="5"/>
  <c r="Q547" i="5"/>
  <c r="Q460" i="5"/>
  <c r="Q466" i="5"/>
  <c r="Q429" i="5"/>
  <c r="Q19" i="5"/>
  <c r="Q42" i="5"/>
  <c r="Q36" i="5"/>
  <c r="Q41" i="5"/>
  <c r="Q67" i="5"/>
  <c r="Q57" i="5"/>
  <c r="Q81" i="5"/>
  <c r="Q91" i="5"/>
  <c r="Q110" i="5"/>
  <c r="Q89" i="5"/>
  <c r="Q133" i="5"/>
  <c r="Q53" i="5"/>
  <c r="Q146" i="5"/>
  <c r="Q118" i="5"/>
  <c r="Q147" i="5"/>
  <c r="Q163" i="5"/>
  <c r="Q166" i="5"/>
  <c r="Q164" i="5"/>
  <c r="Q193" i="5"/>
  <c r="Q250" i="5"/>
  <c r="Q210" i="5"/>
  <c r="Q165" i="5"/>
  <c r="Q217" i="5"/>
  <c r="Q101" i="5"/>
  <c r="Q269" i="5"/>
  <c r="Q313" i="5"/>
  <c r="Q215" i="5"/>
  <c r="Q271" i="5"/>
  <c r="Q305" i="5"/>
  <c r="Q173" i="5"/>
  <c r="Q265" i="5"/>
  <c r="Q287" i="5"/>
  <c r="Q329" i="5"/>
  <c r="Q257" i="5"/>
  <c r="Q356" i="5"/>
  <c r="Q391" i="5"/>
  <c r="Q431" i="5"/>
  <c r="Q279" i="5"/>
  <c r="Q354" i="5"/>
  <c r="Q388" i="5"/>
  <c r="Q263" i="5"/>
  <c r="Q370" i="5"/>
  <c r="Q405" i="5"/>
  <c r="Q378" i="5"/>
  <c r="Q455" i="5"/>
  <c r="Q475" i="5"/>
  <c r="Q519" i="5"/>
  <c r="Q337" i="5"/>
  <c r="Q435" i="5"/>
  <c r="Q477" i="5"/>
  <c r="Q495" i="5"/>
  <c r="Q426" i="5"/>
  <c r="Q479" i="5"/>
  <c r="Q529" i="5"/>
  <c r="Q545" i="5"/>
  <c r="Q481" i="5"/>
  <c r="Q552" i="5"/>
  <c r="Q522" i="5"/>
  <c r="Q525" i="5"/>
  <c r="Q499" i="5"/>
  <c r="O11" i="5"/>
  <c r="Q45" i="5"/>
  <c r="Q43" i="5"/>
  <c r="Q46" i="5"/>
  <c r="Q38" i="5"/>
  <c r="Q61" i="5"/>
  <c r="Q28" i="5"/>
  <c r="Q76" i="5"/>
  <c r="Q111" i="5"/>
  <c r="Q99" i="5"/>
  <c r="Q135" i="5"/>
  <c r="Q98" i="5"/>
  <c r="Q149" i="5"/>
  <c r="Q121" i="5"/>
  <c r="Q148" i="5"/>
  <c r="Q169" i="5"/>
  <c r="Q172" i="5"/>
  <c r="Q170" i="5"/>
  <c r="Q198" i="5"/>
  <c r="Q251" i="5"/>
  <c r="Q219" i="5"/>
  <c r="Q171" i="5"/>
  <c r="Q222" i="5"/>
  <c r="Q187" i="5"/>
  <c r="Q276" i="5"/>
  <c r="Q316" i="5"/>
  <c r="Q218" i="5"/>
  <c r="Q281" i="5"/>
  <c r="Q307" i="5"/>
  <c r="Q211" i="5"/>
  <c r="Q267" i="5"/>
  <c r="Q294" i="5"/>
  <c r="Q339" i="5"/>
  <c r="Q273" i="5"/>
  <c r="Q371" i="5"/>
  <c r="Q396" i="5"/>
  <c r="Q438" i="5"/>
  <c r="Q282" i="5"/>
  <c r="Q361" i="5"/>
  <c r="Q399" i="5"/>
  <c r="Q322" i="5"/>
  <c r="Q374" i="5"/>
  <c r="Q406" i="5"/>
  <c r="Q381" i="5"/>
  <c r="Q461" i="5"/>
  <c r="Q483" i="5"/>
  <c r="Q521" i="5"/>
  <c r="Q345" i="5"/>
  <c r="Q436" i="5"/>
  <c r="Q482" i="5"/>
  <c r="Q506" i="5"/>
  <c r="Q437" i="5"/>
  <c r="Q484" i="5"/>
  <c r="Q530" i="5"/>
  <c r="Q548" i="5"/>
  <c r="Q491" i="5"/>
  <c r="Q555" i="5"/>
  <c r="Q549" i="5"/>
  <c r="Q533" i="5"/>
  <c r="Q505" i="5"/>
  <c r="Q93" i="5"/>
  <c r="Q162" i="5"/>
  <c r="Q266" i="5"/>
  <c r="Q324" i="5"/>
  <c r="Q419" i="5"/>
  <c r="Q434" i="5"/>
  <c r="Q551" i="5"/>
  <c r="Q39" i="5"/>
  <c r="Q109" i="5"/>
  <c r="Q132" i="5"/>
  <c r="Q311" i="5"/>
  <c r="Q254" i="5"/>
  <c r="Q367" i="5"/>
  <c r="Q470" i="5"/>
  <c r="Q507" i="5"/>
  <c r="Q34" i="5"/>
  <c r="Q131" i="5"/>
  <c r="Q190" i="5"/>
  <c r="Q212" i="5"/>
  <c r="Q355" i="5"/>
  <c r="Q401" i="5"/>
  <c r="Q493" i="5"/>
  <c r="Q513" i="5"/>
  <c r="Q37" i="5"/>
  <c r="Q158" i="5"/>
  <c r="Q241" i="5"/>
  <c r="Q261" i="5"/>
  <c r="Q389" i="5"/>
  <c r="Q366" i="5"/>
  <c r="Q362" i="5"/>
  <c r="Q458" i="5"/>
  <c r="Q78" i="5"/>
  <c r="Q139" i="5"/>
  <c r="Q214" i="5"/>
  <c r="Q262" i="5"/>
  <c r="Q353" i="5"/>
  <c r="Q517" i="5"/>
  <c r="Q543" i="5"/>
  <c r="Q84" i="5"/>
  <c r="Q122" i="5"/>
  <c r="Q244" i="5"/>
  <c r="Q286" i="5"/>
  <c r="Q383" i="5"/>
  <c r="Q335" i="5"/>
  <c r="Q478" i="5"/>
  <c r="Q167" i="5"/>
  <c r="Q62" i="5"/>
  <c r="Q428" i="5"/>
  <c r="Q66" i="5"/>
  <c r="Q270" i="5"/>
  <c r="Q474" i="5"/>
  <c r="Q143" i="5"/>
  <c r="Q454" i="5"/>
  <c r="Q113" i="5"/>
  <c r="Q97" i="5"/>
  <c r="Q528" i="5"/>
  <c r="Q303" i="5"/>
  <c r="Q194" i="5"/>
  <c r="Q476" i="5"/>
  <c r="B37" i="5"/>
  <c r="AN272" i="5"/>
  <c r="AO272" i="5"/>
  <c r="U64" i="5"/>
  <c r="V64" i="5"/>
  <c r="AM193" i="5"/>
  <c r="U64" i="4"/>
  <c r="AS64" i="4"/>
  <c r="V64" i="4"/>
  <c r="AS102" i="4"/>
  <c r="AM59" i="5"/>
  <c r="T554" i="5"/>
  <c r="T546" i="5"/>
  <c r="T432" i="5"/>
  <c r="T448" i="5"/>
  <c r="T408" i="5"/>
  <c r="T280" i="5"/>
  <c r="T296" i="5"/>
  <c r="AM104" i="5"/>
  <c r="AM379" i="5"/>
  <c r="AM307" i="5"/>
  <c r="AM91" i="5"/>
  <c r="AM292" i="5"/>
  <c r="AM20" i="5"/>
  <c r="T38" i="5"/>
  <c r="T34" i="5"/>
  <c r="T70" i="5"/>
  <c r="T55" i="5"/>
  <c r="T89" i="5"/>
  <c r="T105" i="5"/>
  <c r="T87" i="5"/>
  <c r="T84" i="5"/>
  <c r="T43" i="5"/>
  <c r="T33" i="5"/>
  <c r="T66" i="5"/>
  <c r="T25" i="5"/>
  <c r="T83" i="5"/>
  <c r="T121" i="5"/>
  <c r="T26" i="5"/>
  <c r="T47" i="5"/>
  <c r="T27" i="5"/>
  <c r="T41" i="5"/>
  <c r="T94" i="5"/>
  <c r="T117" i="5"/>
  <c r="T52" i="5"/>
  <c r="T59" i="5"/>
  <c r="T74" i="5"/>
  <c r="T98" i="5"/>
  <c r="T91" i="5"/>
  <c r="T139" i="5"/>
  <c r="T39" i="5"/>
  <c r="T35" i="5"/>
  <c r="T95" i="5"/>
  <c r="T155" i="5"/>
  <c r="T151" i="5"/>
  <c r="T187" i="5"/>
  <c r="T154" i="5"/>
  <c r="T201" i="5"/>
  <c r="T211" i="5"/>
  <c r="T159" i="5"/>
  <c r="T243" i="5"/>
  <c r="T225" i="5"/>
  <c r="T249" i="5"/>
  <c r="T274" i="5"/>
  <c r="T318" i="5"/>
  <c r="T250" i="5"/>
  <c r="T292" i="5"/>
  <c r="T259" i="5"/>
  <c r="T290" i="5"/>
  <c r="T310" i="5"/>
  <c r="T354" i="5"/>
  <c r="T362" i="5"/>
  <c r="T393" i="5"/>
  <c r="T317" i="5"/>
  <c r="T385" i="5"/>
  <c r="T162" i="5"/>
  <c r="T340" i="5"/>
  <c r="T379" i="5"/>
  <c r="T451" i="5"/>
  <c r="T494" i="5"/>
  <c r="T525" i="5"/>
  <c r="T431" i="5"/>
  <c r="T517" i="5"/>
  <c r="T374" i="5"/>
  <c r="T425" i="5"/>
  <c r="T461" i="5"/>
  <c r="T487" i="5"/>
  <c r="T531" i="5"/>
  <c r="T346" i="5"/>
  <c r="T22" i="5"/>
  <c r="T63" i="5"/>
  <c r="T107" i="5"/>
  <c r="T106" i="5"/>
  <c r="T156" i="5"/>
  <c r="T125" i="5"/>
  <c r="T118" i="5"/>
  <c r="T161" i="5"/>
  <c r="T204" i="5"/>
  <c r="T215" i="5"/>
  <c r="T166" i="5"/>
  <c r="T174" i="5"/>
  <c r="T230" i="5"/>
  <c r="T252" i="5"/>
  <c r="T279" i="5"/>
  <c r="T322" i="5"/>
  <c r="T251" i="5"/>
  <c r="T299" i="5"/>
  <c r="T331" i="5"/>
  <c r="T261" i="5"/>
  <c r="T293" i="5"/>
  <c r="T356" i="5"/>
  <c r="T315" i="5"/>
  <c r="T364" i="5"/>
  <c r="T429" i="5"/>
  <c r="T341" i="5"/>
  <c r="T386" i="5"/>
  <c r="T195" i="5"/>
  <c r="T348" i="5"/>
  <c r="T382" i="5"/>
  <c r="T411" i="5"/>
  <c r="T428" i="5"/>
  <c r="T458" i="5"/>
  <c r="T499" i="5"/>
  <c r="T532" i="5"/>
  <c r="T438" i="5"/>
  <c r="T468" i="5"/>
  <c r="T498" i="5"/>
  <c r="T519" i="5"/>
  <c r="T377" i="5"/>
  <c r="T434" i="5"/>
  <c r="T463" i="5"/>
  <c r="T489" i="5"/>
  <c r="T540" i="5"/>
  <c r="T544" i="5"/>
  <c r="T514" i="5"/>
  <c r="T555" i="5"/>
  <c r="T549" i="5"/>
  <c r="T479" i="5"/>
  <c r="T36" i="5"/>
  <c r="T76" i="5"/>
  <c r="T85" i="5"/>
  <c r="T109" i="5"/>
  <c r="T114" i="5"/>
  <c r="T134" i="5"/>
  <c r="T133" i="5"/>
  <c r="T172" i="5"/>
  <c r="T206" i="5"/>
  <c r="T223" i="5"/>
  <c r="T199" i="5"/>
  <c r="T180" i="5"/>
  <c r="T233" i="5"/>
  <c r="T254" i="5"/>
  <c r="T282" i="5"/>
  <c r="T327" i="5"/>
  <c r="T258" i="5"/>
  <c r="T302" i="5"/>
  <c r="T321" i="5"/>
  <c r="T262" i="5"/>
  <c r="T329" i="5"/>
  <c r="T366" i="5"/>
  <c r="T403" i="5"/>
  <c r="T433" i="5"/>
  <c r="T369" i="5"/>
  <c r="T389" i="5"/>
  <c r="T228" i="5"/>
  <c r="T353" i="5"/>
  <c r="T383" i="5"/>
  <c r="T414" i="5"/>
  <c r="T430" i="5"/>
  <c r="T460" i="5"/>
  <c r="T505" i="5"/>
  <c r="T533" i="5"/>
  <c r="T442" i="5"/>
  <c r="T471" i="5"/>
  <c r="O10" i="5"/>
  <c r="AJ10" i="5" s="1"/>
  <c r="T53" i="5"/>
  <c r="T57" i="5"/>
  <c r="T101" i="5"/>
  <c r="T115" i="5"/>
  <c r="T149" i="5"/>
  <c r="T140" i="5"/>
  <c r="T183" i="5"/>
  <c r="T188" i="5"/>
  <c r="T212" i="5"/>
  <c r="T191" i="5"/>
  <c r="T235" i="5"/>
  <c r="T260" i="5"/>
  <c r="T289" i="5"/>
  <c r="T332" i="5"/>
  <c r="T266" i="5"/>
  <c r="T311" i="5"/>
  <c r="T226" i="5"/>
  <c r="T268" i="5"/>
  <c r="T298" i="5"/>
  <c r="T326" i="5"/>
  <c r="T267" i="5"/>
  <c r="T337" i="5"/>
  <c r="T367" i="5"/>
  <c r="T405" i="5"/>
  <c r="T436" i="5"/>
  <c r="T371" i="5"/>
  <c r="T391" i="5"/>
  <c r="T355" i="5"/>
  <c r="T388" i="5"/>
  <c r="T417" i="5"/>
  <c r="T466" i="5"/>
  <c r="T507" i="5"/>
  <c r="T537" i="5"/>
  <c r="T453" i="5"/>
  <c r="T474" i="5"/>
  <c r="T501" i="5"/>
  <c r="T522" i="5"/>
  <c r="T398" i="5"/>
  <c r="T439" i="5"/>
  <c r="T470" i="5"/>
  <c r="T493" i="5"/>
  <c r="T557" i="5"/>
  <c r="T465" i="5"/>
  <c r="T545" i="5"/>
  <c r="T406" i="5"/>
  <c r="T524" i="5"/>
  <c r="T559" i="5"/>
  <c r="T502" i="5"/>
  <c r="T61" i="5"/>
  <c r="T37" i="5"/>
  <c r="T123" i="5"/>
  <c r="T119" i="5"/>
  <c r="T171" i="5"/>
  <c r="T169" i="5"/>
  <c r="T185" i="5"/>
  <c r="T196" i="5"/>
  <c r="T227" i="5"/>
  <c r="T222" i="5"/>
  <c r="T236" i="5"/>
  <c r="T263" i="5"/>
  <c r="T295" i="5"/>
  <c r="T334" i="5"/>
  <c r="T276" i="5"/>
  <c r="T313" i="5"/>
  <c r="T231" i="5"/>
  <c r="T269" i="5"/>
  <c r="T300" i="5"/>
  <c r="T330" i="5"/>
  <c r="T342" i="5"/>
  <c r="T378" i="5"/>
  <c r="T410" i="5"/>
  <c r="T437" i="5"/>
  <c r="T372" i="5"/>
  <c r="T396" i="5"/>
  <c r="T275" i="5"/>
  <c r="T361" i="5"/>
  <c r="T287" i="5"/>
  <c r="T441" i="5"/>
  <c r="T508" i="5"/>
  <c r="T339" i="5"/>
  <c r="T454" i="5"/>
  <c r="T475" i="5"/>
  <c r="T503" i="5"/>
  <c r="T333" i="5"/>
  <c r="T401" i="5"/>
  <c r="T446" i="5"/>
  <c r="T473" i="5"/>
  <c r="T495" i="5"/>
  <c r="T560" i="5"/>
  <c r="T484" i="5"/>
  <c r="T412" i="5"/>
  <c r="T527" i="5"/>
  <c r="T449" i="5"/>
  <c r="T397" i="5"/>
  <c r="T509" i="5"/>
  <c r="T30" i="5"/>
  <c r="T92" i="5"/>
  <c r="T93" i="5"/>
  <c r="T131" i="5"/>
  <c r="T130" i="5"/>
  <c r="T173" i="5"/>
  <c r="T170" i="5"/>
  <c r="T186" i="5"/>
  <c r="T203" i="5"/>
  <c r="T239" i="5"/>
  <c r="T229" i="5"/>
  <c r="T207" i="5"/>
  <c r="T265" i="5"/>
  <c r="T301" i="5"/>
  <c r="T135" i="5"/>
  <c r="T284" i="5"/>
  <c r="T316" i="5"/>
  <c r="T246" i="5"/>
  <c r="T271" i="5"/>
  <c r="T303" i="5"/>
  <c r="T335" i="5"/>
  <c r="T283" i="5"/>
  <c r="T345" i="5"/>
  <c r="T381" i="5"/>
  <c r="T415" i="5"/>
  <c r="T214" i="5"/>
  <c r="T375" i="5"/>
  <c r="T407" i="5"/>
  <c r="T294" i="5"/>
  <c r="T363" i="5"/>
  <c r="T399" i="5"/>
  <c r="T324" i="5"/>
  <c r="T443" i="5"/>
  <c r="T478" i="5"/>
  <c r="T513" i="5"/>
  <c r="T347" i="5"/>
  <c r="T358" i="5"/>
  <c r="T413" i="5"/>
  <c r="T452" i="5"/>
  <c r="T477" i="5"/>
  <c r="T506" i="5"/>
  <c r="T529" i="5"/>
  <c r="T548" i="5"/>
  <c r="T426" i="5"/>
  <c r="T543" i="5"/>
  <c r="T528" i="5"/>
  <c r="T423" i="5"/>
  <c r="T520" i="5"/>
  <c r="T28" i="5"/>
  <c r="T50" i="5"/>
  <c r="T82" i="5"/>
  <c r="T126" i="5"/>
  <c r="T137" i="5"/>
  <c r="T138" i="5"/>
  <c r="T177" i="5"/>
  <c r="T79" i="5"/>
  <c r="T190" i="5"/>
  <c r="T205" i="5"/>
  <c r="T245" i="5"/>
  <c r="T210" i="5"/>
  <c r="T241" i="5"/>
  <c r="T270" i="5"/>
  <c r="T306" i="5"/>
  <c r="T237" i="5"/>
  <c r="T323" i="5"/>
  <c r="T253" i="5"/>
  <c r="T281" i="5"/>
  <c r="T305" i="5"/>
  <c r="T343" i="5"/>
  <c r="T286" i="5"/>
  <c r="T350" i="5"/>
  <c r="T387" i="5"/>
  <c r="T420" i="5"/>
  <c r="T247" i="5"/>
  <c r="T409" i="5"/>
  <c r="T319" i="5"/>
  <c r="T365" i="5"/>
  <c r="T402" i="5"/>
  <c r="T357" i="5"/>
  <c r="T447" i="5"/>
  <c r="T481" i="5"/>
  <c r="T515" i="5"/>
  <c r="T351" i="5"/>
  <c r="T459" i="5"/>
  <c r="T483" i="5"/>
  <c r="T511" i="5"/>
  <c r="T455" i="5"/>
  <c r="T482" i="5"/>
  <c r="T510" i="5"/>
  <c r="T338" i="5"/>
  <c r="T550" i="5"/>
  <c r="T450" i="5"/>
  <c r="T551" i="5"/>
  <c r="T530" i="5"/>
  <c r="T445" i="5"/>
  <c r="T523" i="5"/>
  <c r="T44" i="5"/>
  <c r="T194" i="5"/>
  <c r="T244" i="5"/>
  <c r="T359" i="5"/>
  <c r="T404" i="5"/>
  <c r="T500" i="5"/>
  <c r="T467" i="5"/>
  <c r="T539" i="5"/>
  <c r="T552" i="5"/>
  <c r="T67" i="5"/>
  <c r="T291" i="5"/>
  <c r="T390" i="5"/>
  <c r="T370" i="5"/>
  <c r="T486" i="5"/>
  <c r="T542" i="5"/>
  <c r="T553" i="5"/>
  <c r="T19" i="5"/>
  <c r="T69" i="5"/>
  <c r="T150" i="5"/>
  <c r="T325" i="5"/>
  <c r="T421" i="5"/>
  <c r="T521" i="5"/>
  <c r="T492" i="5"/>
  <c r="T419" i="5"/>
  <c r="T141" i="5"/>
  <c r="T242" i="5"/>
  <c r="T297" i="5"/>
  <c r="T491" i="5"/>
  <c r="T541" i="5"/>
  <c r="T535" i="5"/>
  <c r="T142" i="5"/>
  <c r="T221" i="5"/>
  <c r="T285" i="5"/>
  <c r="T380" i="5"/>
  <c r="T516" i="5"/>
  <c r="T395" i="5"/>
  <c r="T556" i="5"/>
  <c r="T394" i="5"/>
  <c r="T547" i="5"/>
  <c r="T146" i="5"/>
  <c r="T307" i="5"/>
  <c r="T418" i="5"/>
  <c r="T427" i="5"/>
  <c r="T422" i="5"/>
  <c r="T490" i="5"/>
  <c r="T558" i="5"/>
  <c r="T181" i="5"/>
  <c r="T273" i="5"/>
  <c r="T349" i="5"/>
  <c r="T462" i="5"/>
  <c r="T435" i="5"/>
  <c r="T444" i="5"/>
  <c r="T497" i="5"/>
  <c r="T469" i="5"/>
  <c r="T457" i="5"/>
  <c r="T536" i="5"/>
  <c r="T518" i="5"/>
  <c r="T100" i="5"/>
  <c r="T476" i="5"/>
  <c r="T314" i="5"/>
  <c r="T309" i="5"/>
  <c r="T373" i="5"/>
  <c r="T485" i="5"/>
  <c r="AM35" i="5"/>
  <c r="V44" i="4"/>
  <c r="AM99" i="5"/>
  <c r="U40" i="4"/>
  <c r="AM448" i="5"/>
  <c r="T464" i="5"/>
  <c r="T480" i="5"/>
  <c r="T328" i="5"/>
  <c r="T344" i="5"/>
  <c r="T376" i="5"/>
  <c r="T392" i="5"/>
  <c r="T248" i="5"/>
  <c r="T264" i="5"/>
  <c r="AM280" i="5"/>
  <c r="T160" i="5"/>
  <c r="T24" i="5"/>
  <c r="AM387" i="5"/>
  <c r="AM123" i="5"/>
  <c r="AM107" i="5"/>
  <c r="AM300" i="5"/>
  <c r="AM177" i="5"/>
  <c r="AM57" i="5"/>
  <c r="AS66" i="4"/>
  <c r="AM464" i="5"/>
  <c r="AM480" i="5"/>
  <c r="T496" i="5"/>
  <c r="T512" i="5"/>
  <c r="T360" i="5"/>
  <c r="AM408" i="5"/>
  <c r="T224" i="5"/>
  <c r="AM248" i="5"/>
  <c r="AM120" i="5"/>
  <c r="AM184" i="5"/>
  <c r="T208" i="5"/>
  <c r="T88" i="5"/>
  <c r="U93" i="4"/>
  <c r="AJ451" i="5"/>
  <c r="AL451" i="5" s="1"/>
  <c r="AJ465" i="5"/>
  <c r="AK465" i="5" s="1"/>
  <c r="AS91" i="4"/>
  <c r="AM308" i="5"/>
  <c r="AM121" i="5"/>
  <c r="V137" i="4"/>
  <c r="AS127" i="4"/>
  <c r="AS45" i="4"/>
  <c r="AS22" i="4"/>
  <c r="T526" i="5"/>
  <c r="AM424" i="5"/>
  <c r="T440" i="5"/>
  <c r="AM344" i="5"/>
  <c r="AM376" i="5"/>
  <c r="T304" i="5"/>
  <c r="AM144" i="5"/>
  <c r="T32" i="5"/>
  <c r="T112" i="5"/>
  <c r="AS128" i="4"/>
  <c r="AS150" i="4"/>
  <c r="V150" i="4"/>
  <c r="U150" i="4"/>
  <c r="AS30" i="4"/>
  <c r="U135" i="4"/>
  <c r="V71" i="4"/>
  <c r="T424" i="5"/>
  <c r="T456" i="5"/>
  <c r="T336" i="5"/>
  <c r="T400" i="5"/>
  <c r="T272" i="5"/>
  <c r="AM208" i="5"/>
  <c r="T56" i="5"/>
  <c r="AM535" i="5"/>
  <c r="AM337" i="5"/>
  <c r="AM257" i="5"/>
  <c r="AM153" i="5"/>
  <c r="AM227" i="5"/>
  <c r="AM203" i="5"/>
  <c r="AM236" i="5"/>
  <c r="AM148" i="5"/>
  <c r="AM60" i="5"/>
  <c r="U47" i="4"/>
  <c r="V19" i="4"/>
  <c r="AS19" i="4"/>
  <c r="U19" i="4"/>
  <c r="AS148" i="4"/>
  <c r="T538" i="5"/>
  <c r="AM440" i="5"/>
  <c r="T472" i="5"/>
  <c r="T504" i="5"/>
  <c r="AM336" i="5"/>
  <c r="T352" i="5"/>
  <c r="T368" i="5"/>
  <c r="T416" i="5"/>
  <c r="T232" i="5"/>
  <c r="T288" i="5"/>
  <c r="T192" i="5"/>
  <c r="T80" i="5"/>
  <c r="S96" i="5"/>
  <c r="R96" i="5"/>
  <c r="AS68" i="4"/>
  <c r="AS103" i="4"/>
  <c r="U103" i="4"/>
  <c r="V103" i="4"/>
  <c r="AS69" i="4"/>
  <c r="V69" i="4"/>
  <c r="AM36" i="5"/>
  <c r="AM67" i="5"/>
  <c r="AM75" i="5"/>
  <c r="AM74" i="5"/>
  <c r="AM100" i="5"/>
  <c r="AM124" i="5"/>
  <c r="AM166" i="5"/>
  <c r="AM201" i="5"/>
  <c r="AM196" i="5"/>
  <c r="AM215" i="5"/>
  <c r="AM291" i="5"/>
  <c r="AM317" i="5"/>
  <c r="AM295" i="5"/>
  <c r="AM357" i="5"/>
  <c r="AM411" i="5"/>
  <c r="AM22" i="5"/>
  <c r="AM21" i="5"/>
  <c r="AM102" i="5"/>
  <c r="AM117" i="5"/>
  <c r="AM170" i="5"/>
  <c r="AM165" i="5"/>
  <c r="AM214" i="5"/>
  <c r="AM237" i="5"/>
  <c r="AM303" i="5"/>
  <c r="AM321" i="5"/>
  <c r="AM309" i="5"/>
  <c r="AM218" i="5"/>
  <c r="AM414" i="5"/>
  <c r="AM375" i="5"/>
  <c r="AM461" i="5"/>
  <c r="AM381" i="5"/>
  <c r="AM545" i="5"/>
  <c r="AM553" i="5"/>
  <c r="AM541" i="5"/>
  <c r="AM37" i="5"/>
  <c r="AM52" i="5"/>
  <c r="AM76" i="5"/>
  <c r="AM86" i="5"/>
  <c r="AM101" i="5"/>
  <c r="AM180" i="5"/>
  <c r="AM190" i="5"/>
  <c r="AM217" i="5"/>
  <c r="AM191" i="5"/>
  <c r="AM323" i="5"/>
  <c r="AM188" i="5"/>
  <c r="AM310" i="5"/>
  <c r="AM316" i="5"/>
  <c r="AM428" i="5"/>
  <c r="AM377" i="5"/>
  <c r="AM333" i="5"/>
  <c r="AM515" i="5"/>
  <c r="AM468" i="5"/>
  <c r="AM405" i="5"/>
  <c r="AM489" i="5"/>
  <c r="AM229" i="5"/>
  <c r="AM558" i="5"/>
  <c r="AM542" i="5"/>
  <c r="AM30" i="5"/>
  <c r="AM63" i="5"/>
  <c r="AM77" i="5"/>
  <c r="AM94" i="5"/>
  <c r="AM126" i="5"/>
  <c r="AM134" i="5"/>
  <c r="AM213" i="5"/>
  <c r="AM226" i="5"/>
  <c r="AM327" i="5"/>
  <c r="AM241" i="5"/>
  <c r="AM315" i="5"/>
  <c r="AM319" i="5"/>
  <c r="AM386" i="5"/>
  <c r="AM531" i="5"/>
  <c r="AM470" i="5"/>
  <c r="AM441" i="5"/>
  <c r="AM494" i="5"/>
  <c r="AM297" i="5"/>
  <c r="AM559" i="5"/>
  <c r="AM44" i="5"/>
  <c r="AM55" i="5"/>
  <c r="AM84" i="5"/>
  <c r="AM138" i="5"/>
  <c r="AM143" i="5"/>
  <c r="AM242" i="5"/>
  <c r="AM246" i="5"/>
  <c r="AM247" i="5"/>
  <c r="AM329" i="5"/>
  <c r="AM250" i="5"/>
  <c r="AM399" i="5"/>
  <c r="AM342" i="5"/>
  <c r="AM401" i="5"/>
  <c r="AM382" i="5"/>
  <c r="AM443" i="5"/>
  <c r="AM502" i="5"/>
  <c r="AM425" i="5"/>
  <c r="AM524" i="5"/>
  <c r="AM46" i="5"/>
  <c r="AM54" i="5"/>
  <c r="AM146" i="5"/>
  <c r="AM158" i="5"/>
  <c r="AM230" i="5"/>
  <c r="AM244" i="5"/>
  <c r="AM266" i="5"/>
  <c r="AM269" i="5"/>
  <c r="AM255" i="5"/>
  <c r="AM330" i="5"/>
  <c r="AM373" i="5"/>
  <c r="AM277" i="5"/>
  <c r="AM402" i="5"/>
  <c r="AM364" i="5"/>
  <c r="AM452" i="5"/>
  <c r="AM391" i="5"/>
  <c r="AM507" i="5"/>
  <c r="AM453" i="5"/>
  <c r="AM503" i="5"/>
  <c r="AM513" i="5"/>
  <c r="AM544" i="5"/>
  <c r="AM483" i="5"/>
  <c r="AM90" i="5"/>
  <c r="AM154" i="5"/>
  <c r="AM181" i="5"/>
  <c r="AM183" i="5"/>
  <c r="AM271" i="5"/>
  <c r="AM268" i="5"/>
  <c r="AM339" i="5"/>
  <c r="AM345" i="5"/>
  <c r="AM417" i="5"/>
  <c r="AM366" i="5"/>
  <c r="AM460" i="5"/>
  <c r="AM403" i="5"/>
  <c r="AM511" i="5"/>
  <c r="AM466" i="5"/>
  <c r="AM509" i="5"/>
  <c r="AM517" i="5"/>
  <c r="AM407" i="5"/>
  <c r="AM19" i="5"/>
  <c r="AM151" i="5"/>
  <c r="AM275" i="5"/>
  <c r="AM398" i="5"/>
  <c r="AM479" i="5"/>
  <c r="AM119" i="5"/>
  <c r="AM351" i="5"/>
  <c r="AM471" i="5"/>
  <c r="AM522" i="5"/>
  <c r="AM150" i="5"/>
  <c r="AM393" i="5"/>
  <c r="AM478" i="5"/>
  <c r="AM523" i="5"/>
  <c r="AM187" i="5"/>
  <c r="AM350" i="5"/>
  <c r="AM429" i="5"/>
  <c r="AM529" i="5"/>
  <c r="AM34" i="5"/>
  <c r="AM182" i="5"/>
  <c r="AM361" i="5"/>
  <c r="AM439" i="5"/>
  <c r="AM548" i="5"/>
  <c r="AM202" i="5"/>
  <c r="AM245" i="5"/>
  <c r="AM516" i="5"/>
  <c r="AM78" i="5"/>
  <c r="AM279" i="5"/>
  <c r="AM254" i="5"/>
  <c r="AM353" i="5"/>
  <c r="AM501" i="5"/>
  <c r="AM95" i="5"/>
  <c r="AM290" i="5"/>
  <c r="AM378" i="5"/>
  <c r="AM469" i="5"/>
  <c r="AS134" i="4"/>
  <c r="V68" i="4"/>
  <c r="AM456" i="5"/>
  <c r="T488" i="5"/>
  <c r="T320" i="5"/>
  <c r="AM368" i="5"/>
  <c r="T384" i="5"/>
  <c r="AM400" i="5"/>
  <c r="T256" i="5"/>
  <c r="AM288" i="5"/>
  <c r="T312" i="5"/>
  <c r="T152" i="5"/>
  <c r="AM216" i="5"/>
  <c r="T8" i="5"/>
  <c r="B206" i="2"/>
  <c r="B255" i="2"/>
  <c r="AL64" i="5"/>
  <c r="AK64" i="5"/>
  <c r="AJ195" i="5"/>
  <c r="AJ519" i="5"/>
  <c r="AJ171" i="5"/>
  <c r="AJ457" i="5"/>
  <c r="AJ131" i="5"/>
  <c r="AJ59" i="5"/>
  <c r="AJ115" i="5"/>
  <c r="AI234" i="5"/>
  <c r="AH234" i="5"/>
  <c r="AO506" i="5"/>
  <c r="U152" i="4"/>
  <c r="AS85" i="4"/>
  <c r="V92" i="4"/>
  <c r="U82" i="4"/>
  <c r="U72" i="4"/>
  <c r="V81" i="4"/>
  <c r="AJ533" i="5"/>
  <c r="AJ351" i="5"/>
  <c r="AJ383" i="5"/>
  <c r="AJ263" i="5"/>
  <c r="AJ159" i="5"/>
  <c r="AJ191" i="5"/>
  <c r="AJ95" i="5"/>
  <c r="U129" i="5"/>
  <c r="U20" i="5"/>
  <c r="B51" i="2"/>
  <c r="B32" i="2" s="1"/>
  <c r="AJ448" i="5"/>
  <c r="AJ504" i="5"/>
  <c r="AJ376" i="5"/>
  <c r="AJ120" i="5"/>
  <c r="AJ176" i="5"/>
  <c r="AJ112" i="5"/>
  <c r="AJ369" i="5"/>
  <c r="AJ281" i="5"/>
  <c r="AJ203" i="5"/>
  <c r="AJ395" i="5"/>
  <c r="AJ155" i="5"/>
  <c r="AI422" i="5"/>
  <c r="AN234" i="5"/>
  <c r="AO234" i="5"/>
  <c r="AS120" i="4"/>
  <c r="AS129" i="4"/>
  <c r="AS53" i="4"/>
  <c r="U53" i="4"/>
  <c r="V53" i="4"/>
  <c r="AS43" i="4"/>
  <c r="AS50" i="4"/>
  <c r="U50" i="4"/>
  <c r="U13" i="4"/>
  <c r="V13" i="4"/>
  <c r="AS13" i="4"/>
  <c r="V32" i="4"/>
  <c r="AS32" i="4"/>
  <c r="U32" i="4"/>
  <c r="AO533" i="5"/>
  <c r="AJ447" i="5"/>
  <c r="AJ479" i="5"/>
  <c r="AJ231" i="5"/>
  <c r="AN263" i="5"/>
  <c r="AJ199" i="5"/>
  <c r="U71" i="5"/>
  <c r="V71" i="5"/>
  <c r="V153" i="5"/>
  <c r="U153" i="5"/>
  <c r="U132" i="5"/>
  <c r="V132" i="5"/>
  <c r="V308" i="5"/>
  <c r="U308" i="5"/>
  <c r="V165" i="5"/>
  <c r="U165" i="5"/>
  <c r="V189" i="5"/>
  <c r="U189" i="5"/>
  <c r="AJ512" i="5"/>
  <c r="AJ384" i="5"/>
  <c r="AJ256" i="5"/>
  <c r="U184" i="5"/>
  <c r="V184" i="5"/>
  <c r="AJ26" i="5"/>
  <c r="AJ33" i="5"/>
  <c r="AJ34" i="5"/>
  <c r="AJ36" i="5"/>
  <c r="AJ65" i="5"/>
  <c r="AJ58" i="5"/>
  <c r="AJ70" i="5"/>
  <c r="AJ141" i="5"/>
  <c r="AJ102" i="5"/>
  <c r="AJ188" i="5"/>
  <c r="AJ148" i="5"/>
  <c r="AJ214" i="5"/>
  <c r="AJ241" i="5"/>
  <c r="AJ253" i="5"/>
  <c r="AJ294" i="5"/>
  <c r="AJ329" i="5"/>
  <c r="AJ251" i="5"/>
  <c r="AJ213" i="5"/>
  <c r="AJ270" i="5"/>
  <c r="AJ297" i="5"/>
  <c r="AJ246" i="5"/>
  <c r="AJ345" i="5"/>
  <c r="AJ370" i="5"/>
  <c r="AJ38" i="5"/>
  <c r="AJ68" i="5"/>
  <c r="AJ101" i="5"/>
  <c r="AJ138" i="5"/>
  <c r="AJ116" i="5"/>
  <c r="AJ133" i="5"/>
  <c r="AJ180" i="5"/>
  <c r="AJ242" i="5"/>
  <c r="AJ234" i="5"/>
  <c r="AJ189" i="5"/>
  <c r="AJ218" i="5"/>
  <c r="AJ298" i="5"/>
  <c r="AJ330" i="5"/>
  <c r="AJ254" i="5"/>
  <c r="AJ314" i="5"/>
  <c r="AJ221" i="5"/>
  <c r="AJ333" i="5"/>
  <c r="AJ346" i="5"/>
  <c r="AJ342" i="5"/>
  <c r="AJ378" i="5"/>
  <c r="AJ420" i="5"/>
  <c r="AJ396" i="5"/>
  <c r="AJ338" i="5"/>
  <c r="AJ446" i="5"/>
  <c r="AJ506" i="5"/>
  <c r="AJ502" i="5"/>
  <c r="AJ517" i="5"/>
  <c r="AJ542" i="5"/>
  <c r="AJ550" i="5"/>
  <c r="AJ528" i="5"/>
  <c r="AJ548" i="5"/>
  <c r="AJ486" i="5"/>
  <c r="AJ44" i="5"/>
  <c r="AJ42" i="5"/>
  <c r="AJ50" i="5"/>
  <c r="AJ74" i="5"/>
  <c r="AJ78" i="5"/>
  <c r="AJ109" i="5"/>
  <c r="AJ100" i="5"/>
  <c r="AJ118" i="5"/>
  <c r="AJ149" i="5"/>
  <c r="AJ110" i="5"/>
  <c r="AJ186" i="5"/>
  <c r="AJ165" i="5"/>
  <c r="AJ194" i="5"/>
  <c r="AJ222" i="5"/>
  <c r="AJ193" i="5"/>
  <c r="AJ269" i="5"/>
  <c r="AJ305" i="5"/>
  <c r="AJ177" i="5"/>
  <c r="AJ257" i="5"/>
  <c r="AJ293" i="5"/>
  <c r="AJ250" i="5"/>
  <c r="AJ277" i="5"/>
  <c r="AJ308" i="5"/>
  <c r="AJ340" i="5"/>
  <c r="AJ356" i="5"/>
  <c r="AJ412" i="5"/>
  <c r="AJ349" i="5"/>
  <c r="AJ394" i="5"/>
  <c r="AJ401" i="5"/>
  <c r="AJ385" i="5"/>
  <c r="AJ461" i="5"/>
  <c r="AJ482" i="5"/>
  <c r="AJ418" i="5"/>
  <c r="AJ508" i="5"/>
  <c r="AJ417" i="5"/>
  <c r="AJ442" i="5"/>
  <c r="AJ527" i="5"/>
  <c r="AJ547" i="5"/>
  <c r="AJ556" i="5"/>
  <c r="AJ535" i="5"/>
  <c r="AJ497" i="5"/>
  <c r="AJ46" i="5"/>
  <c r="AJ45" i="5"/>
  <c r="AJ54" i="5"/>
  <c r="AJ84" i="5"/>
  <c r="AJ130" i="5"/>
  <c r="AJ157" i="5"/>
  <c r="AJ114" i="5"/>
  <c r="AJ164" i="5"/>
  <c r="AJ156" i="5"/>
  <c r="AJ170" i="5"/>
  <c r="AJ205" i="5"/>
  <c r="AJ226" i="5"/>
  <c r="AJ197" i="5"/>
  <c r="AJ198" i="5"/>
  <c r="AJ310" i="5"/>
  <c r="AJ322" i="5"/>
  <c r="AJ252" i="5"/>
  <c r="AJ282" i="5"/>
  <c r="AJ357" i="5"/>
  <c r="AJ380" i="5"/>
  <c r="AJ413" i="5"/>
  <c r="AJ354" i="5"/>
  <c r="AJ300" i="5"/>
  <c r="AJ381" i="5"/>
  <c r="AJ428" i="5"/>
  <c r="AJ484" i="5"/>
  <c r="AJ454" i="5"/>
  <c r="AJ509" i="5"/>
  <c r="AJ421" i="5"/>
  <c r="AJ445" i="5"/>
  <c r="AJ485" i="5"/>
  <c r="AJ552" i="5"/>
  <c r="AJ452" i="5"/>
  <c r="AJ22" i="5"/>
  <c r="AJ20" i="5"/>
  <c r="AJ21" i="5"/>
  <c r="AJ52" i="5"/>
  <c r="AJ61" i="5"/>
  <c r="AJ60" i="5"/>
  <c r="AJ85" i="5"/>
  <c r="AJ125" i="5"/>
  <c r="AJ158" i="5"/>
  <c r="AJ132" i="5"/>
  <c r="AJ150" i="5"/>
  <c r="AJ166" i="5"/>
  <c r="AJ173" i="5"/>
  <c r="AJ228" i="5"/>
  <c r="AJ172" i="5"/>
  <c r="AJ236" i="5"/>
  <c r="AJ278" i="5"/>
  <c r="AJ317" i="5"/>
  <c r="AJ230" i="5"/>
  <c r="AJ301" i="5"/>
  <c r="AJ324" i="5"/>
  <c r="AJ258" i="5"/>
  <c r="AJ286" i="5"/>
  <c r="AJ316" i="5"/>
  <c r="AJ274" i="5"/>
  <c r="AJ358" i="5"/>
  <c r="AJ398" i="5"/>
  <c r="AJ382" i="5"/>
  <c r="AJ405" i="5"/>
  <c r="AJ429" i="5"/>
  <c r="AJ492" i="5"/>
  <c r="AJ523" i="5"/>
  <c r="AJ436" i="5"/>
  <c r="AJ510" i="5"/>
  <c r="AJ422" i="5"/>
  <c r="AJ490" i="5"/>
  <c r="AJ558" i="5"/>
  <c r="AJ462" i="5"/>
  <c r="AJ514" i="5"/>
  <c r="AJ28" i="5"/>
  <c r="AJ57" i="5"/>
  <c r="AJ82" i="5"/>
  <c r="AJ106" i="5"/>
  <c r="AJ134" i="5"/>
  <c r="AJ140" i="5"/>
  <c r="AJ179" i="5"/>
  <c r="AJ204" i="5"/>
  <c r="AJ237" i="5"/>
  <c r="AJ232" i="5"/>
  <c r="AJ321" i="5"/>
  <c r="AJ287" i="5"/>
  <c r="AJ267" i="5"/>
  <c r="AJ355" i="5"/>
  <c r="AJ377" i="5"/>
  <c r="AJ434" i="5"/>
  <c r="AJ388" i="5"/>
  <c r="AJ372" i="5"/>
  <c r="AJ352" i="5"/>
  <c r="AJ480" i="5"/>
  <c r="AJ373" i="5"/>
  <c r="AJ481" i="5"/>
  <c r="AJ266" i="5"/>
  <c r="AJ437" i="5"/>
  <c r="AJ526" i="5"/>
  <c r="AJ404" i="5"/>
  <c r="AJ530" i="5"/>
  <c r="AJ498" i="5"/>
  <c r="AJ19" i="5"/>
  <c r="O13" i="5"/>
  <c r="AJ23" i="5"/>
  <c r="AJ39" i="5"/>
  <c r="AJ62" i="5"/>
  <c r="AJ93" i="5"/>
  <c r="AJ117" i="5"/>
  <c r="AJ136" i="5"/>
  <c r="AJ151" i="5"/>
  <c r="AJ137" i="5"/>
  <c r="AJ25" i="5"/>
  <c r="AJ63" i="5"/>
  <c r="AJ75" i="5"/>
  <c r="AJ94" i="5"/>
  <c r="AJ126" i="5"/>
  <c r="AJ145" i="5"/>
  <c r="AJ154" i="5"/>
  <c r="AJ182" i="5"/>
  <c r="AJ219" i="5"/>
  <c r="AJ181" i="5"/>
  <c r="AJ243" i="5"/>
  <c r="AJ331" i="5"/>
  <c r="AJ309" i="5"/>
  <c r="AJ289" i="5"/>
  <c r="AJ296" i="5"/>
  <c r="AJ390" i="5"/>
  <c r="AJ336" i="5"/>
  <c r="AJ406" i="5"/>
  <c r="AJ387" i="5"/>
  <c r="AJ440" i="5"/>
  <c r="AJ500" i="5"/>
  <c r="AJ441" i="5"/>
  <c r="AJ494" i="5"/>
  <c r="AJ393" i="5"/>
  <c r="AJ458" i="5"/>
  <c r="AJ538" i="5"/>
  <c r="AJ532" i="5"/>
  <c r="AJ551" i="5"/>
  <c r="AJ555" i="5"/>
  <c r="AJ37" i="5"/>
  <c r="AJ69" i="5"/>
  <c r="AJ76" i="5"/>
  <c r="AJ104" i="5"/>
  <c r="AJ128" i="5"/>
  <c r="AJ80" i="5"/>
  <c r="AJ139" i="5"/>
  <c r="AJ184" i="5"/>
  <c r="AJ235" i="5"/>
  <c r="AJ192" i="5"/>
  <c r="AJ247" i="5"/>
  <c r="AJ248" i="5"/>
  <c r="AJ315" i="5"/>
  <c r="AJ292" i="5"/>
  <c r="AJ337" i="5"/>
  <c r="AJ392" i="5"/>
  <c r="AJ341" i="5"/>
  <c r="AJ415" i="5"/>
  <c r="AJ391" i="5"/>
  <c r="AJ444" i="5"/>
  <c r="AJ505" i="5"/>
  <c r="AJ443" i="5"/>
  <c r="AJ499" i="5"/>
  <c r="AJ402" i="5"/>
  <c r="AJ460" i="5"/>
  <c r="AJ540" i="5"/>
  <c r="AJ549" i="5"/>
  <c r="AJ554" i="5"/>
  <c r="AJ557" i="5"/>
  <c r="AJ29" i="5"/>
  <c r="AJ53" i="5"/>
  <c r="AJ77" i="5"/>
  <c r="AJ90" i="5"/>
  <c r="AJ146" i="5"/>
  <c r="AJ86" i="5"/>
  <c r="AJ168" i="5"/>
  <c r="AJ196" i="5"/>
  <c r="AJ238" i="5"/>
  <c r="AJ206" i="5"/>
  <c r="AJ262" i="5"/>
  <c r="AJ249" i="5"/>
  <c r="AJ332" i="5"/>
  <c r="AJ304" i="5"/>
  <c r="AJ344" i="5"/>
  <c r="AJ408" i="5"/>
  <c r="AJ348" i="5"/>
  <c r="AJ259" i="5"/>
  <c r="AJ397" i="5"/>
  <c r="AJ453" i="5"/>
  <c r="AJ511" i="5"/>
  <c r="AJ450" i="5"/>
  <c r="AJ503" i="5"/>
  <c r="AJ414" i="5"/>
  <c r="AJ472" i="5"/>
  <c r="AJ544" i="5"/>
  <c r="AJ559" i="5"/>
  <c r="AJ560" i="5"/>
  <c r="AJ474" i="5"/>
  <c r="AJ30" i="5"/>
  <c r="AJ66" i="5"/>
  <c r="AJ73" i="5"/>
  <c r="AJ92" i="5"/>
  <c r="AJ161" i="5"/>
  <c r="AJ108" i="5"/>
  <c r="AJ174" i="5"/>
  <c r="AJ124" i="5"/>
  <c r="AJ244" i="5"/>
  <c r="AJ209" i="5"/>
  <c r="AJ284" i="5"/>
  <c r="AJ255" i="5"/>
  <c r="AJ190" i="5"/>
  <c r="AJ319" i="5"/>
  <c r="AJ350" i="5"/>
  <c r="AJ419" i="5"/>
  <c r="AJ364" i="5"/>
  <c r="AJ323" i="5"/>
  <c r="AJ407" i="5"/>
  <c r="AJ470" i="5"/>
  <c r="AJ537" i="5"/>
  <c r="AJ463" i="5"/>
  <c r="AJ513" i="5"/>
  <c r="AJ424" i="5"/>
  <c r="AJ491" i="5"/>
  <c r="AJ261" i="5"/>
  <c r="AJ468" i="5"/>
  <c r="AJ471" i="5"/>
  <c r="AJ529" i="5"/>
  <c r="AJ41" i="5"/>
  <c r="AJ27" i="5"/>
  <c r="AJ91" i="5"/>
  <c r="AJ98" i="5"/>
  <c r="AJ87" i="5"/>
  <c r="AJ123" i="5"/>
  <c r="AJ185" i="5"/>
  <c r="AJ142" i="5"/>
  <c r="AJ202" i="5"/>
  <c r="AJ220" i="5"/>
  <c r="AJ290" i="5"/>
  <c r="AJ268" i="5"/>
  <c r="AJ245" i="5"/>
  <c r="AJ325" i="5"/>
  <c r="AJ363" i="5"/>
  <c r="AJ426" i="5"/>
  <c r="AJ366" i="5"/>
  <c r="AJ343" i="5"/>
  <c r="AJ409" i="5"/>
  <c r="AJ476" i="5"/>
  <c r="AJ288" i="5"/>
  <c r="AJ466" i="5"/>
  <c r="AJ518" i="5"/>
  <c r="AJ425" i="5"/>
  <c r="AJ496" i="5"/>
  <c r="AJ279" i="5"/>
  <c r="AJ516" i="5"/>
  <c r="AJ475" i="5"/>
  <c r="AJ543" i="5"/>
  <c r="AJ24" i="5"/>
  <c r="AJ49" i="5"/>
  <c r="AJ67" i="5"/>
  <c r="AJ103" i="5"/>
  <c r="AJ122" i="5"/>
  <c r="AJ129" i="5"/>
  <c r="AJ178" i="5"/>
  <c r="AJ162" i="5"/>
  <c r="AJ215" i="5"/>
  <c r="AJ229" i="5"/>
  <c r="AJ302" i="5"/>
  <c r="AJ275" i="5"/>
  <c r="AJ260" i="5"/>
  <c r="AJ334" i="5"/>
  <c r="AJ365" i="5"/>
  <c r="AJ427" i="5"/>
  <c r="AJ374" i="5"/>
  <c r="AJ362" i="5"/>
  <c r="AJ410" i="5"/>
  <c r="AJ477" i="5"/>
  <c r="AJ361" i="5"/>
  <c r="AJ469" i="5"/>
  <c r="AJ520" i="5"/>
  <c r="AJ433" i="5"/>
  <c r="AJ501" i="5"/>
  <c r="AJ285" i="5"/>
  <c r="AJ522" i="5"/>
  <c r="AJ478" i="5"/>
  <c r="AJ545" i="5"/>
  <c r="AJ212" i="5"/>
  <c r="AJ493" i="5"/>
  <c r="AJ389" i="5"/>
  <c r="AJ375" i="5"/>
  <c r="AJ210" i="5"/>
  <c r="AJ318" i="5"/>
  <c r="AJ456" i="5"/>
  <c r="AJ175" i="5"/>
  <c r="AJ400" i="5"/>
  <c r="AJ536" i="5"/>
  <c r="AJ208" i="5"/>
  <c r="AJ386" i="5"/>
  <c r="AJ524" i="5"/>
  <c r="AJ326" i="5"/>
  <c r="AJ430" i="5"/>
  <c r="AJ546" i="5"/>
  <c r="AJ306" i="5"/>
  <c r="AJ495" i="5"/>
  <c r="AJ531" i="5"/>
  <c r="AJ276" i="5"/>
  <c r="AJ438" i="5"/>
  <c r="AJ233" i="5"/>
  <c r="AJ507" i="5"/>
  <c r="AJ201" i="5"/>
  <c r="AJ435" i="5"/>
  <c r="AJ163" i="5"/>
  <c r="B47" i="2"/>
  <c r="B28" i="2" s="1"/>
  <c r="AH556" i="5"/>
  <c r="AI556" i="5"/>
  <c r="AI437" i="5"/>
  <c r="AH437" i="5"/>
  <c r="AO285" i="5"/>
  <c r="AS151" i="4"/>
  <c r="V36" i="4"/>
  <c r="AS36" i="4"/>
  <c r="U36" i="4"/>
  <c r="AS144" i="4"/>
  <c r="U144" i="4"/>
  <c r="AS153" i="4"/>
  <c r="U131" i="4"/>
  <c r="AS138" i="4"/>
  <c r="V138" i="4"/>
  <c r="AS41" i="4"/>
  <c r="V41" i="4"/>
  <c r="U41" i="4"/>
  <c r="AJ553" i="5"/>
  <c r="AJ359" i="5"/>
  <c r="AJ271" i="5"/>
  <c r="AJ135" i="5"/>
  <c r="AJ167" i="5"/>
  <c r="U31" i="5"/>
  <c r="V31" i="5"/>
  <c r="U110" i="5"/>
  <c r="V110" i="5"/>
  <c r="U277" i="5"/>
  <c r="V277" i="5"/>
  <c r="U124" i="5"/>
  <c r="V124" i="5"/>
  <c r="U158" i="5"/>
  <c r="V158" i="5"/>
  <c r="AJ160" i="5"/>
  <c r="AH184" i="5"/>
  <c r="AJ216" i="5"/>
  <c r="AJ449" i="5"/>
  <c r="AJ81" i="5"/>
  <c r="AJ515" i="5"/>
  <c r="AH510" i="5"/>
  <c r="AN66" i="5"/>
  <c r="U56" i="4"/>
  <c r="V65" i="4"/>
  <c r="AS65" i="4"/>
  <c r="U65" i="4"/>
  <c r="U119" i="4"/>
  <c r="V119" i="4"/>
  <c r="AS119" i="4"/>
  <c r="V112" i="4"/>
  <c r="AS112" i="4"/>
  <c r="U112" i="4"/>
  <c r="U121" i="4"/>
  <c r="V99" i="4"/>
  <c r="AS99" i="4"/>
  <c r="U99" i="4"/>
  <c r="AJ423" i="5"/>
  <c r="AJ487" i="5"/>
  <c r="AJ327" i="5"/>
  <c r="AJ399" i="5"/>
  <c r="AJ31" i="5"/>
  <c r="AJ71" i="5"/>
  <c r="V220" i="5"/>
  <c r="V108" i="5"/>
  <c r="V163" i="5"/>
  <c r="V81" i="5"/>
  <c r="U81" i="5"/>
  <c r="AJ534" i="5"/>
  <c r="AJ464" i="5"/>
  <c r="V128" i="5"/>
  <c r="U128" i="5"/>
  <c r="AJ473" i="5"/>
  <c r="AJ121" i="5"/>
  <c r="AJ89" i="5"/>
  <c r="AO449" i="5"/>
  <c r="AN449" i="5"/>
  <c r="AJ347" i="5"/>
  <c r="U75" i="5"/>
  <c r="AJ265" i="5"/>
  <c r="AJ411" i="5"/>
  <c r="AJ291" i="5"/>
  <c r="AH261" i="5"/>
  <c r="AH306" i="5"/>
  <c r="AN334" i="5"/>
  <c r="AN62" i="5"/>
  <c r="AS147" i="4"/>
  <c r="U147" i="4"/>
  <c r="V147" i="4"/>
  <c r="AS16" i="4"/>
  <c r="AS78" i="4"/>
  <c r="V87" i="4"/>
  <c r="U15" i="4"/>
  <c r="U80" i="4"/>
  <c r="AS89" i="4"/>
  <c r="B223" i="2"/>
  <c r="B200" i="2"/>
  <c r="B212" i="2" s="1"/>
  <c r="H65" i="1" s="1"/>
  <c r="AJ455" i="5"/>
  <c r="AJ239" i="5"/>
  <c r="AJ207" i="5"/>
  <c r="AJ47" i="5"/>
  <c r="V157" i="5"/>
  <c r="U157" i="5"/>
  <c r="V238" i="5"/>
  <c r="AJ488" i="5"/>
  <c r="AJ320" i="5"/>
  <c r="AJ264" i="5"/>
  <c r="U168" i="5"/>
  <c r="V168" i="5"/>
  <c r="AJ48" i="5"/>
  <c r="AJ72" i="5"/>
  <c r="AJ96" i="5"/>
  <c r="AJ489" i="5"/>
  <c r="AJ113" i="5"/>
  <c r="AH211" i="5"/>
  <c r="AJ83" i="5"/>
  <c r="AJ313" i="5"/>
  <c r="AJ353" i="5"/>
  <c r="B174" i="2"/>
  <c r="B175" i="2"/>
  <c r="H54" i="1"/>
  <c r="AJ299" i="5"/>
  <c r="AJ211" i="5"/>
  <c r="AO547" i="5"/>
  <c r="AS122" i="4"/>
  <c r="U122" i="4"/>
  <c r="U33" i="4"/>
  <c r="U26" i="4"/>
  <c r="AJ525" i="5"/>
  <c r="AJ431" i="5"/>
  <c r="AJ335" i="5"/>
  <c r="AJ295" i="5"/>
  <c r="AJ127" i="5"/>
  <c r="AJ143" i="5"/>
  <c r="AJ79" i="5"/>
  <c r="U198" i="5"/>
  <c r="U65" i="5"/>
  <c r="V65" i="5"/>
  <c r="V73" i="5"/>
  <c r="U73" i="5"/>
  <c r="U122" i="5"/>
  <c r="V122" i="5"/>
  <c r="AJ360" i="5"/>
  <c r="AJ272" i="5"/>
  <c r="AJ312" i="5"/>
  <c r="V42" i="4"/>
  <c r="V122" i="4"/>
  <c r="AJ107" i="5"/>
  <c r="AJ403" i="5"/>
  <c r="AI355" i="5"/>
  <c r="AH527" i="5"/>
  <c r="AI527" i="5"/>
  <c r="AJ467" i="5"/>
  <c r="AJ339" i="5"/>
  <c r="AJ119" i="5"/>
  <c r="AF539" i="5"/>
  <c r="AF448" i="5"/>
  <c r="AF467" i="5"/>
  <c r="AF256" i="5"/>
  <c r="AF511" i="5"/>
  <c r="AF248" i="5"/>
  <c r="AF298" i="5"/>
  <c r="AF444" i="5"/>
  <c r="AF281" i="5"/>
  <c r="AF398" i="5"/>
  <c r="AF523" i="5"/>
  <c r="AF526" i="5"/>
  <c r="AF293" i="5"/>
  <c r="AF207" i="5"/>
  <c r="AF81" i="5"/>
  <c r="AF455" i="5"/>
  <c r="AF364" i="5"/>
  <c r="AF313" i="5"/>
  <c r="AF128" i="5"/>
  <c r="AF544" i="5"/>
  <c r="AF488" i="5"/>
  <c r="AF473" i="5"/>
  <c r="AF459" i="5"/>
  <c r="AF434" i="5"/>
  <c r="AF306" i="5"/>
  <c r="AF272" i="5"/>
  <c r="AF205" i="5"/>
  <c r="AF132" i="5"/>
  <c r="AF27" i="5"/>
  <c r="AF525" i="5"/>
  <c r="AF520" i="5"/>
  <c r="AF512" i="5"/>
  <c r="AF516" i="5"/>
  <c r="AF320" i="5"/>
  <c r="AF265" i="5"/>
  <c r="AF304" i="5"/>
  <c r="AF173" i="5"/>
  <c r="AF64" i="5"/>
  <c r="AF46" i="5"/>
  <c r="AF93" i="5"/>
  <c r="AF167" i="5"/>
  <c r="AF213" i="5"/>
  <c r="AF266" i="5"/>
  <c r="AF288" i="5"/>
  <c r="AF331" i="5"/>
  <c r="AF393" i="5"/>
  <c r="AF383" i="5"/>
  <c r="AF413" i="5"/>
  <c r="AF490" i="5"/>
  <c r="AF79" i="5"/>
  <c r="AF155" i="5"/>
  <c r="AF186" i="5"/>
  <c r="AF194" i="5"/>
  <c r="AF311" i="5"/>
  <c r="AF247" i="5"/>
  <c r="AF277" i="5"/>
  <c r="AF257" i="5"/>
  <c r="AF335" i="5"/>
  <c r="AF406" i="5"/>
  <c r="AF134" i="5"/>
  <c r="AF117" i="5"/>
  <c r="AF74" i="5"/>
  <c r="AF40" i="5"/>
  <c r="AF130" i="5"/>
  <c r="AF121" i="5"/>
  <c r="AF160" i="5"/>
  <c r="AF75" i="5"/>
  <c r="AF44" i="5"/>
  <c r="AF7" i="5"/>
  <c r="AF9" i="5"/>
  <c r="AF430" i="5"/>
  <c r="AF362" i="5"/>
  <c r="AF514" i="5"/>
  <c r="AF316" i="5"/>
  <c r="AF461" i="5"/>
  <c r="AF318" i="5"/>
  <c r="AF228" i="5"/>
  <c r="AF478" i="5"/>
  <c r="AF250" i="5"/>
  <c r="AF513" i="5"/>
  <c r="AF500" i="5"/>
  <c r="AF485" i="5"/>
  <c r="AF330" i="5"/>
  <c r="AF157" i="5"/>
  <c r="AF70" i="5"/>
  <c r="AF426" i="5"/>
  <c r="AF377" i="5"/>
  <c r="AF227" i="5"/>
  <c r="AF54" i="5"/>
  <c r="AF518" i="5"/>
  <c r="AF429" i="5"/>
  <c r="AF463" i="5"/>
  <c r="AF439" i="5"/>
  <c r="AF397" i="5"/>
  <c r="AF208" i="5"/>
  <c r="AF215" i="5"/>
  <c r="AF240" i="5"/>
  <c r="AF144" i="5"/>
  <c r="AF550" i="5"/>
  <c r="AF451" i="5"/>
  <c r="AF506" i="5"/>
  <c r="AF498" i="5"/>
  <c r="AF496" i="5"/>
  <c r="AF402" i="5"/>
  <c r="AF350" i="5"/>
  <c r="AF278" i="5"/>
  <c r="AF159" i="5"/>
  <c r="AF63" i="5"/>
  <c r="AF33" i="5"/>
  <c r="AF116" i="5"/>
  <c r="AF164" i="5"/>
  <c r="AF225" i="5"/>
  <c r="AF279" i="5"/>
  <c r="AF303" i="5"/>
  <c r="AF352" i="5"/>
  <c r="AF409" i="5"/>
  <c r="AF404" i="5"/>
  <c r="AF336" i="5"/>
  <c r="AF39" i="5"/>
  <c r="AF96" i="5"/>
  <c r="AF127" i="5"/>
  <c r="AF216" i="5"/>
  <c r="AF203" i="5"/>
  <c r="AF327" i="5"/>
  <c r="AF268" i="5"/>
  <c r="AF324" i="5"/>
  <c r="AF295" i="5"/>
  <c r="AF357" i="5"/>
  <c r="AF433" i="5"/>
  <c r="AF182" i="5"/>
  <c r="AF107" i="5"/>
  <c r="AF78" i="5"/>
  <c r="AF42" i="5"/>
  <c r="AF172" i="5"/>
  <c r="AF103" i="5"/>
  <c r="AF142" i="5"/>
  <c r="AF35" i="5"/>
  <c r="AF37" i="5"/>
  <c r="AF12" i="5"/>
  <c r="AF471" i="5"/>
  <c r="AF243" i="5"/>
  <c r="AF517" i="5"/>
  <c r="AF199" i="5"/>
  <c r="AF437" i="5"/>
  <c r="AF235" i="5"/>
  <c r="AF510" i="5"/>
  <c r="AF483" i="5"/>
  <c r="AF146" i="5"/>
  <c r="AF559" i="5"/>
  <c r="AF446" i="5"/>
  <c r="AF412" i="5"/>
  <c r="AF285" i="5"/>
  <c r="AF91" i="5"/>
  <c r="AF560" i="5"/>
  <c r="AF468" i="5"/>
  <c r="AF332" i="5"/>
  <c r="AF226" i="5"/>
  <c r="AF55" i="5"/>
  <c r="AF541" i="5"/>
  <c r="AF545" i="5"/>
  <c r="AF432" i="5"/>
  <c r="AF536" i="5"/>
  <c r="AF389" i="5"/>
  <c r="AF372" i="5"/>
  <c r="AF261" i="5"/>
  <c r="AF187" i="5"/>
  <c r="AF109" i="5"/>
  <c r="AF549" i="5"/>
  <c r="AF499" i="5"/>
  <c r="AF476" i="5"/>
  <c r="AF462" i="5"/>
  <c r="AF435" i="5"/>
  <c r="AF309" i="5"/>
  <c r="AF275" i="5"/>
  <c r="AF210" i="5"/>
  <c r="AF136" i="5"/>
  <c r="AF28" i="5"/>
  <c r="AF71" i="5"/>
  <c r="AF153" i="5"/>
  <c r="AF179" i="5"/>
  <c r="AF177" i="5"/>
  <c r="AF308" i="5"/>
  <c r="AF234" i="5"/>
  <c r="AF274" i="5"/>
  <c r="AF254" i="5"/>
  <c r="AF334" i="5"/>
  <c r="AF403" i="5"/>
  <c r="AF41" i="5"/>
  <c r="AF106" i="5"/>
  <c r="AF181" i="5"/>
  <c r="AF178" i="5"/>
  <c r="AF237" i="5"/>
  <c r="AF259" i="5"/>
  <c r="AF305" i="5"/>
  <c r="AF368" i="5"/>
  <c r="AF347" i="5"/>
  <c r="AF384" i="5"/>
  <c r="AF458" i="5"/>
  <c r="AF143" i="5"/>
  <c r="AF124" i="5"/>
  <c r="AF66" i="5"/>
  <c r="AF211" i="5"/>
  <c r="AF122" i="5"/>
  <c r="AF147" i="5"/>
  <c r="AF99" i="5"/>
  <c r="AF53" i="5"/>
  <c r="AF36" i="5"/>
  <c r="AF13" i="5"/>
  <c r="AF537" i="5"/>
  <c r="AF540" i="5"/>
  <c r="AF415" i="5"/>
  <c r="AF151" i="5"/>
  <c r="AF501" i="5"/>
  <c r="AF180" i="5"/>
  <c r="AF547" i="5"/>
  <c r="AF408" i="5"/>
  <c r="AF24" i="5"/>
  <c r="AF548" i="5"/>
  <c r="AF223" i="5"/>
  <c r="AF338" i="5"/>
  <c r="AF319" i="5"/>
  <c r="AF92" i="5"/>
  <c r="AF502" i="5"/>
  <c r="AF424" i="5"/>
  <c r="AF428" i="5"/>
  <c r="AF233" i="5"/>
  <c r="AF67" i="5"/>
  <c r="AF557" i="5"/>
  <c r="AF528" i="5"/>
  <c r="AF345" i="5"/>
  <c r="AF527" i="5"/>
  <c r="AF363" i="5"/>
  <c r="AF340" i="5"/>
  <c r="AF328" i="5"/>
  <c r="AF220" i="5"/>
  <c r="AF98" i="5"/>
  <c r="AF538" i="5"/>
  <c r="AF431" i="5"/>
  <c r="AF465" i="5"/>
  <c r="AF452" i="5"/>
  <c r="AF400" i="5"/>
  <c r="AF239" i="5"/>
  <c r="AF218" i="5"/>
  <c r="AF139" i="5"/>
  <c r="AF150" i="5"/>
  <c r="AF32" i="5"/>
  <c r="AF87" i="5"/>
  <c r="AF114" i="5"/>
  <c r="AF209" i="5"/>
  <c r="AF202" i="5"/>
  <c r="AF325" i="5"/>
  <c r="AF267" i="5"/>
  <c r="AF301" i="5"/>
  <c r="AF283" i="5"/>
  <c r="AF346" i="5"/>
  <c r="AF425" i="5"/>
  <c r="AF60" i="5"/>
  <c r="AF148" i="5"/>
  <c r="AF137" i="5"/>
  <c r="AF195" i="5"/>
  <c r="AF246" i="5"/>
  <c r="AF271" i="5"/>
  <c r="AF326" i="5"/>
  <c r="AF386" i="5"/>
  <c r="AF369" i="5"/>
  <c r="AF399" i="5"/>
  <c r="AF475" i="5"/>
  <c r="AF115" i="5"/>
  <c r="AF104" i="5"/>
  <c r="AF47" i="5"/>
  <c r="AF189" i="5"/>
  <c r="AF184" i="5"/>
  <c r="AF133" i="5"/>
  <c r="AF100" i="5"/>
  <c r="AF30" i="5"/>
  <c r="AF45" i="5"/>
  <c r="AF11" i="5"/>
  <c r="AF534" i="5"/>
  <c r="AF531" i="5"/>
  <c r="AF337" i="5"/>
  <c r="AF494" i="5"/>
  <c r="AF382" i="5"/>
  <c r="AF89" i="5"/>
  <c r="AF551" i="5"/>
  <c r="AF373" i="5"/>
  <c r="AF553" i="5"/>
  <c r="AF552" i="5"/>
  <c r="AF480" i="5"/>
  <c r="AF375" i="5"/>
  <c r="AF258" i="5"/>
  <c r="AF23" i="5"/>
  <c r="AF535" i="5"/>
  <c r="AF533" i="5"/>
  <c r="AF355" i="5"/>
  <c r="AF242" i="5"/>
  <c r="AF20" i="5"/>
  <c r="AF508" i="5"/>
  <c r="AF519" i="5"/>
  <c r="AF507" i="5"/>
  <c r="AF515" i="5"/>
  <c r="AF314" i="5"/>
  <c r="AF260" i="5"/>
  <c r="AF299" i="5"/>
  <c r="AF82" i="5"/>
  <c r="AF29" i="5"/>
  <c r="AF443" i="5"/>
  <c r="AF374" i="5"/>
  <c r="AF454" i="5"/>
  <c r="AF423" i="5"/>
  <c r="AF263" i="5"/>
  <c r="AF407" i="5"/>
  <c r="AF300" i="5"/>
  <c r="AF222" i="5"/>
  <c r="AF111" i="5"/>
  <c r="AF34" i="5"/>
  <c r="AF84" i="5"/>
  <c r="AF145" i="5"/>
  <c r="AF229" i="5"/>
  <c r="AF214" i="5"/>
  <c r="AF171" i="5"/>
  <c r="AF284" i="5"/>
  <c r="AF349" i="5"/>
  <c r="AF312" i="5"/>
  <c r="AF370" i="5"/>
  <c r="AF436" i="5"/>
  <c r="AF49" i="5"/>
  <c r="AF102" i="5"/>
  <c r="AF175" i="5"/>
  <c r="AF217" i="5"/>
  <c r="AF270" i="5"/>
  <c r="AF291" i="5"/>
  <c r="AF341" i="5"/>
  <c r="AF396" i="5"/>
  <c r="AF385" i="5"/>
  <c r="AF416" i="5"/>
  <c r="AF174" i="5"/>
  <c r="AF88" i="5"/>
  <c r="AF95" i="5"/>
  <c r="AF65" i="5"/>
  <c r="AF158" i="5"/>
  <c r="AF169" i="5"/>
  <c r="AF125" i="5"/>
  <c r="AF83" i="5"/>
  <c r="AF58" i="5"/>
  <c r="AF482" i="5"/>
  <c r="AF487" i="5"/>
  <c r="AF90" i="5"/>
  <c r="AF481" i="5"/>
  <c r="AF280" i="5"/>
  <c r="AF19" i="5"/>
  <c r="AF294" i="5"/>
  <c r="AF356" i="5"/>
  <c r="AF421" i="5"/>
  <c r="AF310" i="5"/>
  <c r="AF59" i="5"/>
  <c r="AF492" i="5"/>
  <c r="AF365" i="5"/>
  <c r="AF190" i="5"/>
  <c r="AF73" i="5"/>
  <c r="AF191" i="5"/>
  <c r="AF302" i="5"/>
  <c r="AF418" i="5"/>
  <c r="AF77" i="5"/>
  <c r="AF230" i="5"/>
  <c r="AF290" i="5"/>
  <c r="AF249" i="5"/>
  <c r="AF149" i="5"/>
  <c r="AF21" i="5"/>
  <c r="AF105" i="5"/>
  <c r="AF245" i="5"/>
  <c r="AF427" i="5"/>
  <c r="AF555" i="5"/>
  <c r="AF543" i="5"/>
  <c r="AF391" i="5"/>
  <c r="AF509" i="5"/>
  <c r="AF286" i="5"/>
  <c r="AF530" i="5"/>
  <c r="AF491" i="5"/>
  <c r="AF296" i="5"/>
  <c r="AF50" i="5"/>
  <c r="AF440" i="5"/>
  <c r="AF353" i="5"/>
  <c r="AF224" i="5"/>
  <c r="AF94" i="5"/>
  <c r="AF236" i="5"/>
  <c r="AF321" i="5"/>
  <c r="AF380" i="5"/>
  <c r="AF86" i="5"/>
  <c r="AF238" i="5"/>
  <c r="AF358" i="5"/>
  <c r="AF371" i="5"/>
  <c r="AF131" i="5"/>
  <c r="AF192" i="5"/>
  <c r="AF85" i="5"/>
  <c r="AF445" i="5"/>
  <c r="AF505" i="5"/>
  <c r="AF495" i="5"/>
  <c r="AF469" i="5"/>
  <c r="AF262" i="5"/>
  <c r="AF479" i="5"/>
  <c r="AF176" i="5"/>
  <c r="AF322" i="5"/>
  <c r="AF460" i="5"/>
  <c r="AF276" i="5"/>
  <c r="AF493" i="5"/>
  <c r="AF420" i="5"/>
  <c r="AF376" i="5"/>
  <c r="AF108" i="5"/>
  <c r="AF126" i="5"/>
  <c r="AF231" i="5"/>
  <c r="AF252" i="5"/>
  <c r="AF395" i="5"/>
  <c r="AF123" i="5"/>
  <c r="AF219" i="5"/>
  <c r="AF255" i="5"/>
  <c r="AF348" i="5"/>
  <c r="AF156" i="5"/>
  <c r="AF168" i="5"/>
  <c r="AF97" i="5"/>
  <c r="AF10" i="5"/>
  <c r="AF521" i="5"/>
  <c r="AF417" i="5"/>
  <c r="AF366" i="5"/>
  <c r="AF556" i="5"/>
  <c r="AF197" i="5"/>
  <c r="AF504" i="5"/>
  <c r="AF161" i="5"/>
  <c r="AF503" i="5"/>
  <c r="AF419" i="5"/>
  <c r="AF241" i="5"/>
  <c r="AF542" i="5"/>
  <c r="AF477" i="5"/>
  <c r="AF342" i="5"/>
  <c r="AF101" i="5"/>
  <c r="AF135" i="5"/>
  <c r="AF201" i="5"/>
  <c r="AF367" i="5"/>
  <c r="AF388" i="5"/>
  <c r="AF140" i="5"/>
  <c r="AF282" i="5"/>
  <c r="AF354" i="5"/>
  <c r="AF394" i="5"/>
  <c r="AF57" i="5"/>
  <c r="AF152" i="5"/>
  <c r="AF48" i="5"/>
  <c r="AF31" i="5"/>
  <c r="AF453" i="5"/>
  <c r="AF438" i="5"/>
  <c r="AF387" i="5"/>
  <c r="AF470" i="5"/>
  <c r="AF212" i="5"/>
  <c r="AF497" i="5"/>
  <c r="AF68" i="5"/>
  <c r="AF484" i="5"/>
  <c r="AF390" i="5"/>
  <c r="AF221" i="5"/>
  <c r="AF558" i="5"/>
  <c r="AF359" i="5"/>
  <c r="AF317" i="5"/>
  <c r="AF80" i="5"/>
  <c r="AF170" i="5"/>
  <c r="AF292" i="5"/>
  <c r="AF381" i="5"/>
  <c r="AF456" i="5"/>
  <c r="AF120" i="5"/>
  <c r="AF297" i="5"/>
  <c r="AF410" i="5"/>
  <c r="AF442" i="5"/>
  <c r="AF61" i="5"/>
  <c r="AF138" i="5"/>
  <c r="AF76" i="5"/>
  <c r="AF8" i="5"/>
  <c r="AF273" i="5"/>
  <c r="AF289" i="5"/>
  <c r="AF329" i="5"/>
  <c r="AF457" i="5"/>
  <c r="AF113" i="5"/>
  <c r="AF447" i="5"/>
  <c r="AF524" i="5"/>
  <c r="AF449" i="5"/>
  <c r="AF351" i="5"/>
  <c r="AF185" i="5"/>
  <c r="AF546" i="5"/>
  <c r="AF532" i="5"/>
  <c r="AF264" i="5"/>
  <c r="AF51" i="5"/>
  <c r="AF119" i="5"/>
  <c r="AF253" i="5"/>
  <c r="AF441" i="5"/>
  <c r="AF472" i="5"/>
  <c r="AF166" i="5"/>
  <c r="AF183" i="5"/>
  <c r="AF193" i="5"/>
  <c r="AF118" i="5"/>
  <c r="AF69" i="5"/>
  <c r="AF141" i="5"/>
  <c r="AF72" i="5"/>
  <c r="AF522" i="5"/>
  <c r="AF287" i="5"/>
  <c r="AF379" i="5"/>
  <c r="AF206" i="5"/>
  <c r="AF378" i="5"/>
  <c r="AF165" i="5"/>
  <c r="AF414" i="5"/>
  <c r="AF489" i="5"/>
  <c r="AF486" i="5"/>
  <c r="AF405" i="5"/>
  <c r="AF188" i="5"/>
  <c r="AF554" i="5"/>
  <c r="AF464" i="5"/>
  <c r="AF333" i="5"/>
  <c r="AF26" i="5"/>
  <c r="AF200" i="5"/>
  <c r="AF269" i="5"/>
  <c r="AF343" i="5"/>
  <c r="AF43" i="5"/>
  <c r="AF204" i="5"/>
  <c r="AF307" i="5"/>
  <c r="AF315" i="5"/>
  <c r="AF162" i="5"/>
  <c r="AF52" i="5"/>
  <c r="AF154" i="5"/>
  <c r="AF62" i="5"/>
  <c r="AF466" i="5"/>
  <c r="AF196" i="5"/>
  <c r="AF339" i="5"/>
  <c r="AF450" i="5"/>
  <c r="AF422" i="5"/>
  <c r="AF129" i="5"/>
  <c r="AF360" i="5"/>
  <c r="AF401" i="5"/>
  <c r="AF474" i="5"/>
  <c r="AF344" i="5"/>
  <c r="AF110" i="5"/>
  <c r="AF529" i="5"/>
  <c r="AF392" i="5"/>
  <c r="AF244" i="5"/>
  <c r="AF56" i="5"/>
  <c r="AF251" i="5"/>
  <c r="AF323" i="5"/>
  <c r="AF361" i="5"/>
  <c r="AF38" i="5"/>
  <c r="AF232" i="5"/>
  <c r="AF198" i="5"/>
  <c r="AF411" i="5"/>
  <c r="AF163" i="5"/>
  <c r="AF25" i="5"/>
  <c r="AF112" i="5"/>
  <c r="AF22" i="5"/>
  <c r="AH233" i="5"/>
  <c r="AI233" i="5"/>
  <c r="AS83" i="4"/>
  <c r="U83" i="4"/>
  <c r="AS90" i="4"/>
  <c r="V90" i="4"/>
  <c r="U90" i="4"/>
  <c r="U17" i="4"/>
  <c r="V149" i="4"/>
  <c r="V156" i="4"/>
  <c r="AS156" i="4"/>
  <c r="U156" i="4"/>
  <c r="V139" i="4"/>
  <c r="U146" i="4"/>
  <c r="U28" i="4"/>
  <c r="AJ367" i="5"/>
  <c r="AJ223" i="5"/>
  <c r="U255" i="5"/>
  <c r="V255" i="5"/>
  <c r="AJ303" i="5"/>
  <c r="AJ111" i="5"/>
  <c r="U68" i="5"/>
  <c r="V68" i="5"/>
  <c r="U148" i="5"/>
  <c r="V148" i="5"/>
  <c r="AJ7" i="5"/>
  <c r="AG7" i="5"/>
  <c r="AM7" i="5"/>
  <c r="T7" i="5"/>
  <c r="Q7" i="5"/>
  <c r="W7" i="5"/>
  <c r="AJ368" i="5"/>
  <c r="AJ416" i="5"/>
  <c r="AJ240" i="5"/>
  <c r="AJ144" i="5"/>
  <c r="U200" i="5"/>
  <c r="V200" i="5"/>
  <c r="AJ32" i="5"/>
  <c r="AJ56" i="5"/>
  <c r="V50" i="4"/>
  <c r="V131" i="4"/>
  <c r="AJ97" i="5"/>
  <c r="AJ459" i="5"/>
  <c r="AJ541" i="5"/>
  <c r="AJ35" i="5"/>
  <c r="AJ99" i="5"/>
  <c r="AJ8" i="5"/>
  <c r="AH262" i="5"/>
  <c r="AO293" i="5"/>
  <c r="AN206" i="5"/>
  <c r="AO206" i="5"/>
  <c r="V51" i="4"/>
  <c r="AS51" i="4"/>
  <c r="U51" i="4"/>
  <c r="U58" i="4"/>
  <c r="AS117" i="4"/>
  <c r="V124" i="4"/>
  <c r="AS124" i="4"/>
  <c r="U124" i="4"/>
  <c r="AS107" i="4"/>
  <c r="U107" i="4"/>
  <c r="V107" i="4"/>
  <c r="AS114" i="4"/>
  <c r="U114" i="4"/>
  <c r="V104" i="4"/>
  <c r="U104" i="4"/>
  <c r="V113" i="4"/>
  <c r="AS113" i="4"/>
  <c r="U113" i="4"/>
  <c r="AJ439" i="5"/>
  <c r="AJ311" i="5"/>
  <c r="AN127" i="5"/>
  <c r="AJ183" i="5"/>
  <c r="AJ55" i="5"/>
  <c r="V62" i="5"/>
  <c r="V116" i="5"/>
  <c r="AJ432" i="5"/>
  <c r="AJ328" i="5"/>
  <c r="AJ224" i="5"/>
  <c r="AJ280" i="5"/>
  <c r="AJ152" i="5"/>
  <c r="AJ200" i="5"/>
  <c r="AJ40" i="5"/>
  <c r="AJ88" i="5"/>
  <c r="AJ217" i="5"/>
  <c r="V114" i="4"/>
  <c r="AH117" i="5" l="1"/>
  <c r="AI348" i="5"/>
  <c r="AH146" i="5"/>
  <c r="AO235" i="5"/>
  <c r="AO520" i="5"/>
  <c r="AO161" i="5"/>
  <c r="AN159" i="5"/>
  <c r="AK147" i="5"/>
  <c r="AH505" i="5"/>
  <c r="AN282" i="5"/>
  <c r="AH281" i="5"/>
  <c r="AO79" i="5"/>
  <c r="AN348" i="5"/>
  <c r="AN486" i="5"/>
  <c r="AI260" i="5"/>
  <c r="AO459" i="5"/>
  <c r="AH218" i="5"/>
  <c r="AH506" i="5"/>
  <c r="AN26" i="5"/>
  <c r="AH194" i="5"/>
  <c r="AO430" i="5"/>
  <c r="AO286" i="5"/>
  <c r="AN189" i="5"/>
  <c r="AN500" i="5"/>
  <c r="AI77" i="5"/>
  <c r="AN560" i="5"/>
  <c r="AN194" i="5"/>
  <c r="AH524" i="5"/>
  <c r="AN200" i="5"/>
  <c r="AI521" i="5"/>
  <c r="AN304" i="5"/>
  <c r="AO362" i="5"/>
  <c r="AI160" i="5"/>
  <c r="AI91" i="5"/>
  <c r="AH228" i="5"/>
  <c r="AH426" i="5"/>
  <c r="AH370" i="5"/>
  <c r="AH502" i="5"/>
  <c r="AI486" i="5"/>
  <c r="AI522" i="5"/>
  <c r="AH530" i="5"/>
  <c r="AI395" i="5"/>
  <c r="AK273" i="5"/>
  <c r="AH65" i="5"/>
  <c r="AI378" i="5"/>
  <c r="AO505" i="5"/>
  <c r="AI318" i="5"/>
  <c r="AI478" i="5"/>
  <c r="AH410" i="5"/>
  <c r="AI473" i="5"/>
  <c r="AH480" i="5"/>
  <c r="AH500" i="5"/>
  <c r="AI381" i="5"/>
  <c r="AI56" i="5"/>
  <c r="AH335" i="5"/>
  <c r="AI491" i="5"/>
  <c r="AH258" i="5"/>
  <c r="AH558" i="5"/>
  <c r="AH190" i="5"/>
  <c r="AH162" i="5"/>
  <c r="AH537" i="5"/>
  <c r="AH300" i="5"/>
  <c r="AI87" i="5"/>
  <c r="AI70" i="5"/>
  <c r="AI72" i="5"/>
  <c r="AH284" i="5"/>
  <c r="AH135" i="5"/>
  <c r="AH523" i="5"/>
  <c r="AH494" i="5"/>
  <c r="AH164" i="5"/>
  <c r="AH400" i="5"/>
  <c r="AH424" i="5"/>
  <c r="AH183" i="5"/>
  <c r="AH237" i="5"/>
  <c r="AI552" i="5"/>
  <c r="AI299" i="5"/>
  <c r="AI220" i="5"/>
  <c r="AH157" i="5"/>
  <c r="AI464" i="5"/>
  <c r="AI158" i="5"/>
  <c r="AH408" i="5"/>
  <c r="AH519" i="5"/>
  <c r="AI343" i="5"/>
  <c r="AH145" i="5"/>
  <c r="AH419" i="5"/>
  <c r="AH89" i="5"/>
  <c r="AI226" i="5"/>
  <c r="AI36" i="5"/>
  <c r="AH235" i="5"/>
  <c r="AH380" i="5"/>
  <c r="AH373" i="5"/>
  <c r="AH338" i="5"/>
  <c r="AH24" i="5"/>
  <c r="AH460" i="5"/>
  <c r="AH129" i="5"/>
  <c r="AH417" i="5"/>
  <c r="AH243" i="5"/>
  <c r="AI267" i="5"/>
  <c r="AI389" i="5"/>
  <c r="AI212" i="5"/>
  <c r="AI428" i="5"/>
  <c r="AI316" i="5"/>
  <c r="AH327" i="5"/>
  <c r="AI416" i="5"/>
  <c r="AH346" i="5"/>
  <c r="AH153" i="5"/>
  <c r="AI239" i="5"/>
  <c r="AI154" i="5"/>
  <c r="AI51" i="5"/>
  <c r="AI229" i="5"/>
  <c r="AH176" i="5"/>
  <c r="AH526" i="5"/>
  <c r="AI199" i="5"/>
  <c r="AI221" i="5"/>
  <c r="AI106" i="5"/>
  <c r="AO87" i="5"/>
  <c r="AI286" i="5"/>
  <c r="AO122" i="5"/>
  <c r="AH238" i="5"/>
  <c r="AI131" i="5"/>
  <c r="AO383" i="5"/>
  <c r="AH320" i="5"/>
  <c r="AI433" i="5"/>
  <c r="AN434" i="5"/>
  <c r="AO131" i="5"/>
  <c r="AH182" i="5"/>
  <c r="AN152" i="5"/>
  <c r="AO265" i="5"/>
  <c r="AI214" i="5"/>
  <c r="AI425" i="5"/>
  <c r="AI90" i="5"/>
  <c r="AH452" i="5"/>
  <c r="AI448" i="5"/>
  <c r="AO394" i="5"/>
  <c r="AN111" i="5"/>
  <c r="AH382" i="5"/>
  <c r="AN477" i="5"/>
  <c r="AI80" i="5"/>
  <c r="AH200" i="5"/>
  <c r="AI98" i="5"/>
  <c r="AI375" i="5"/>
  <c r="AO455" i="5"/>
  <c r="AH512" i="5"/>
  <c r="AH29" i="5"/>
  <c r="AN514" i="5"/>
  <c r="AH333" i="5"/>
  <c r="AI280" i="5"/>
  <c r="AO141" i="5"/>
  <c r="AI270" i="5"/>
  <c r="AH192" i="5"/>
  <c r="AI487" i="5"/>
  <c r="AO426" i="5"/>
  <c r="AO31" i="5"/>
  <c r="AO540" i="5"/>
  <c r="AI22" i="5"/>
  <c r="AH351" i="5"/>
  <c r="AO301" i="5"/>
  <c r="AI244" i="5"/>
  <c r="AN162" i="5"/>
  <c r="AI34" i="5"/>
  <c r="AH538" i="5"/>
  <c r="AO343" i="5"/>
  <c r="AH441" i="5"/>
  <c r="AH459" i="5"/>
  <c r="AH469" i="5"/>
  <c r="AI108" i="5"/>
  <c r="AH407" i="5"/>
  <c r="AI477" i="5"/>
  <c r="AH451" i="5"/>
  <c r="AH321" i="5"/>
  <c r="AL307" i="5"/>
  <c r="AI44" i="5"/>
  <c r="AI136" i="5"/>
  <c r="AI152" i="5"/>
  <c r="AI46" i="5"/>
  <c r="AI242" i="5"/>
  <c r="AI213" i="5"/>
  <c r="AI308" i="5"/>
  <c r="AH215" i="5"/>
  <c r="AO41" i="5"/>
  <c r="AN493" i="5"/>
  <c r="AH257" i="5"/>
  <c r="AI48" i="5"/>
  <c r="AH166" i="5"/>
  <c r="AH535" i="5"/>
  <c r="AI79" i="5"/>
  <c r="AH485" i="5"/>
  <c r="AH360" i="5"/>
  <c r="AH113" i="5"/>
  <c r="AH394" i="5"/>
  <c r="AH178" i="5"/>
  <c r="AH364" i="5"/>
  <c r="AN157" i="5"/>
  <c r="AH134" i="5"/>
  <c r="AN262" i="5"/>
  <c r="AI288" i="5"/>
  <c r="AH155" i="5"/>
  <c r="AI559" i="5"/>
  <c r="AI204" i="5"/>
  <c r="AO274" i="5"/>
  <c r="AN167" i="5"/>
  <c r="AO537" i="5"/>
  <c r="AO135" i="5"/>
  <c r="AO233" i="5"/>
  <c r="AN385" i="5"/>
  <c r="AN207" i="5"/>
  <c r="AN294" i="5"/>
  <c r="AO527" i="5"/>
  <c r="AO284" i="5"/>
  <c r="AN487" i="5"/>
  <c r="AN83" i="5"/>
  <c r="AN438" i="5"/>
  <c r="AO372" i="5"/>
  <c r="AO299" i="5"/>
  <c r="AO168" i="5"/>
  <c r="AN287" i="5"/>
  <c r="AN454" i="5"/>
  <c r="AO210" i="5"/>
  <c r="AO68" i="5"/>
  <c r="AL539" i="5"/>
  <c r="AO228" i="5"/>
  <c r="AN369" i="5"/>
  <c r="AN356" i="5"/>
  <c r="AO197" i="5"/>
  <c r="AN125" i="5"/>
  <c r="AN105" i="5"/>
  <c r="AO419" i="5"/>
  <c r="AN204" i="5"/>
  <c r="AN473" i="5"/>
  <c r="AH396" i="5"/>
  <c r="AH421" i="5"/>
  <c r="AI405" i="5"/>
  <c r="AI69" i="5"/>
  <c r="AI138" i="5"/>
  <c r="AH340" i="5"/>
  <c r="AH392" i="5"/>
  <c r="AH41" i="5"/>
  <c r="AI366" i="5"/>
  <c r="AH175" i="5"/>
  <c r="AH240" i="5"/>
  <c r="AH294" i="5"/>
  <c r="AI105" i="5"/>
  <c r="AH38" i="5"/>
  <c r="AH548" i="5"/>
  <c r="AI109" i="5"/>
  <c r="AI314" i="5"/>
  <c r="AI328" i="5"/>
  <c r="AI45" i="5"/>
  <c r="AH205" i="5"/>
  <c r="AI25" i="5"/>
  <c r="AI488" i="5"/>
  <c r="AI455" i="5"/>
  <c r="AH142" i="5"/>
  <c r="AH103" i="5"/>
  <c r="AH287" i="5"/>
  <c r="AI330" i="5"/>
  <c r="AI232" i="5"/>
  <c r="AI404" i="5"/>
  <c r="AH128" i="5"/>
  <c r="AI383" i="5"/>
  <c r="AI149" i="5"/>
  <c r="AI81" i="5"/>
  <c r="AI285" i="5"/>
  <c r="AH305" i="5"/>
  <c r="AI472" i="5"/>
  <c r="AH114" i="5"/>
  <c r="AI59" i="5"/>
  <c r="AH393" i="5"/>
  <c r="AI88" i="5"/>
  <c r="AH377" i="5"/>
  <c r="AI456" i="5"/>
  <c r="AK43" i="5"/>
  <c r="AI99" i="5"/>
  <c r="AI216" i="5"/>
  <c r="AH42" i="5"/>
  <c r="AH304" i="5"/>
  <c r="AI474" i="5"/>
  <c r="AL283" i="5"/>
  <c r="AI468" i="5"/>
  <c r="AH544" i="5"/>
  <c r="AH104" i="5"/>
  <c r="AI496" i="5"/>
  <c r="AI252" i="5"/>
  <c r="AI470" i="5"/>
  <c r="AI119" i="5"/>
  <c r="AI384" i="5"/>
  <c r="AH533" i="5"/>
  <c r="AH93" i="5"/>
  <c r="AI189" i="5"/>
  <c r="AH341" i="5"/>
  <c r="AH326" i="5"/>
  <c r="AH466" i="5"/>
  <c r="AH372" i="5"/>
  <c r="AI37" i="5"/>
  <c r="AH461" i="5"/>
  <c r="AH409" i="5"/>
  <c r="AH353" i="5"/>
  <c r="AH76" i="5"/>
  <c r="AI518" i="5"/>
  <c r="AH311" i="5"/>
  <c r="AI130" i="5"/>
  <c r="AI363" i="5"/>
  <c r="AH546" i="5"/>
  <c r="AI269" i="5"/>
  <c r="AH97" i="5"/>
  <c r="AH31" i="5"/>
  <c r="AH501" i="5"/>
  <c r="AI423" i="5"/>
  <c r="AH390" i="5"/>
  <c r="AH359" i="5"/>
  <c r="AI539" i="5"/>
  <c r="AH323" i="5"/>
  <c r="AH47" i="5"/>
  <c r="AI418" i="5"/>
  <c r="AH498" i="5"/>
  <c r="AH457" i="5"/>
  <c r="AH376" i="5"/>
  <c r="AH332" i="5"/>
  <c r="AH476" i="5"/>
  <c r="AH96" i="5"/>
  <c r="AI509" i="5"/>
  <c r="AH101" i="5"/>
  <c r="AN392" i="5"/>
  <c r="AH345" i="5"/>
  <c r="AI365" i="5"/>
  <c r="AH436" i="5"/>
  <c r="AI278" i="5"/>
  <c r="AI40" i="5"/>
  <c r="AI554" i="5"/>
  <c r="AI180" i="5"/>
  <c r="AI453" i="5"/>
  <c r="AH64" i="5"/>
  <c r="AI291" i="5"/>
  <c r="AO519" i="5"/>
  <c r="AI553" i="5"/>
  <c r="AI499" i="5"/>
  <c r="AI259" i="5"/>
  <c r="AH296" i="5"/>
  <c r="AH463" i="5"/>
  <c r="AH458" i="5"/>
  <c r="AN137" i="5"/>
  <c r="AH28" i="5"/>
  <c r="AN457" i="5"/>
  <c r="AI62" i="5"/>
  <c r="AH236" i="5"/>
  <c r="AI511" i="5"/>
  <c r="AH368" i="5"/>
  <c r="AI23" i="5"/>
  <c r="AH255" i="5"/>
  <c r="AO205" i="5"/>
  <c r="AN306" i="5"/>
  <c r="AI540" i="5"/>
  <c r="AH58" i="5"/>
  <c r="AH560" i="5"/>
  <c r="AI387" i="5"/>
  <c r="AH283" i="5"/>
  <c r="AO389" i="5"/>
  <c r="AI210" i="5"/>
  <c r="AI245" i="5"/>
  <c r="AP539" i="5"/>
  <c r="AR539" i="5" s="1"/>
  <c r="AH26" i="5"/>
  <c r="AH551" i="5"/>
  <c r="AN549" i="5"/>
  <c r="AN360" i="5"/>
  <c r="AO238" i="5"/>
  <c r="AH542" i="5"/>
  <c r="AI181" i="5"/>
  <c r="AH148" i="5"/>
  <c r="AI8" i="5"/>
  <c r="AH517" i="5"/>
  <c r="AI356" i="5"/>
  <c r="AH412" i="5"/>
  <c r="AI121" i="5"/>
  <c r="AI516" i="5"/>
  <c r="AH420" i="5"/>
  <c r="AH397" i="5"/>
  <c r="AO185" i="5"/>
  <c r="AH256" i="5"/>
  <c r="AH55" i="5"/>
  <c r="AH449" i="5"/>
  <c r="AH513" i="5"/>
  <c r="AH361" i="5"/>
  <c r="AI156" i="5"/>
  <c r="AH179" i="5"/>
  <c r="AI489" i="5"/>
  <c r="AH201" i="5"/>
  <c r="AI174" i="5"/>
  <c r="AI123" i="5"/>
  <c r="AI39" i="5"/>
  <c r="AI92" i="5"/>
  <c r="AH434" i="5"/>
  <c r="AH492" i="5"/>
  <c r="AO42" i="5"/>
  <c r="AI302" i="5"/>
  <c r="AH144" i="5"/>
  <c r="AH406" i="5"/>
  <c r="AI206" i="5"/>
  <c r="AN530" i="5"/>
  <c r="AH127" i="5"/>
  <c r="AO298" i="5"/>
  <c r="AH379" i="5"/>
  <c r="AN32" i="5"/>
  <c r="AN341" i="5"/>
  <c r="AH447" i="5"/>
  <c r="AN374" i="5"/>
  <c r="AI454" i="5"/>
  <c r="AH219" i="5"/>
  <c r="AL51" i="5"/>
  <c r="AI439" i="5"/>
  <c r="AO109" i="5"/>
  <c r="AI140" i="5"/>
  <c r="AI126" i="5"/>
  <c r="AI547" i="5"/>
  <c r="AI227" i="5"/>
  <c r="AI86" i="5"/>
  <c r="AH303" i="5"/>
  <c r="AH309" i="5"/>
  <c r="AH411" i="5"/>
  <c r="AH481" i="5"/>
  <c r="AH495" i="5"/>
  <c r="AI497" i="5"/>
  <c r="AI440" i="5"/>
  <c r="AI198" i="5"/>
  <c r="AH349" i="5"/>
  <c r="AH277" i="5"/>
  <c r="AH514" i="5"/>
  <c r="AN525" i="5"/>
  <c r="AN139" i="5"/>
  <c r="AO50" i="5"/>
  <c r="AK521" i="5"/>
  <c r="AP521" i="5"/>
  <c r="AQ521" i="5" s="1"/>
  <c r="AO115" i="5"/>
  <c r="AO38" i="5"/>
  <c r="AN174" i="5"/>
  <c r="AN253" i="5"/>
  <c r="AO445" i="5"/>
  <c r="AN220" i="5"/>
  <c r="AN508" i="5"/>
  <c r="AN130" i="5"/>
  <c r="AO118" i="5"/>
  <c r="AN72" i="5"/>
  <c r="AO481" i="5"/>
  <c r="AN48" i="5"/>
  <c r="AO326" i="5"/>
  <c r="AL379" i="5"/>
  <c r="AN349" i="5"/>
  <c r="AN149" i="5"/>
  <c r="AO484" i="5"/>
  <c r="AN176" i="5"/>
  <c r="AN554" i="5"/>
  <c r="AN222" i="5"/>
  <c r="AO482" i="5"/>
  <c r="AN492" i="5"/>
  <c r="AO409" i="5"/>
  <c r="AN476" i="5"/>
  <c r="AO437" i="5"/>
  <c r="AP283" i="5"/>
  <c r="AR283" i="5" s="1"/>
  <c r="AH94" i="5"/>
  <c r="AI264" i="5"/>
  <c r="AO278" i="5"/>
  <c r="AL169" i="5"/>
  <c r="AI50" i="5"/>
  <c r="AH324" i="5"/>
  <c r="AH133" i="5"/>
  <c r="AH347" i="5"/>
  <c r="AH57" i="5"/>
  <c r="AH532" i="5"/>
  <c r="AI224" i="5"/>
  <c r="AO338" i="5"/>
  <c r="AI78" i="5"/>
  <c r="AI173" i="5"/>
  <c r="AN281" i="5"/>
  <c r="AO85" i="5"/>
  <c r="AI30" i="5"/>
  <c r="AN347" i="5"/>
  <c r="AH171" i="5"/>
  <c r="AI196" i="5"/>
  <c r="AI462" i="5"/>
  <c r="AH82" i="5"/>
  <c r="AN110" i="5"/>
  <c r="AN53" i="5"/>
  <c r="AN518" i="5"/>
  <c r="AO155" i="5"/>
  <c r="AH367" i="5"/>
  <c r="AH313" i="5"/>
  <c r="AN354" i="5"/>
  <c r="AN431" i="5"/>
  <c r="AN474" i="5"/>
  <c r="AO388" i="5"/>
  <c r="AN93" i="5"/>
  <c r="AN498" i="5"/>
  <c r="AI250" i="5"/>
  <c r="AO325" i="5"/>
  <c r="AO435" i="5"/>
  <c r="AN475" i="5"/>
  <c r="AH120" i="5"/>
  <c r="AH403" i="5"/>
  <c r="AI137" i="5"/>
  <c r="AI253" i="5"/>
  <c r="AH102" i="5"/>
  <c r="AI116" i="5"/>
  <c r="AH111" i="5"/>
  <c r="AI73" i="5"/>
  <c r="AH185" i="5"/>
  <c r="AH490" i="5"/>
  <c r="AH151" i="5"/>
  <c r="AH483" i="5"/>
  <c r="AI203" i="5"/>
  <c r="AI413" i="5"/>
  <c r="AH246" i="5"/>
  <c r="AI427" i="5"/>
  <c r="AI249" i="5"/>
  <c r="AH295" i="5"/>
  <c r="AH531" i="5"/>
  <c r="AI20" i="5"/>
  <c r="AN128" i="5"/>
  <c r="AN510" i="5"/>
  <c r="AO211" i="5"/>
  <c r="AN251" i="5"/>
  <c r="AN145" i="5"/>
  <c r="AO521" i="5"/>
  <c r="AI63" i="5"/>
  <c r="AI169" i="5"/>
  <c r="AH465" i="5"/>
  <c r="AH334" i="5"/>
  <c r="AI139" i="5"/>
  <c r="AH107" i="5"/>
  <c r="AI482" i="5"/>
  <c r="AI507" i="5"/>
  <c r="AI207" i="5"/>
  <c r="AI471" i="5"/>
  <c r="AN410" i="5"/>
  <c r="AH159" i="5"/>
  <c r="AN324" i="5"/>
  <c r="AO142" i="5"/>
  <c r="AN221" i="5"/>
  <c r="AH443" i="5"/>
  <c r="AH177" i="5"/>
  <c r="AI75" i="5"/>
  <c r="AH122" i="5"/>
  <c r="AH297" i="5"/>
  <c r="AN160" i="5"/>
  <c r="AN314" i="5"/>
  <c r="AO335" i="5"/>
  <c r="AN546" i="5"/>
  <c r="AN395" i="5"/>
  <c r="AN28" i="5"/>
  <c r="AP552" i="5"/>
  <c r="AQ552" i="5" s="1"/>
  <c r="AP234" i="5"/>
  <c r="AR234" i="5" s="1"/>
  <c r="AO133" i="5"/>
  <c r="AN370" i="5"/>
  <c r="AN40" i="5"/>
  <c r="AN296" i="5"/>
  <c r="AO173" i="5"/>
  <c r="AP51" i="5"/>
  <c r="AQ51" i="5" s="1"/>
  <c r="AO258" i="5"/>
  <c r="AO436" i="5"/>
  <c r="AN442" i="5"/>
  <c r="AO496" i="5"/>
  <c r="AO186" i="5"/>
  <c r="AO71" i="5"/>
  <c r="AO528" i="5"/>
  <c r="AN311" i="5"/>
  <c r="AN446" i="5"/>
  <c r="AO45" i="5"/>
  <c r="AO536" i="5"/>
  <c r="AN113" i="5"/>
  <c r="AH217" i="5"/>
  <c r="AH504" i="5"/>
  <c r="AN80" i="5"/>
  <c r="AI555" i="5"/>
  <c r="AI168" i="5"/>
  <c r="AO543" i="5"/>
  <c r="AO365" i="5"/>
  <c r="AN243" i="5"/>
  <c r="AH317" i="5"/>
  <c r="AO413" i="5"/>
  <c r="AN103" i="5"/>
  <c r="AH391" i="5"/>
  <c r="AI254" i="5"/>
  <c r="AH358" i="5"/>
  <c r="AH85" i="5"/>
  <c r="AN98" i="5"/>
  <c r="AH429" i="5"/>
  <c r="AH33" i="5"/>
  <c r="AH344" i="5"/>
  <c r="AI415" i="5"/>
  <c r="AN195" i="5"/>
  <c r="AN358" i="5"/>
  <c r="AO322" i="5"/>
  <c r="AH402" i="5"/>
  <c r="AK187" i="5"/>
  <c r="AN367" i="5"/>
  <c r="AN534" i="5"/>
  <c r="AO423" i="5"/>
  <c r="AI520" i="5"/>
  <c r="AI165" i="5"/>
  <c r="AN380" i="5"/>
  <c r="AN289" i="5"/>
  <c r="AI71" i="5"/>
  <c r="AH71" i="5"/>
  <c r="AP383" i="5"/>
  <c r="AQ383" i="5" s="1"/>
  <c r="AI195" i="5"/>
  <c r="AH230" i="5"/>
  <c r="AH83" i="5"/>
  <c r="AI83" i="5"/>
  <c r="AO27" i="5"/>
  <c r="AI265" i="5"/>
  <c r="AI282" i="5"/>
  <c r="AH282" i="5"/>
  <c r="Q12" i="5"/>
  <c r="S12" i="5" s="1"/>
  <c r="AN70" i="5"/>
  <c r="V193" i="5"/>
  <c r="U209" i="5"/>
  <c r="V113" i="5"/>
  <c r="V202" i="5"/>
  <c r="V216" i="5"/>
  <c r="U179" i="5"/>
  <c r="V164" i="5"/>
  <c r="V176" i="5"/>
  <c r="U51" i="5"/>
  <c r="U144" i="5"/>
  <c r="V278" i="5"/>
  <c r="U78" i="5"/>
  <c r="V42" i="5"/>
  <c r="U240" i="5"/>
  <c r="V49" i="5"/>
  <c r="U111" i="5"/>
  <c r="V96" i="5"/>
  <c r="U58" i="5"/>
  <c r="V197" i="5"/>
  <c r="U40" i="5"/>
  <c r="U175" i="5"/>
  <c r="AN8" i="5"/>
  <c r="AN260" i="5"/>
  <c r="AO283" i="5"/>
  <c r="AO488" i="5"/>
  <c r="AO497" i="5"/>
  <c r="AN219" i="5"/>
  <c r="AN538" i="5"/>
  <c r="AN43" i="5"/>
  <c r="AN112" i="5"/>
  <c r="AN340" i="5"/>
  <c r="AN526" i="5"/>
  <c r="AO256" i="5"/>
  <c r="AK153" i="5"/>
  <c r="AO96" i="5"/>
  <c r="AN172" i="5"/>
  <c r="AO390" i="5"/>
  <c r="AH222" i="5"/>
  <c r="AI110" i="5"/>
  <c r="AH386" i="5"/>
  <c r="AH337" i="5"/>
  <c r="AI112" i="5"/>
  <c r="AI534" i="5"/>
  <c r="AH188" i="5"/>
  <c r="AH225" i="5"/>
  <c r="AH292" i="5"/>
  <c r="AI354" i="5"/>
  <c r="AI398" i="5"/>
  <c r="AH319" i="5"/>
  <c r="AH19" i="5"/>
  <c r="AI467" i="5"/>
  <c r="AI289" i="5"/>
  <c r="AH115" i="5"/>
  <c r="AI172" i="5"/>
  <c r="AI273" i="5"/>
  <c r="AI528" i="5"/>
  <c r="AI66" i="5"/>
  <c r="AI438" i="5"/>
  <c r="AH450" i="5"/>
  <c r="AH118" i="5"/>
  <c r="AI401" i="5"/>
  <c r="AI49" i="5"/>
  <c r="AH315" i="5"/>
  <c r="AI336" i="5"/>
  <c r="AH432" i="5"/>
  <c r="AH350" i="5"/>
  <c r="AI525" i="5"/>
  <c r="AI170" i="5"/>
  <c r="AI445" i="5"/>
  <c r="AH32" i="5"/>
  <c r="AP307" i="5"/>
  <c r="AR307" i="5" s="1"/>
  <c r="AP548" i="5"/>
  <c r="AQ548" i="5" s="1"/>
  <c r="AI35" i="5"/>
  <c r="AN192" i="5"/>
  <c r="AN552" i="5"/>
  <c r="AN33" i="5"/>
  <c r="AN129" i="5"/>
  <c r="AO97" i="5"/>
  <c r="AN328" i="5"/>
  <c r="AO23" i="5"/>
  <c r="AN318" i="5"/>
  <c r="AO465" i="5"/>
  <c r="AN179" i="5"/>
  <c r="AH536" i="5"/>
  <c r="AH493" i="5"/>
  <c r="AI202" i="5"/>
  <c r="AN231" i="5"/>
  <c r="AN223" i="5"/>
  <c r="AH549" i="5"/>
  <c r="AI475" i="5"/>
  <c r="AH475" i="5"/>
  <c r="AH61" i="5"/>
  <c r="AI61" i="5"/>
  <c r="AN463" i="5"/>
  <c r="AP356" i="5"/>
  <c r="AR356" i="5" s="1"/>
  <c r="AP437" i="5"/>
  <c r="AQ437" i="5" s="1"/>
  <c r="AN302" i="5"/>
  <c r="AN169" i="5"/>
  <c r="AN359" i="5"/>
  <c r="AH301" i="5"/>
  <c r="AI21" i="5"/>
  <c r="AH444" i="5"/>
  <c r="AI557" i="5"/>
  <c r="AO512" i="5"/>
  <c r="AN82" i="5"/>
  <c r="AO490" i="5"/>
  <c r="AO551" i="5"/>
  <c r="AN249" i="5"/>
  <c r="AO261" i="5"/>
  <c r="AH352" i="5"/>
  <c r="AO156" i="5"/>
  <c r="AN39" i="5"/>
  <c r="AN276" i="5"/>
  <c r="AI167" i="5"/>
  <c r="AH147" i="5"/>
  <c r="AI550" i="5"/>
  <c r="AH68" i="5"/>
  <c r="AI68" i="5"/>
  <c r="AO164" i="5"/>
  <c r="AI248" i="5"/>
  <c r="AI385" i="5"/>
  <c r="AI357" i="5"/>
  <c r="AH193" i="5"/>
  <c r="AI279" i="5"/>
  <c r="AH247" i="5"/>
  <c r="AI247" i="5"/>
  <c r="AI272" i="5"/>
  <c r="AH272" i="5"/>
  <c r="AI187" i="5"/>
  <c r="AI307" i="5"/>
  <c r="AH374" i="5"/>
  <c r="AH266" i="5"/>
  <c r="AI529" i="5"/>
  <c r="AH529" i="5"/>
  <c r="AH414" i="5"/>
  <c r="AI414" i="5"/>
  <c r="AI322" i="5"/>
  <c r="AH322" i="5"/>
  <c r="AH503" i="5"/>
  <c r="AI503" i="5"/>
  <c r="AO346" i="5"/>
  <c r="AI143" i="5"/>
  <c r="AN69" i="5"/>
  <c r="AP129" i="5"/>
  <c r="AR129" i="5" s="1"/>
  <c r="AP222" i="5"/>
  <c r="AQ222" i="5" s="1"/>
  <c r="AP516" i="5"/>
  <c r="AQ516" i="5" s="1"/>
  <c r="AP465" i="5"/>
  <c r="AQ465" i="5" s="1"/>
  <c r="AP109" i="5"/>
  <c r="AR109" i="5" s="1"/>
  <c r="AO320" i="5"/>
  <c r="AI545" i="5"/>
  <c r="AN312" i="5"/>
  <c r="AP187" i="5"/>
  <c r="AQ187" i="5" s="1"/>
  <c r="AN47" i="5"/>
  <c r="AN270" i="5"/>
  <c r="AN556" i="5"/>
  <c r="AO178" i="5"/>
  <c r="AP169" i="5"/>
  <c r="AR169" i="5" s="1"/>
  <c r="AH274" i="5"/>
  <c r="AH208" i="5"/>
  <c r="AH223" i="5"/>
  <c r="AO422" i="5"/>
  <c r="AP147" i="5"/>
  <c r="AQ147" i="5" s="1"/>
  <c r="AO495" i="5"/>
  <c r="AN198" i="5"/>
  <c r="AN418" i="5"/>
  <c r="AI54" i="5"/>
  <c r="AI290" i="5"/>
  <c r="AI276" i="5"/>
  <c r="AO175" i="5"/>
  <c r="AN224" i="5"/>
  <c r="AO89" i="5"/>
  <c r="AH27" i="5"/>
  <c r="AI161" i="5"/>
  <c r="AP192" i="5"/>
  <c r="AR192" i="5" s="1"/>
  <c r="AP133" i="5"/>
  <c r="AQ133" i="5" s="1"/>
  <c r="AP281" i="5"/>
  <c r="AQ281" i="5" s="1"/>
  <c r="AN332" i="5"/>
  <c r="AI141" i="5"/>
  <c r="AI312" i="5"/>
  <c r="AN485" i="5"/>
  <c r="AH209" i="5"/>
  <c r="AI508" i="5"/>
  <c r="AL465" i="5"/>
  <c r="AN404" i="5"/>
  <c r="AN25" i="5"/>
  <c r="AO147" i="5"/>
  <c r="AN259" i="5"/>
  <c r="AI275" i="5"/>
  <c r="AN472" i="5"/>
  <c r="AP176" i="5"/>
  <c r="AQ176" i="5" s="1"/>
  <c r="AO92" i="5"/>
  <c r="U29" i="5"/>
  <c r="V120" i="5"/>
  <c r="V72" i="5"/>
  <c r="AS139" i="4"/>
  <c r="AS17" i="4"/>
  <c r="V89" i="4"/>
  <c r="U137" i="4"/>
  <c r="V93" i="4"/>
  <c r="AS40" i="4"/>
  <c r="U139" i="4"/>
  <c r="U89" i="4"/>
  <c r="AS93" i="4"/>
  <c r="V40" i="4"/>
  <c r="V88" i="4"/>
  <c r="U153" i="4"/>
  <c r="U151" i="4"/>
  <c r="AS92" i="4"/>
  <c r="V153" i="4"/>
  <c r="AM153" i="4" s="1"/>
  <c r="AN153" i="4" s="1"/>
  <c r="V151" i="4"/>
  <c r="AM151" i="4" s="1"/>
  <c r="AN151" i="4" s="1"/>
  <c r="U92" i="4"/>
  <c r="V23" i="4"/>
  <c r="U27" i="4"/>
  <c r="AH27" i="4" s="1"/>
  <c r="U78" i="4"/>
  <c r="U88" i="4"/>
  <c r="U85" i="4"/>
  <c r="U23" i="4"/>
  <c r="U44" i="4"/>
  <c r="AS27" i="4"/>
  <c r="V17" i="4"/>
  <c r="V78" i="4"/>
  <c r="AS88" i="4"/>
  <c r="V85" i="4"/>
  <c r="AS23" i="4"/>
  <c r="AS44" i="4"/>
  <c r="V27" i="4"/>
  <c r="AM27" i="4" s="1"/>
  <c r="AN27" i="4" s="1"/>
  <c r="AI442" i="5"/>
  <c r="AH442" i="5"/>
  <c r="AS104" i="4"/>
  <c r="AS28" i="4"/>
  <c r="AP26" i="5"/>
  <c r="AQ26" i="5" s="1"/>
  <c r="AP141" i="5"/>
  <c r="AQ141" i="5" s="1"/>
  <c r="AP386" i="5"/>
  <c r="AQ386" i="5" s="1"/>
  <c r="AP227" i="5"/>
  <c r="AR227" i="5" s="1"/>
  <c r="U138" i="4"/>
  <c r="U60" i="4"/>
  <c r="AM12" i="5"/>
  <c r="AO12" i="5" s="1"/>
  <c r="V45" i="4"/>
  <c r="V96" i="4"/>
  <c r="AM96" i="4" s="1"/>
  <c r="AN96" i="4" s="1"/>
  <c r="AS24" i="4"/>
  <c r="AI231" i="5"/>
  <c r="AH293" i="5"/>
  <c r="AI293" i="5"/>
  <c r="AH84" i="5"/>
  <c r="AI84" i="5"/>
  <c r="AH339" i="5"/>
  <c r="AH125" i="5"/>
  <c r="AI125" i="5"/>
  <c r="AH124" i="5"/>
  <c r="AI124" i="5"/>
  <c r="V54" i="4"/>
  <c r="AN355" i="5"/>
  <c r="AH371" i="5"/>
  <c r="AH362" i="5"/>
  <c r="AI60" i="5"/>
  <c r="AI100" i="5"/>
  <c r="AH100" i="5"/>
  <c r="AH186" i="5"/>
  <c r="AI186" i="5"/>
  <c r="V98" i="4"/>
  <c r="W98" i="4" s="1"/>
  <c r="Y98" i="4" s="1"/>
  <c r="AH197" i="5"/>
  <c r="AI298" i="5"/>
  <c r="AH298" i="5"/>
  <c r="U11" i="4"/>
  <c r="AH11" i="4" s="1"/>
  <c r="U154" i="4"/>
  <c r="AH154" i="4" s="1"/>
  <c r="AN232" i="5"/>
  <c r="AS54" i="4"/>
  <c r="U136" i="4"/>
  <c r="AP43" i="5"/>
  <c r="AR43" i="5" s="1"/>
  <c r="AP379" i="5"/>
  <c r="AQ379" i="5" s="1"/>
  <c r="V80" i="4"/>
  <c r="AS154" i="4"/>
  <c r="AO29" i="5"/>
  <c r="V217" i="5"/>
  <c r="U90" i="5"/>
  <c r="AN532" i="5"/>
  <c r="AN136" i="5"/>
  <c r="AG12" i="5"/>
  <c r="AI12" i="5" s="1"/>
  <c r="AO163" i="5"/>
  <c r="AS8" i="4"/>
  <c r="U108" i="4"/>
  <c r="AH108" i="4" s="1"/>
  <c r="U54" i="4"/>
  <c r="AH54" i="4" s="1"/>
  <c r="AI310" i="5"/>
  <c r="AI479" i="5"/>
  <c r="AH479" i="5"/>
  <c r="AI268" i="5"/>
  <c r="AH268" i="5"/>
  <c r="AS82" i="4"/>
  <c r="V136" i="4"/>
  <c r="AM136" i="4" s="1"/>
  <c r="AN136" i="4" s="1"/>
  <c r="AK483" i="5"/>
  <c r="V82" i="4"/>
  <c r="V108" i="4"/>
  <c r="AS136" i="4"/>
  <c r="AO458" i="5"/>
  <c r="V218" i="5"/>
  <c r="U178" i="5"/>
  <c r="U127" i="5"/>
  <c r="V154" i="4"/>
  <c r="AM154" i="4" s="1"/>
  <c r="AN154" i="4" s="1"/>
  <c r="AN421" i="5"/>
  <c r="V213" i="5"/>
  <c r="V120" i="4"/>
  <c r="U81" i="4"/>
  <c r="AH81" i="4" s="1"/>
  <c r="AJ12" i="5"/>
  <c r="U126" i="4"/>
  <c r="AH126" i="4" s="1"/>
  <c r="V8" i="4"/>
  <c r="AM8" i="4" s="1"/>
  <c r="AN8" i="4" s="1"/>
  <c r="AS108" i="4"/>
  <c r="AI435" i="5"/>
  <c r="AH435" i="5"/>
  <c r="AH67" i="5"/>
  <c r="AI67" i="5"/>
  <c r="AH271" i="5"/>
  <c r="AI271" i="5"/>
  <c r="AH163" i="5"/>
  <c r="AI163" i="5"/>
  <c r="AS86" i="4"/>
  <c r="AS80" i="4"/>
  <c r="W12" i="5"/>
  <c r="Y12" i="5" s="1"/>
  <c r="V28" i="4"/>
  <c r="AP394" i="5"/>
  <c r="AQ394" i="5" s="1"/>
  <c r="AP270" i="5"/>
  <c r="AQ270" i="5" s="1"/>
  <c r="AP382" i="5"/>
  <c r="AQ382" i="5" s="1"/>
  <c r="AP148" i="5"/>
  <c r="AQ148" i="5" s="1"/>
  <c r="AP202" i="5"/>
  <c r="AR202" i="5" s="1"/>
  <c r="AP540" i="5"/>
  <c r="AR540" i="5" s="1"/>
  <c r="AP510" i="5"/>
  <c r="AQ510" i="5" s="1"/>
  <c r="AP313" i="5"/>
  <c r="AQ313" i="5" s="1"/>
  <c r="U120" i="4"/>
  <c r="AH120" i="4" s="1"/>
  <c r="AS81" i="4"/>
  <c r="AN352" i="5"/>
  <c r="U8" i="4"/>
  <c r="AH8" i="4" s="1"/>
  <c r="U96" i="4"/>
  <c r="AI251" i="5"/>
  <c r="AH251" i="5"/>
  <c r="AH132" i="5"/>
  <c r="AI132" i="5"/>
  <c r="S526" i="5"/>
  <c r="AO209" i="5"/>
  <c r="AN462" i="5"/>
  <c r="AP371" i="5"/>
  <c r="AR371" i="5" s="1"/>
  <c r="AN240" i="5"/>
  <c r="V219" i="5"/>
  <c r="AN467" i="5"/>
  <c r="AS126" i="4"/>
  <c r="U38" i="4"/>
  <c r="AH38" i="4" s="1"/>
  <c r="V102" i="4"/>
  <c r="AM102" i="4" s="1"/>
  <c r="AN102" i="4" s="1"/>
  <c r="AO58" i="5"/>
  <c r="AN61" i="5"/>
  <c r="U77" i="5"/>
  <c r="AO132" i="5"/>
  <c r="AO114" i="5"/>
  <c r="AO106" i="5"/>
  <c r="V49" i="4"/>
  <c r="V47" i="4"/>
  <c r="AO433" i="5"/>
  <c r="U71" i="4"/>
  <c r="V91" i="4"/>
  <c r="AM91" i="4" s="1"/>
  <c r="AN91" i="4" s="1"/>
  <c r="V127" i="4"/>
  <c r="AM127" i="4" s="1"/>
  <c r="AN127" i="4" s="1"/>
  <c r="AS38" i="4"/>
  <c r="U141" i="4"/>
  <c r="AH141" i="4" s="1"/>
  <c r="U73" i="4"/>
  <c r="AH73" i="4" s="1"/>
  <c r="V29" i="4"/>
  <c r="AM29" i="4" s="1"/>
  <c r="AN29" i="4" s="1"/>
  <c r="AL371" i="5"/>
  <c r="AN81" i="5"/>
  <c r="AS97" i="4"/>
  <c r="U49" i="4"/>
  <c r="AH49" i="4" s="1"/>
  <c r="U86" i="5"/>
  <c r="AS47" i="4"/>
  <c r="AS71" i="4"/>
  <c r="AS111" i="4"/>
  <c r="U70" i="4"/>
  <c r="AH70" i="4" s="1"/>
  <c r="U127" i="4"/>
  <c r="V38" i="4"/>
  <c r="V136" i="5"/>
  <c r="AO491" i="5"/>
  <c r="AS11" i="4"/>
  <c r="V182" i="5"/>
  <c r="U29" i="4"/>
  <c r="AH29" i="4" s="1"/>
  <c r="AO24" i="5"/>
  <c r="AN384" i="5"/>
  <c r="AN444" i="5"/>
  <c r="AO447" i="5"/>
  <c r="AS49" i="4"/>
  <c r="V116" i="4"/>
  <c r="W116" i="4" s="1"/>
  <c r="V111" i="4"/>
  <c r="AN140" i="5"/>
  <c r="U100" i="4"/>
  <c r="AH100" i="4" s="1"/>
  <c r="AN267" i="5"/>
  <c r="AO555" i="5"/>
  <c r="V18" i="4"/>
  <c r="AM18" i="4" s="1"/>
  <c r="AN18" i="4" s="1"/>
  <c r="V97" i="4"/>
  <c r="W97" i="4" s="1"/>
  <c r="Y97" i="4" s="1"/>
  <c r="AS29" i="4"/>
  <c r="AO550" i="5"/>
  <c r="AP166" i="5"/>
  <c r="AQ166" i="5" s="1"/>
  <c r="AP65" i="5"/>
  <c r="AQ65" i="5" s="1"/>
  <c r="U55" i="4"/>
  <c r="AN396" i="5"/>
  <c r="U97" i="4"/>
  <c r="AH97" i="4" s="1"/>
  <c r="V167" i="5"/>
  <c r="AN412" i="5"/>
  <c r="AO450" i="5"/>
  <c r="U116" i="4"/>
  <c r="AH116" i="4" s="1"/>
  <c r="U30" i="4"/>
  <c r="AH30" i="4" s="1"/>
  <c r="U111" i="4"/>
  <c r="AS100" i="4"/>
  <c r="AO504" i="5"/>
  <c r="AN65" i="5"/>
  <c r="AO49" i="5"/>
  <c r="AN557" i="5"/>
  <c r="Y365" i="5"/>
  <c r="U76" i="4"/>
  <c r="AH76" i="4" s="1"/>
  <c r="AP491" i="5"/>
  <c r="AQ491" i="5" s="1"/>
  <c r="AS55" i="4"/>
  <c r="AO116" i="5"/>
  <c r="V103" i="5"/>
  <c r="AS60" i="4"/>
  <c r="AN397" i="5"/>
  <c r="AS116" i="4"/>
  <c r="V86" i="4"/>
  <c r="AM86" i="4" s="1"/>
  <c r="AN86" i="4" s="1"/>
  <c r="V100" i="4"/>
  <c r="AS70" i="4"/>
  <c r="U10" i="4"/>
  <c r="AH10" i="4" s="1"/>
  <c r="AS76" i="4"/>
  <c r="V55" i="4"/>
  <c r="AM55" i="4" s="1"/>
  <c r="AN55" i="4" s="1"/>
  <c r="V11" i="4"/>
  <c r="W11" i="4" s="1"/>
  <c r="Y11" i="4" s="1"/>
  <c r="Z11" i="4" s="1"/>
  <c r="V60" i="4"/>
  <c r="AM60" i="4" s="1"/>
  <c r="AN60" i="4" s="1"/>
  <c r="U68" i="4"/>
  <c r="AH68" i="4" s="1"/>
  <c r="V126" i="4"/>
  <c r="U86" i="4"/>
  <c r="V30" i="4"/>
  <c r="AM30" i="4" s="1"/>
  <c r="AN30" i="4" s="1"/>
  <c r="V70" i="4"/>
  <c r="W70" i="4" s="1"/>
  <c r="Y70" i="4" s="1"/>
  <c r="U102" i="4"/>
  <c r="AH102" i="4" s="1"/>
  <c r="AO225" i="5"/>
  <c r="AP273" i="5"/>
  <c r="AR273" i="5" s="1"/>
  <c r="V23" i="5"/>
  <c r="AS25" i="4"/>
  <c r="V104" i="5"/>
  <c r="AO432" i="5"/>
  <c r="U48" i="4"/>
  <c r="AO252" i="5"/>
  <c r="AO264" i="5"/>
  <c r="V106" i="4"/>
  <c r="W106" i="4" s="1"/>
  <c r="Y106" i="4" s="1"/>
  <c r="V46" i="5"/>
  <c r="AN199" i="5"/>
  <c r="AO56" i="5"/>
  <c r="AN406" i="5"/>
  <c r="AS52" i="4"/>
  <c r="AO212" i="5"/>
  <c r="AO88" i="5"/>
  <c r="V146" i="4"/>
  <c r="W146" i="4" s="1"/>
  <c r="Y146" i="4" s="1"/>
  <c r="Z146" i="4" s="1"/>
  <c r="AP25" i="5"/>
  <c r="AR25" i="5" s="1"/>
  <c r="AP287" i="5"/>
  <c r="AQ287" i="5" s="1"/>
  <c r="AP410" i="5"/>
  <c r="AQ410" i="5" s="1"/>
  <c r="AP135" i="5"/>
  <c r="AR135" i="5" s="1"/>
  <c r="AP380" i="5"/>
  <c r="AR380" i="5" s="1"/>
  <c r="AP153" i="5"/>
  <c r="AR153" i="5" s="1"/>
  <c r="AS48" i="4"/>
  <c r="U106" i="4"/>
  <c r="AH106" i="4" s="1"/>
  <c r="AS31" i="4"/>
  <c r="AO371" i="5"/>
  <c r="AN363" i="5"/>
  <c r="AP225" i="5"/>
  <c r="AQ225" i="5" s="1"/>
  <c r="AO239" i="5"/>
  <c r="AN420" i="5"/>
  <c r="V60" i="5"/>
  <c r="V48" i="5"/>
  <c r="V147" i="5"/>
  <c r="V75" i="4"/>
  <c r="U95" i="4"/>
  <c r="AS146" i="4"/>
  <c r="AP105" i="5"/>
  <c r="AQ105" i="5" s="1"/>
  <c r="V234" i="5"/>
  <c r="AP214" i="5"/>
  <c r="AR214" i="5" s="1"/>
  <c r="AP527" i="5"/>
  <c r="AR527" i="5" s="1"/>
  <c r="AP199" i="5"/>
  <c r="AQ199" i="5" s="1"/>
  <c r="AP250" i="5"/>
  <c r="AR250" i="5" s="1"/>
  <c r="AS110" i="4"/>
  <c r="U75" i="4"/>
  <c r="AH75" i="4" s="1"/>
  <c r="AS95" i="4"/>
  <c r="AO415" i="5"/>
  <c r="AN415" i="5"/>
  <c r="V74" i="4"/>
  <c r="W74" i="4" s="1"/>
  <c r="Y74" i="4" s="1"/>
  <c r="U25" i="4"/>
  <c r="AH25" i="4" s="1"/>
  <c r="V110" i="4"/>
  <c r="AL225" i="5"/>
  <c r="AO451" i="5"/>
  <c r="AN451" i="5"/>
  <c r="AS7" i="4"/>
  <c r="V118" i="4"/>
  <c r="AM118" i="4" s="1"/>
  <c r="AO331" i="5"/>
  <c r="AN331" i="5"/>
  <c r="AI388" i="5"/>
  <c r="AH388" i="5"/>
  <c r="AH331" i="5"/>
  <c r="AI331" i="5"/>
  <c r="AH52" i="5"/>
  <c r="AI52" i="5"/>
  <c r="AH263" i="5"/>
  <c r="AI263" i="5"/>
  <c r="AN51" i="5"/>
  <c r="AO51" i="5"/>
  <c r="AP556" i="5"/>
  <c r="AQ556" i="5" s="1"/>
  <c r="AP58" i="5"/>
  <c r="AR58" i="5" s="1"/>
  <c r="AP175" i="5"/>
  <c r="AQ175" i="5" s="1"/>
  <c r="AP130" i="5"/>
  <c r="AQ130" i="5" s="1"/>
  <c r="V25" i="4"/>
  <c r="W25" i="4" s="1"/>
  <c r="Y25" i="4" s="1"/>
  <c r="Z25" i="4" s="1"/>
  <c r="AF25" i="4" s="1"/>
  <c r="U257" i="5"/>
  <c r="AS75" i="4"/>
  <c r="V63" i="4"/>
  <c r="S480" i="5"/>
  <c r="V35" i="4"/>
  <c r="AM35" i="4" s="1"/>
  <c r="AN35" i="4" s="1"/>
  <c r="V76" i="4"/>
  <c r="AM76" i="4" s="1"/>
  <c r="AN76" i="4" s="1"/>
  <c r="AI399" i="5"/>
  <c r="AH399" i="5"/>
  <c r="AH329" i="5"/>
  <c r="AI329" i="5"/>
  <c r="AO499" i="5"/>
  <c r="AN499" i="5"/>
  <c r="AP333" i="5"/>
  <c r="AQ333" i="5" s="1"/>
  <c r="U63" i="4"/>
  <c r="AH63" i="4" s="1"/>
  <c r="AS35" i="4"/>
  <c r="V9" i="4"/>
  <c r="AI369" i="5"/>
  <c r="AH369" i="5"/>
  <c r="AI241" i="5"/>
  <c r="AH241" i="5"/>
  <c r="AH431" i="5"/>
  <c r="AI431" i="5"/>
  <c r="AN427" i="5"/>
  <c r="AO427" i="5"/>
  <c r="AN539" i="5"/>
  <c r="AO539" i="5"/>
  <c r="AP354" i="5"/>
  <c r="AQ354" i="5" s="1"/>
  <c r="AP450" i="5"/>
  <c r="AR450" i="5" s="1"/>
  <c r="AP324" i="5"/>
  <c r="AQ324" i="5" s="1"/>
  <c r="U35" i="4"/>
  <c r="AH35" i="4" s="1"/>
  <c r="AS63" i="4"/>
  <c r="U12" i="4"/>
  <c r="AH12" i="4" s="1"/>
  <c r="U9" i="4"/>
  <c r="AH9" i="4" s="1"/>
  <c r="AO305" i="5"/>
  <c r="AH53" i="5"/>
  <c r="AI53" i="5"/>
  <c r="AI95" i="5"/>
  <c r="AH95" i="5"/>
  <c r="AI191" i="5"/>
  <c r="AH191" i="5"/>
  <c r="AN73" i="5"/>
  <c r="AO73" i="5"/>
  <c r="AP432" i="5"/>
  <c r="AQ432" i="5" s="1"/>
  <c r="AP69" i="5"/>
  <c r="AR69" i="5" s="1"/>
  <c r="AP390" i="5"/>
  <c r="AQ390" i="5" s="1"/>
  <c r="AP178" i="5"/>
  <c r="AR178" i="5" s="1"/>
  <c r="AP355" i="5"/>
  <c r="AR355" i="5" s="1"/>
  <c r="AP217" i="5"/>
  <c r="AR217" i="5" s="1"/>
  <c r="AP290" i="5"/>
  <c r="AQ290" i="5" s="1"/>
  <c r="AP365" i="5"/>
  <c r="AQ365" i="5" s="1"/>
  <c r="AP396" i="5"/>
  <c r="AR396" i="5" s="1"/>
  <c r="AP314" i="5"/>
  <c r="AQ314" i="5" s="1"/>
  <c r="AP301" i="5"/>
  <c r="AR301" i="5" s="1"/>
  <c r="AP528" i="5"/>
  <c r="AQ528" i="5" s="1"/>
  <c r="AP173" i="5"/>
  <c r="AR173" i="5" s="1"/>
  <c r="U74" i="4"/>
  <c r="AH74" i="4" s="1"/>
  <c r="AS106" i="4"/>
  <c r="V31" i="4"/>
  <c r="U110" i="4"/>
  <c r="AP348" i="5"/>
  <c r="AQ348" i="5" s="1"/>
  <c r="AP387" i="5"/>
  <c r="AQ387" i="5" s="1"/>
  <c r="AK105" i="5"/>
  <c r="V123" i="4"/>
  <c r="W123" i="4" s="1"/>
  <c r="Y123" i="4" s="1"/>
  <c r="Z123" i="4" s="1"/>
  <c r="R554" i="5"/>
  <c r="AS12" i="4"/>
  <c r="AS9" i="4"/>
  <c r="U84" i="4"/>
  <c r="AI543" i="5"/>
  <c r="AH543" i="5"/>
  <c r="AH150" i="5"/>
  <c r="AI150" i="5"/>
  <c r="AI43" i="5"/>
  <c r="AH43" i="5"/>
  <c r="AN313" i="5"/>
  <c r="AO313" i="5"/>
  <c r="AO108" i="5"/>
  <c r="AN108" i="5"/>
  <c r="AP494" i="5"/>
  <c r="AQ494" i="5" s="1"/>
  <c r="AP520" i="5"/>
  <c r="AR520" i="5" s="1"/>
  <c r="AP48" i="5"/>
  <c r="AR48" i="5" s="1"/>
  <c r="AP267" i="5"/>
  <c r="AR267" i="5" s="1"/>
  <c r="AP338" i="5"/>
  <c r="AR338" i="5" s="1"/>
  <c r="AP332" i="5"/>
  <c r="AQ332" i="5" s="1"/>
  <c r="AP157" i="5"/>
  <c r="AR157" i="5" s="1"/>
  <c r="AP304" i="5"/>
  <c r="AQ304" i="5" s="1"/>
  <c r="V48" i="4"/>
  <c r="AM48" i="4" s="1"/>
  <c r="AN48" i="4" s="1"/>
  <c r="AS74" i="4"/>
  <c r="U31" i="4"/>
  <c r="AH31" i="4" s="1"/>
  <c r="AP434" i="5"/>
  <c r="AR434" i="5" s="1"/>
  <c r="U7" i="4"/>
  <c r="U123" i="4"/>
  <c r="V52" i="4"/>
  <c r="W52" i="4" s="1"/>
  <c r="AN273" i="5"/>
  <c r="AO416" i="5"/>
  <c r="AH325" i="5"/>
  <c r="AI325" i="5"/>
  <c r="AI541" i="5"/>
  <c r="AH541" i="5"/>
  <c r="AP405" i="5"/>
  <c r="AR405" i="5" s="1"/>
  <c r="AP212" i="5"/>
  <c r="AQ212" i="5" s="1"/>
  <c r="AP461" i="5"/>
  <c r="AQ461" i="5" s="1"/>
  <c r="V7" i="4"/>
  <c r="AM7" i="4" s="1"/>
  <c r="AN7" i="4" s="1"/>
  <c r="AS123" i="4"/>
  <c r="U52" i="4"/>
  <c r="AH52" i="4" s="1"/>
  <c r="V95" i="4"/>
  <c r="W95" i="4" s="1"/>
  <c r="AH430" i="5"/>
  <c r="AI430" i="5"/>
  <c r="AI342" i="5"/>
  <c r="AH342" i="5"/>
  <c r="AN171" i="5"/>
  <c r="AO171" i="5"/>
  <c r="B24" i="2"/>
  <c r="R88" i="5"/>
  <c r="R328" i="5"/>
  <c r="Y65" i="5"/>
  <c r="Y135" i="5"/>
  <c r="Y181" i="5"/>
  <c r="Y416" i="5"/>
  <c r="X206" i="5"/>
  <c r="X204" i="5"/>
  <c r="X74" i="5"/>
  <c r="Z560" i="5"/>
  <c r="AA560" i="5" s="1"/>
  <c r="Z552" i="5"/>
  <c r="AB552" i="5" s="1"/>
  <c r="Z544" i="5"/>
  <c r="AB544" i="5" s="1"/>
  <c r="Z536" i="5"/>
  <c r="Z528" i="5"/>
  <c r="Z520" i="5"/>
  <c r="AB520" i="5" s="1"/>
  <c r="Z512" i="5"/>
  <c r="Z504" i="5"/>
  <c r="AB504" i="5" s="1"/>
  <c r="Z496" i="5"/>
  <c r="Z488" i="5"/>
  <c r="AB488" i="5" s="1"/>
  <c r="Z480" i="5"/>
  <c r="AB480" i="5" s="1"/>
  <c r="Z472" i="5"/>
  <c r="AA472" i="5" s="1"/>
  <c r="Z464" i="5"/>
  <c r="AA464" i="5" s="1"/>
  <c r="Z456" i="5"/>
  <c r="AA456" i="5" s="1"/>
  <c r="Z448" i="5"/>
  <c r="AA448" i="5" s="1"/>
  <c r="Z440" i="5"/>
  <c r="Z432" i="5"/>
  <c r="Z424" i="5"/>
  <c r="AB424" i="5" s="1"/>
  <c r="Z416" i="5"/>
  <c r="AA416" i="5" s="1"/>
  <c r="Z408" i="5"/>
  <c r="AB408" i="5" s="1"/>
  <c r="Z400" i="5"/>
  <c r="AA400" i="5" s="1"/>
  <c r="Z392" i="5"/>
  <c r="AB392" i="5" s="1"/>
  <c r="Z384" i="5"/>
  <c r="AA384" i="5" s="1"/>
  <c r="Z376" i="5"/>
  <c r="AB376" i="5" s="1"/>
  <c r="Z368" i="5"/>
  <c r="AA368" i="5" s="1"/>
  <c r="Z360" i="5"/>
  <c r="AA360" i="5" s="1"/>
  <c r="Z352" i="5"/>
  <c r="AB352" i="5" s="1"/>
  <c r="Z344" i="5"/>
  <c r="Z336" i="5"/>
  <c r="AB336" i="5" s="1"/>
  <c r="Z328" i="5"/>
  <c r="AB328" i="5" s="1"/>
  <c r="Z320" i="5"/>
  <c r="AA320" i="5" s="1"/>
  <c r="Z312" i="5"/>
  <c r="AA312" i="5" s="1"/>
  <c r="Z304" i="5"/>
  <c r="AB304" i="5" s="1"/>
  <c r="Z296" i="5"/>
  <c r="AB296" i="5" s="1"/>
  <c r="Z288" i="5"/>
  <c r="AA288" i="5" s="1"/>
  <c r="Z280" i="5"/>
  <c r="Z272" i="5"/>
  <c r="AA272" i="5" s="1"/>
  <c r="Z264" i="5"/>
  <c r="Z256" i="5"/>
  <c r="AB256" i="5" s="1"/>
  <c r="Z248" i="5"/>
  <c r="Z240" i="5"/>
  <c r="Z232" i="5"/>
  <c r="Z224" i="5"/>
  <c r="AB224" i="5" s="1"/>
  <c r="Z216" i="5"/>
  <c r="Z208" i="5"/>
  <c r="AA208" i="5" s="1"/>
  <c r="Z200" i="5"/>
  <c r="Z192" i="5"/>
  <c r="AB192" i="5" s="1"/>
  <c r="Z184" i="5"/>
  <c r="Z176" i="5"/>
  <c r="AB176" i="5" s="1"/>
  <c r="Z168" i="5"/>
  <c r="AB168" i="5" s="1"/>
  <c r="Z160" i="5"/>
  <c r="AB160" i="5" s="1"/>
  <c r="Z152" i="5"/>
  <c r="AB152" i="5" s="1"/>
  <c r="Z144" i="5"/>
  <c r="AA144" i="5" s="1"/>
  <c r="Z136" i="5"/>
  <c r="Z128" i="5"/>
  <c r="AA128" i="5" s="1"/>
  <c r="Z112" i="5"/>
  <c r="AA112" i="5" s="1"/>
  <c r="Z96" i="5"/>
  <c r="AA96" i="5" s="1"/>
  <c r="Z80" i="5"/>
  <c r="AA80" i="5" s="1"/>
  <c r="Z56" i="5"/>
  <c r="AB56" i="5" s="1"/>
  <c r="Z34" i="5"/>
  <c r="AA34" i="5" s="1"/>
  <c r="Z29" i="5"/>
  <c r="AB29" i="5" s="1"/>
  <c r="Z559" i="5"/>
  <c r="Z551" i="5"/>
  <c r="AB551" i="5" s="1"/>
  <c r="Z543" i="5"/>
  <c r="AB543" i="5" s="1"/>
  <c r="Z535" i="5"/>
  <c r="AA535" i="5" s="1"/>
  <c r="Z527" i="5"/>
  <c r="AA527" i="5" s="1"/>
  <c r="Z519" i="5"/>
  <c r="AB519" i="5" s="1"/>
  <c r="Z511" i="5"/>
  <c r="AA511" i="5" s="1"/>
  <c r="Z503" i="5"/>
  <c r="AB503" i="5" s="1"/>
  <c r="Z495" i="5"/>
  <c r="AB495" i="5" s="1"/>
  <c r="Z487" i="5"/>
  <c r="AA487" i="5" s="1"/>
  <c r="Z479" i="5"/>
  <c r="Z471" i="5"/>
  <c r="AA471" i="5" s="1"/>
  <c r="Z463" i="5"/>
  <c r="AA463" i="5" s="1"/>
  <c r="Z455" i="5"/>
  <c r="AB455" i="5" s="1"/>
  <c r="Z447" i="5"/>
  <c r="AA447" i="5" s="1"/>
  <c r="Z439" i="5"/>
  <c r="AA439" i="5" s="1"/>
  <c r="Z431" i="5"/>
  <c r="AA431" i="5" s="1"/>
  <c r="Z423" i="5"/>
  <c r="AB423" i="5" s="1"/>
  <c r="Z415" i="5"/>
  <c r="AB415" i="5" s="1"/>
  <c r="Z407" i="5"/>
  <c r="AB407" i="5" s="1"/>
  <c r="Z399" i="5"/>
  <c r="Z391" i="5"/>
  <c r="AB391" i="5" s="1"/>
  <c r="Z383" i="5"/>
  <c r="AB383" i="5" s="1"/>
  <c r="Z375" i="5"/>
  <c r="AB375" i="5" s="1"/>
  <c r="Z367" i="5"/>
  <c r="AA367" i="5" s="1"/>
  <c r="Z359" i="5"/>
  <c r="AA359" i="5" s="1"/>
  <c r="Z351" i="5"/>
  <c r="AA351" i="5" s="1"/>
  <c r="Z343" i="5"/>
  <c r="AB343" i="5" s="1"/>
  <c r="Z335" i="5"/>
  <c r="AA335" i="5" s="1"/>
  <c r="Z327" i="5"/>
  <c r="AA327" i="5" s="1"/>
  <c r="Z319" i="5"/>
  <c r="AB319" i="5" s="1"/>
  <c r="Z311" i="5"/>
  <c r="AB311" i="5" s="1"/>
  <c r="Z303" i="5"/>
  <c r="AB303" i="5" s="1"/>
  <c r="Z295" i="5"/>
  <c r="Z287" i="5"/>
  <c r="AA287" i="5" s="1"/>
  <c r="Z279" i="5"/>
  <c r="Z271" i="5"/>
  <c r="AA271" i="5" s="1"/>
  <c r="Z263" i="5"/>
  <c r="AB263" i="5" s="1"/>
  <c r="Z255" i="5"/>
  <c r="AA255" i="5" s="1"/>
  <c r="Z247" i="5"/>
  <c r="AA247" i="5" s="1"/>
  <c r="Z239" i="5"/>
  <c r="AB239" i="5" s="1"/>
  <c r="Z231" i="5"/>
  <c r="AB231" i="5" s="1"/>
  <c r="Z223" i="5"/>
  <c r="AB223" i="5" s="1"/>
  <c r="Z215" i="5"/>
  <c r="AA215" i="5" s="1"/>
  <c r="Z207" i="5"/>
  <c r="AB207" i="5" s="1"/>
  <c r="Z199" i="5"/>
  <c r="AB199" i="5" s="1"/>
  <c r="Z191" i="5"/>
  <c r="AA191" i="5" s="1"/>
  <c r="Z183" i="5"/>
  <c r="Z175" i="5"/>
  <c r="AB175" i="5" s="1"/>
  <c r="Z167" i="5"/>
  <c r="AB167" i="5" s="1"/>
  <c r="Z159" i="5"/>
  <c r="AA159" i="5" s="1"/>
  <c r="Z151" i="5"/>
  <c r="AA151" i="5" s="1"/>
  <c r="Z143" i="5"/>
  <c r="AA143" i="5" s="1"/>
  <c r="Z135" i="5"/>
  <c r="AA135" i="5" s="1"/>
  <c r="Z127" i="5"/>
  <c r="Z119" i="5"/>
  <c r="AB119" i="5" s="1"/>
  <c r="Z111" i="5"/>
  <c r="AB111" i="5" s="1"/>
  <c r="Z103" i="5"/>
  <c r="AA103" i="5" s="1"/>
  <c r="Z95" i="5"/>
  <c r="AB95" i="5" s="1"/>
  <c r="Z87" i="5"/>
  <c r="AB87" i="5" s="1"/>
  <c r="Z79" i="5"/>
  <c r="AB79" i="5" s="1"/>
  <c r="Z71" i="5"/>
  <c r="AA71" i="5" s="1"/>
  <c r="Z63" i="5"/>
  <c r="AB63" i="5" s="1"/>
  <c r="Z55" i="5"/>
  <c r="AB55" i="5" s="1"/>
  <c r="Z47" i="5"/>
  <c r="AB47" i="5" s="1"/>
  <c r="Z39" i="5"/>
  <c r="AA39" i="5" s="1"/>
  <c r="Z33" i="5"/>
  <c r="Z25" i="5"/>
  <c r="AA25" i="5" s="1"/>
  <c r="Z12" i="5"/>
  <c r="Z166" i="5"/>
  <c r="AA166" i="5" s="1"/>
  <c r="Z150" i="5"/>
  <c r="AA150" i="5" s="1"/>
  <c r="Z134" i="5"/>
  <c r="Z118" i="5"/>
  <c r="AB118" i="5" s="1"/>
  <c r="Z102" i="5"/>
  <c r="Z78" i="5"/>
  <c r="Z62" i="5"/>
  <c r="AB62" i="5" s="1"/>
  <c r="Z54" i="5"/>
  <c r="AA54" i="5" s="1"/>
  <c r="Z32" i="5"/>
  <c r="AB32" i="5" s="1"/>
  <c r="Z10" i="5"/>
  <c r="AB10" i="5" s="1"/>
  <c r="Z131" i="5"/>
  <c r="AA131" i="5" s="1"/>
  <c r="Z91" i="5"/>
  <c r="AA91" i="5" s="1"/>
  <c r="Z43" i="5"/>
  <c r="AB43" i="5" s="1"/>
  <c r="Z558" i="5"/>
  <c r="Z550" i="5"/>
  <c r="AB550" i="5" s="1"/>
  <c r="Z542" i="5"/>
  <c r="AA542" i="5" s="1"/>
  <c r="Z534" i="5"/>
  <c r="Z526" i="5"/>
  <c r="AA526" i="5" s="1"/>
  <c r="Z518" i="5"/>
  <c r="AB518" i="5" s="1"/>
  <c r="Z510" i="5"/>
  <c r="AB510" i="5" s="1"/>
  <c r="Z502" i="5"/>
  <c r="AB502" i="5" s="1"/>
  <c r="Z494" i="5"/>
  <c r="AB494" i="5" s="1"/>
  <c r="Z486" i="5"/>
  <c r="AB486" i="5" s="1"/>
  <c r="Z478" i="5"/>
  <c r="AB478" i="5" s="1"/>
  <c r="Z470" i="5"/>
  <c r="AB470" i="5" s="1"/>
  <c r="Z462" i="5"/>
  <c r="AB462" i="5" s="1"/>
  <c r="Z454" i="5"/>
  <c r="AB454" i="5" s="1"/>
  <c r="Z446" i="5"/>
  <c r="Z438" i="5"/>
  <c r="AB438" i="5" s="1"/>
  <c r="Z430" i="5"/>
  <c r="AA430" i="5" s="1"/>
  <c r="Z422" i="5"/>
  <c r="AB422" i="5" s="1"/>
  <c r="Z414" i="5"/>
  <c r="AB414" i="5" s="1"/>
  <c r="Z406" i="5"/>
  <c r="AA406" i="5" s="1"/>
  <c r="Z398" i="5"/>
  <c r="Z390" i="5"/>
  <c r="AA390" i="5" s="1"/>
  <c r="Z382" i="5"/>
  <c r="AB382" i="5" s="1"/>
  <c r="Z374" i="5"/>
  <c r="AB374" i="5" s="1"/>
  <c r="Z366" i="5"/>
  <c r="AA366" i="5" s="1"/>
  <c r="Z358" i="5"/>
  <c r="AB358" i="5" s="1"/>
  <c r="Z350" i="5"/>
  <c r="AA350" i="5" s="1"/>
  <c r="Z342" i="5"/>
  <c r="Z334" i="5"/>
  <c r="AB334" i="5" s="1"/>
  <c r="Z326" i="5"/>
  <c r="AA326" i="5" s="1"/>
  <c r="Z318" i="5"/>
  <c r="AB318" i="5" s="1"/>
  <c r="Z310" i="5"/>
  <c r="Z302" i="5"/>
  <c r="AA302" i="5" s="1"/>
  <c r="Z294" i="5"/>
  <c r="AB294" i="5" s="1"/>
  <c r="Z286" i="5"/>
  <c r="AB286" i="5" s="1"/>
  <c r="Z278" i="5"/>
  <c r="AA278" i="5" s="1"/>
  <c r="Z270" i="5"/>
  <c r="AA270" i="5" s="1"/>
  <c r="Z262" i="5"/>
  <c r="AA262" i="5" s="1"/>
  <c r="Z254" i="5"/>
  <c r="AA254" i="5" s="1"/>
  <c r="Z246" i="5"/>
  <c r="AA246" i="5" s="1"/>
  <c r="Z238" i="5"/>
  <c r="Z230" i="5"/>
  <c r="AA230" i="5" s="1"/>
  <c r="Z222" i="5"/>
  <c r="AB222" i="5" s="1"/>
  <c r="Z214" i="5"/>
  <c r="AA214" i="5" s="1"/>
  <c r="Z206" i="5"/>
  <c r="AA206" i="5" s="1"/>
  <c r="Z198" i="5"/>
  <c r="Z190" i="5"/>
  <c r="AB190" i="5" s="1"/>
  <c r="Z182" i="5"/>
  <c r="Z174" i="5"/>
  <c r="AA174" i="5" s="1"/>
  <c r="Z158" i="5"/>
  <c r="Z142" i="5"/>
  <c r="AB142" i="5" s="1"/>
  <c r="Z126" i="5"/>
  <c r="Z110" i="5"/>
  <c r="AA110" i="5" s="1"/>
  <c r="Z94" i="5"/>
  <c r="AA94" i="5" s="1"/>
  <c r="Z86" i="5"/>
  <c r="AA86" i="5" s="1"/>
  <c r="Z70" i="5"/>
  <c r="AB70" i="5" s="1"/>
  <c r="Z46" i="5"/>
  <c r="Z38" i="5"/>
  <c r="AA38" i="5" s="1"/>
  <c r="Z24" i="5"/>
  <c r="Z147" i="5"/>
  <c r="Z107" i="5"/>
  <c r="AB107" i="5" s="1"/>
  <c r="Z67" i="5"/>
  <c r="Z7" i="5"/>
  <c r="AB7" i="5" s="1"/>
  <c r="Z557" i="5"/>
  <c r="AA557" i="5" s="1"/>
  <c r="Z549" i="5"/>
  <c r="AB549" i="5" s="1"/>
  <c r="Z541" i="5"/>
  <c r="Z533" i="5"/>
  <c r="AA533" i="5" s="1"/>
  <c r="Z525" i="5"/>
  <c r="AA525" i="5" s="1"/>
  <c r="Z517" i="5"/>
  <c r="AB517" i="5" s="1"/>
  <c r="Z509" i="5"/>
  <c r="AA509" i="5" s="1"/>
  <c r="Z501" i="5"/>
  <c r="AB501" i="5" s="1"/>
  <c r="Z493" i="5"/>
  <c r="AA493" i="5" s="1"/>
  <c r="Z485" i="5"/>
  <c r="AA485" i="5" s="1"/>
  <c r="Z477" i="5"/>
  <c r="AA477" i="5" s="1"/>
  <c r="Z469" i="5"/>
  <c r="AA469" i="5" s="1"/>
  <c r="Z461" i="5"/>
  <c r="AB461" i="5" s="1"/>
  <c r="Z453" i="5"/>
  <c r="AA453" i="5" s="1"/>
  <c r="Z445" i="5"/>
  <c r="AB445" i="5" s="1"/>
  <c r="Z437" i="5"/>
  <c r="AA437" i="5" s="1"/>
  <c r="Z429" i="5"/>
  <c r="AA429" i="5" s="1"/>
  <c r="Z421" i="5"/>
  <c r="AA421" i="5" s="1"/>
  <c r="Z413" i="5"/>
  <c r="AA413" i="5" s="1"/>
  <c r="Z405" i="5"/>
  <c r="AB405" i="5" s="1"/>
  <c r="Z397" i="5"/>
  <c r="AB397" i="5" s="1"/>
  <c r="Z389" i="5"/>
  <c r="AA389" i="5" s="1"/>
  <c r="Z381" i="5"/>
  <c r="Z373" i="5"/>
  <c r="AB373" i="5" s="1"/>
  <c r="Z365" i="5"/>
  <c r="Z357" i="5"/>
  <c r="AA357" i="5" s="1"/>
  <c r="Z349" i="5"/>
  <c r="Z341" i="5"/>
  <c r="AA341" i="5" s="1"/>
  <c r="Z333" i="5"/>
  <c r="AB333" i="5" s="1"/>
  <c r="Z325" i="5"/>
  <c r="Z317" i="5"/>
  <c r="AB317" i="5" s="1"/>
  <c r="Z309" i="5"/>
  <c r="AA309" i="5" s="1"/>
  <c r="Z301" i="5"/>
  <c r="AA301" i="5" s="1"/>
  <c r="Z293" i="5"/>
  <c r="AA293" i="5" s="1"/>
  <c r="Z285" i="5"/>
  <c r="Z277" i="5"/>
  <c r="AB277" i="5" s="1"/>
  <c r="Z269" i="5"/>
  <c r="AB269" i="5" s="1"/>
  <c r="Z261" i="5"/>
  <c r="AA261" i="5" s="1"/>
  <c r="Z253" i="5"/>
  <c r="Z245" i="5"/>
  <c r="Z237" i="5"/>
  <c r="Z229" i="5"/>
  <c r="Z221" i="5"/>
  <c r="AB221" i="5" s="1"/>
  <c r="Z213" i="5"/>
  <c r="AB213" i="5" s="1"/>
  <c r="Z205" i="5"/>
  <c r="AB205" i="5" s="1"/>
  <c r="Z197" i="5"/>
  <c r="Z189" i="5"/>
  <c r="AA189" i="5" s="1"/>
  <c r="Z181" i="5"/>
  <c r="AA181" i="5" s="1"/>
  <c r="Z173" i="5"/>
  <c r="Z165" i="5"/>
  <c r="AA165" i="5" s="1"/>
  <c r="Z157" i="5"/>
  <c r="AB157" i="5" s="1"/>
  <c r="Z149" i="5"/>
  <c r="AB149" i="5" s="1"/>
  <c r="Z141" i="5"/>
  <c r="Z133" i="5"/>
  <c r="AA133" i="5" s="1"/>
  <c r="Z125" i="5"/>
  <c r="AB125" i="5" s="1"/>
  <c r="Z117" i="5"/>
  <c r="AA117" i="5" s="1"/>
  <c r="Z109" i="5"/>
  <c r="AA109" i="5" s="1"/>
  <c r="Z101" i="5"/>
  <c r="AA101" i="5" s="1"/>
  <c r="Z93" i="5"/>
  <c r="AA93" i="5" s="1"/>
  <c r="Z85" i="5"/>
  <c r="AA85" i="5" s="1"/>
  <c r="Z77" i="5"/>
  <c r="AA77" i="5" s="1"/>
  <c r="Z69" i="5"/>
  <c r="AB69" i="5" s="1"/>
  <c r="Z61" i="5"/>
  <c r="AA61" i="5" s="1"/>
  <c r="Z53" i="5"/>
  <c r="AB53" i="5" s="1"/>
  <c r="Z45" i="5"/>
  <c r="Z37" i="5"/>
  <c r="AA37" i="5" s="1"/>
  <c r="Z31" i="5"/>
  <c r="AA31" i="5" s="1"/>
  <c r="Z23" i="5"/>
  <c r="AB23" i="5" s="1"/>
  <c r="Z148" i="5"/>
  <c r="AB148" i="5" s="1"/>
  <c r="Z132" i="5"/>
  <c r="AA132" i="5" s="1"/>
  <c r="Z124" i="5"/>
  <c r="AA124" i="5" s="1"/>
  <c r="Z108" i="5"/>
  <c r="AB108" i="5" s="1"/>
  <c r="Z92" i="5"/>
  <c r="AA92" i="5" s="1"/>
  <c r="Z84" i="5"/>
  <c r="AB84" i="5" s="1"/>
  <c r="Z68" i="5"/>
  <c r="Z52" i="5"/>
  <c r="AB52" i="5" s="1"/>
  <c r="Z36" i="5"/>
  <c r="AB36" i="5" s="1"/>
  <c r="Z22" i="5"/>
  <c r="Z171" i="5"/>
  <c r="AA171" i="5" s="1"/>
  <c r="Z139" i="5"/>
  <c r="AA139" i="5" s="1"/>
  <c r="Z123" i="5"/>
  <c r="AA123" i="5" s="1"/>
  <c r="Z83" i="5"/>
  <c r="AA83" i="5" s="1"/>
  <c r="Z51" i="5"/>
  <c r="AA51" i="5" s="1"/>
  <c r="Z556" i="5"/>
  <c r="Z548" i="5"/>
  <c r="AB548" i="5" s="1"/>
  <c r="Z540" i="5"/>
  <c r="AB540" i="5" s="1"/>
  <c r="Z532" i="5"/>
  <c r="AA532" i="5" s="1"/>
  <c r="Z524" i="5"/>
  <c r="AA524" i="5" s="1"/>
  <c r="Z516" i="5"/>
  <c r="AB516" i="5" s="1"/>
  <c r="Z508" i="5"/>
  <c r="Z500" i="5"/>
  <c r="Z492" i="5"/>
  <c r="AB492" i="5" s="1"/>
  <c r="Z484" i="5"/>
  <c r="AB484" i="5" s="1"/>
  <c r="Z476" i="5"/>
  <c r="Z468" i="5"/>
  <c r="AB468" i="5" s="1"/>
  <c r="Z460" i="5"/>
  <c r="AA460" i="5" s="1"/>
  <c r="Z452" i="5"/>
  <c r="AA452" i="5" s="1"/>
  <c r="Z444" i="5"/>
  <c r="AB444" i="5" s="1"/>
  <c r="Z436" i="5"/>
  <c r="AA436" i="5" s="1"/>
  <c r="Z428" i="5"/>
  <c r="AB428" i="5" s="1"/>
  <c r="Z420" i="5"/>
  <c r="AB420" i="5" s="1"/>
  <c r="Z412" i="5"/>
  <c r="AA412" i="5" s="1"/>
  <c r="Z404" i="5"/>
  <c r="AB404" i="5" s="1"/>
  <c r="Z396" i="5"/>
  <c r="AA396" i="5" s="1"/>
  <c r="Z388" i="5"/>
  <c r="AA388" i="5" s="1"/>
  <c r="Z380" i="5"/>
  <c r="AA380" i="5" s="1"/>
  <c r="Z372" i="5"/>
  <c r="AB372" i="5" s="1"/>
  <c r="Z364" i="5"/>
  <c r="AB364" i="5" s="1"/>
  <c r="Z356" i="5"/>
  <c r="AA356" i="5" s="1"/>
  <c r="Z348" i="5"/>
  <c r="AA348" i="5" s="1"/>
  <c r="Z340" i="5"/>
  <c r="AB340" i="5" s="1"/>
  <c r="Z332" i="5"/>
  <c r="AA332" i="5" s="1"/>
  <c r="Z324" i="5"/>
  <c r="AB324" i="5" s="1"/>
  <c r="Z316" i="5"/>
  <c r="AA316" i="5" s="1"/>
  <c r="Z308" i="5"/>
  <c r="Z300" i="5"/>
  <c r="Z292" i="5"/>
  <c r="AA292" i="5" s="1"/>
  <c r="Z284" i="5"/>
  <c r="AB284" i="5" s="1"/>
  <c r="Z276" i="5"/>
  <c r="AB276" i="5" s="1"/>
  <c r="Z268" i="5"/>
  <c r="AA268" i="5" s="1"/>
  <c r="Z260" i="5"/>
  <c r="AB260" i="5" s="1"/>
  <c r="Z252" i="5"/>
  <c r="AB252" i="5" s="1"/>
  <c r="Z244" i="5"/>
  <c r="AB244" i="5" s="1"/>
  <c r="Z236" i="5"/>
  <c r="AB236" i="5" s="1"/>
  <c r="Z228" i="5"/>
  <c r="AA228" i="5" s="1"/>
  <c r="Z220" i="5"/>
  <c r="AA220" i="5" s="1"/>
  <c r="Z212" i="5"/>
  <c r="AB212" i="5" s="1"/>
  <c r="Z204" i="5"/>
  <c r="Z196" i="5"/>
  <c r="AA196" i="5" s="1"/>
  <c r="Z188" i="5"/>
  <c r="AB188" i="5" s="1"/>
  <c r="Z180" i="5"/>
  <c r="AB180" i="5" s="1"/>
  <c r="Z172" i="5"/>
  <c r="AB172" i="5" s="1"/>
  <c r="Z164" i="5"/>
  <c r="AB164" i="5" s="1"/>
  <c r="Z156" i="5"/>
  <c r="AA156" i="5" s="1"/>
  <c r="Z140" i="5"/>
  <c r="AB140" i="5" s="1"/>
  <c r="Z116" i="5"/>
  <c r="AB116" i="5" s="1"/>
  <c r="Z100" i="5"/>
  <c r="AB100" i="5" s="1"/>
  <c r="Z76" i="5"/>
  <c r="AA76" i="5" s="1"/>
  <c r="Z60" i="5"/>
  <c r="AB60" i="5" s="1"/>
  <c r="Z44" i="5"/>
  <c r="Z30" i="5"/>
  <c r="AA30" i="5" s="1"/>
  <c r="Z8" i="5"/>
  <c r="AA8" i="5" s="1"/>
  <c r="Z155" i="5"/>
  <c r="AB155" i="5" s="1"/>
  <c r="Z99" i="5"/>
  <c r="Z59" i="5"/>
  <c r="AB59" i="5" s="1"/>
  <c r="Z555" i="5"/>
  <c r="Z547" i="5"/>
  <c r="AB547" i="5" s="1"/>
  <c r="Z539" i="5"/>
  <c r="AB539" i="5" s="1"/>
  <c r="Z531" i="5"/>
  <c r="AB531" i="5" s="1"/>
  <c r="Z523" i="5"/>
  <c r="AB523" i="5" s="1"/>
  <c r="Z515" i="5"/>
  <c r="AB515" i="5" s="1"/>
  <c r="Z507" i="5"/>
  <c r="AA507" i="5" s="1"/>
  <c r="Z499" i="5"/>
  <c r="AB499" i="5" s="1"/>
  <c r="Z491" i="5"/>
  <c r="AA491" i="5" s="1"/>
  <c r="Z483" i="5"/>
  <c r="Z475" i="5"/>
  <c r="AB475" i="5" s="1"/>
  <c r="Z467" i="5"/>
  <c r="AB467" i="5" s="1"/>
  <c r="Z459" i="5"/>
  <c r="AA459" i="5" s="1"/>
  <c r="Z451" i="5"/>
  <c r="Z443" i="5"/>
  <c r="AA443" i="5" s="1"/>
  <c r="Z435" i="5"/>
  <c r="AB435" i="5" s="1"/>
  <c r="Z427" i="5"/>
  <c r="Z419" i="5"/>
  <c r="AA419" i="5" s="1"/>
  <c r="Z411" i="5"/>
  <c r="AA411" i="5" s="1"/>
  <c r="Z403" i="5"/>
  <c r="AA403" i="5" s="1"/>
  <c r="Z395" i="5"/>
  <c r="Z387" i="5"/>
  <c r="AB387" i="5" s="1"/>
  <c r="Z379" i="5"/>
  <c r="AA379" i="5" s="1"/>
  <c r="Z371" i="5"/>
  <c r="AA371" i="5" s="1"/>
  <c r="Z363" i="5"/>
  <c r="AB363" i="5" s="1"/>
  <c r="Z355" i="5"/>
  <c r="AB355" i="5" s="1"/>
  <c r="Z347" i="5"/>
  <c r="AA347" i="5" s="1"/>
  <c r="Z339" i="5"/>
  <c r="Z331" i="5"/>
  <c r="AA331" i="5" s="1"/>
  <c r="Z323" i="5"/>
  <c r="Z315" i="5"/>
  <c r="AB315" i="5" s="1"/>
  <c r="Z307" i="5"/>
  <c r="AA307" i="5" s="1"/>
  <c r="Z299" i="5"/>
  <c r="AA299" i="5" s="1"/>
  <c r="Z291" i="5"/>
  <c r="AA291" i="5" s="1"/>
  <c r="Z283" i="5"/>
  <c r="AB283" i="5" s="1"/>
  <c r="Z275" i="5"/>
  <c r="AB275" i="5" s="1"/>
  <c r="Z267" i="5"/>
  <c r="AB267" i="5" s="1"/>
  <c r="Z259" i="5"/>
  <c r="AA259" i="5" s="1"/>
  <c r="Z251" i="5"/>
  <c r="AB251" i="5" s="1"/>
  <c r="Z243" i="5"/>
  <c r="AB243" i="5" s="1"/>
  <c r="Z235" i="5"/>
  <c r="AA235" i="5" s="1"/>
  <c r="Z227" i="5"/>
  <c r="AB227" i="5" s="1"/>
  <c r="Z219" i="5"/>
  <c r="AA219" i="5" s="1"/>
  <c r="Z211" i="5"/>
  <c r="AA211" i="5" s="1"/>
  <c r="Z203" i="5"/>
  <c r="AA203" i="5" s="1"/>
  <c r="Z195" i="5"/>
  <c r="AA195" i="5" s="1"/>
  <c r="Z187" i="5"/>
  <c r="AB187" i="5" s="1"/>
  <c r="Z179" i="5"/>
  <c r="AA179" i="5" s="1"/>
  <c r="Z163" i="5"/>
  <c r="AA163" i="5" s="1"/>
  <c r="Z115" i="5"/>
  <c r="Z75" i="5"/>
  <c r="Z554" i="5"/>
  <c r="AA554" i="5" s="1"/>
  <c r="Z546" i="5"/>
  <c r="AA546" i="5" s="1"/>
  <c r="Z538" i="5"/>
  <c r="AB538" i="5" s="1"/>
  <c r="Z530" i="5"/>
  <c r="Z522" i="5"/>
  <c r="AA522" i="5" s="1"/>
  <c r="Z514" i="5"/>
  <c r="AB514" i="5" s="1"/>
  <c r="Z506" i="5"/>
  <c r="AB506" i="5" s="1"/>
  <c r="Z498" i="5"/>
  <c r="AA498" i="5" s="1"/>
  <c r="Z490" i="5"/>
  <c r="AB490" i="5" s="1"/>
  <c r="Z482" i="5"/>
  <c r="Z474" i="5"/>
  <c r="AA474" i="5" s="1"/>
  <c r="Z466" i="5"/>
  <c r="Z458" i="5"/>
  <c r="AA458" i="5" s="1"/>
  <c r="Z450" i="5"/>
  <c r="Z442" i="5"/>
  <c r="AB442" i="5" s="1"/>
  <c r="Z434" i="5"/>
  <c r="Z426" i="5"/>
  <c r="AA426" i="5" s="1"/>
  <c r="Z418" i="5"/>
  <c r="AB418" i="5" s="1"/>
  <c r="Z410" i="5"/>
  <c r="AB410" i="5" s="1"/>
  <c r="Z402" i="5"/>
  <c r="AB402" i="5" s="1"/>
  <c r="Z394" i="5"/>
  <c r="AB394" i="5" s="1"/>
  <c r="Z386" i="5"/>
  <c r="AA386" i="5" s="1"/>
  <c r="Z378" i="5"/>
  <c r="Z370" i="5"/>
  <c r="AA370" i="5" s="1"/>
  <c r="Z362" i="5"/>
  <c r="AA362" i="5" s="1"/>
  <c r="Z354" i="5"/>
  <c r="AA354" i="5" s="1"/>
  <c r="Z346" i="5"/>
  <c r="AB346" i="5" s="1"/>
  <c r="Z338" i="5"/>
  <c r="AB338" i="5" s="1"/>
  <c r="Z330" i="5"/>
  <c r="AB330" i="5" s="1"/>
  <c r="Z322" i="5"/>
  <c r="AA322" i="5" s="1"/>
  <c r="Z314" i="5"/>
  <c r="AB314" i="5" s="1"/>
  <c r="Z306" i="5"/>
  <c r="AB306" i="5" s="1"/>
  <c r="Z298" i="5"/>
  <c r="AA298" i="5" s="1"/>
  <c r="Z290" i="5"/>
  <c r="AB290" i="5" s="1"/>
  <c r="Z282" i="5"/>
  <c r="AB282" i="5" s="1"/>
  <c r="Z274" i="5"/>
  <c r="AA274" i="5" s="1"/>
  <c r="Z266" i="5"/>
  <c r="Z258" i="5"/>
  <c r="AB258" i="5" s="1"/>
  <c r="Z250" i="5"/>
  <c r="AB250" i="5" s="1"/>
  <c r="Z242" i="5"/>
  <c r="AA242" i="5" s="1"/>
  <c r="Z234" i="5"/>
  <c r="Z226" i="5"/>
  <c r="AA226" i="5" s="1"/>
  <c r="Z218" i="5"/>
  <c r="Z210" i="5"/>
  <c r="Z202" i="5"/>
  <c r="AA202" i="5" s="1"/>
  <c r="Z194" i="5"/>
  <c r="AB194" i="5" s="1"/>
  <c r="Z186" i="5"/>
  <c r="Z178" i="5"/>
  <c r="Z170" i="5"/>
  <c r="AB170" i="5" s="1"/>
  <c r="Z162" i="5"/>
  <c r="AB162" i="5" s="1"/>
  <c r="Z154" i="5"/>
  <c r="AA154" i="5" s="1"/>
  <c r="Z146" i="5"/>
  <c r="AB146" i="5" s="1"/>
  <c r="Z138" i="5"/>
  <c r="AB138" i="5" s="1"/>
  <c r="Z130" i="5"/>
  <c r="AA130" i="5" s="1"/>
  <c r="Z122" i="5"/>
  <c r="Z114" i="5"/>
  <c r="AB114" i="5" s="1"/>
  <c r="Z106" i="5"/>
  <c r="AB106" i="5" s="1"/>
  <c r="Z98" i="5"/>
  <c r="AA98" i="5" s="1"/>
  <c r="Z90" i="5"/>
  <c r="AB90" i="5" s="1"/>
  <c r="Z82" i="5"/>
  <c r="AB82" i="5" s="1"/>
  <c r="Z74" i="5"/>
  <c r="AA74" i="5" s="1"/>
  <c r="Z66" i="5"/>
  <c r="AB66" i="5" s="1"/>
  <c r="Z58" i="5"/>
  <c r="Z50" i="5"/>
  <c r="AB50" i="5" s="1"/>
  <c r="Z42" i="5"/>
  <c r="AA42" i="5" s="1"/>
  <c r="Z35" i="5"/>
  <c r="Z28" i="5"/>
  <c r="AB28" i="5" s="1"/>
  <c r="Z20" i="5"/>
  <c r="Z121" i="5"/>
  <c r="AA121" i="5" s="1"/>
  <c r="Z105" i="5"/>
  <c r="AA105" i="5" s="1"/>
  <c r="Z89" i="5"/>
  <c r="AB89" i="5" s="1"/>
  <c r="Z73" i="5"/>
  <c r="Z57" i="5"/>
  <c r="AB57" i="5" s="1"/>
  <c r="Z41" i="5"/>
  <c r="AA41" i="5" s="1"/>
  <c r="Z27" i="5"/>
  <c r="AB27" i="5" s="1"/>
  <c r="Z19" i="5"/>
  <c r="AA19" i="5" s="1"/>
  <c r="Z120" i="5"/>
  <c r="AA120" i="5" s="1"/>
  <c r="Z104" i="5"/>
  <c r="AB104" i="5" s="1"/>
  <c r="Z88" i="5"/>
  <c r="AA88" i="5" s="1"/>
  <c r="Z64" i="5"/>
  <c r="AB64" i="5" s="1"/>
  <c r="Z40" i="5"/>
  <c r="AA40" i="5" s="1"/>
  <c r="Z13" i="5"/>
  <c r="Z553" i="5"/>
  <c r="AB553" i="5" s="1"/>
  <c r="Z545" i="5"/>
  <c r="AA545" i="5" s="1"/>
  <c r="Z537" i="5"/>
  <c r="AA537" i="5" s="1"/>
  <c r="Z529" i="5"/>
  <c r="AA529" i="5" s="1"/>
  <c r="Z521" i="5"/>
  <c r="AA521" i="5" s="1"/>
  <c r="Z513" i="5"/>
  <c r="AA513" i="5" s="1"/>
  <c r="Z505" i="5"/>
  <c r="Z497" i="5"/>
  <c r="AB497" i="5" s="1"/>
  <c r="Z489" i="5"/>
  <c r="AB489" i="5" s="1"/>
  <c r="Z481" i="5"/>
  <c r="Z473" i="5"/>
  <c r="AA473" i="5" s="1"/>
  <c r="Z465" i="5"/>
  <c r="Z457" i="5"/>
  <c r="AB457" i="5" s="1"/>
  <c r="Z449" i="5"/>
  <c r="AA449" i="5" s="1"/>
  <c r="Z441" i="5"/>
  <c r="AB441" i="5" s="1"/>
  <c r="Z433" i="5"/>
  <c r="Z425" i="5"/>
  <c r="AA425" i="5" s="1"/>
  <c r="Z417" i="5"/>
  <c r="AA417" i="5" s="1"/>
  <c r="Z409" i="5"/>
  <c r="AB409" i="5" s="1"/>
  <c r="Z401" i="5"/>
  <c r="AA401" i="5" s="1"/>
  <c r="Z393" i="5"/>
  <c r="AA393" i="5" s="1"/>
  <c r="Z385" i="5"/>
  <c r="AB385" i="5" s="1"/>
  <c r="Z377" i="5"/>
  <c r="Z369" i="5"/>
  <c r="AB369" i="5" s="1"/>
  <c r="Z361" i="5"/>
  <c r="AB361" i="5" s="1"/>
  <c r="Z353" i="5"/>
  <c r="Z345" i="5"/>
  <c r="Z337" i="5"/>
  <c r="AB337" i="5" s="1"/>
  <c r="Z329" i="5"/>
  <c r="AB329" i="5" s="1"/>
  <c r="Z321" i="5"/>
  <c r="AB321" i="5" s="1"/>
  <c r="Z313" i="5"/>
  <c r="AB313" i="5" s="1"/>
  <c r="Z305" i="5"/>
  <c r="AB305" i="5" s="1"/>
  <c r="Z297" i="5"/>
  <c r="AB297" i="5" s="1"/>
  <c r="Z289" i="5"/>
  <c r="AB289" i="5" s="1"/>
  <c r="Z281" i="5"/>
  <c r="AB281" i="5" s="1"/>
  <c r="Z273" i="5"/>
  <c r="AB273" i="5" s="1"/>
  <c r="Z265" i="5"/>
  <c r="AB265" i="5" s="1"/>
  <c r="Z257" i="5"/>
  <c r="Z249" i="5"/>
  <c r="AA249" i="5" s="1"/>
  <c r="Z241" i="5"/>
  <c r="AB241" i="5" s="1"/>
  <c r="Z233" i="5"/>
  <c r="AA233" i="5" s="1"/>
  <c r="Z225" i="5"/>
  <c r="AB225" i="5" s="1"/>
  <c r="Z217" i="5"/>
  <c r="AA217" i="5" s="1"/>
  <c r="Z209" i="5"/>
  <c r="AA209" i="5" s="1"/>
  <c r="Z201" i="5"/>
  <c r="AB201" i="5" s="1"/>
  <c r="Z193" i="5"/>
  <c r="AB193" i="5" s="1"/>
  <c r="Z185" i="5"/>
  <c r="AB185" i="5" s="1"/>
  <c r="Z177" i="5"/>
  <c r="AB177" i="5" s="1"/>
  <c r="Z169" i="5"/>
  <c r="AA169" i="5" s="1"/>
  <c r="Z161" i="5"/>
  <c r="AA161" i="5" s="1"/>
  <c r="Z153" i="5"/>
  <c r="AB153" i="5" s="1"/>
  <c r="Z145" i="5"/>
  <c r="Z137" i="5"/>
  <c r="AB137" i="5" s="1"/>
  <c r="Z129" i="5"/>
  <c r="AB129" i="5" s="1"/>
  <c r="Z113" i="5"/>
  <c r="Z97" i="5"/>
  <c r="AB97" i="5" s="1"/>
  <c r="Z81" i="5"/>
  <c r="Z65" i="5"/>
  <c r="Z49" i="5"/>
  <c r="AA49" i="5" s="1"/>
  <c r="Z72" i="5"/>
  <c r="AB72" i="5" s="1"/>
  <c r="Z48" i="5"/>
  <c r="AB48" i="5" s="1"/>
  <c r="Z26" i="5"/>
  <c r="AB26" i="5" s="1"/>
  <c r="Z21" i="5"/>
  <c r="AJ9" i="5"/>
  <c r="AK9" i="5" s="1"/>
  <c r="Z9" i="5"/>
  <c r="S240" i="5"/>
  <c r="R312" i="5"/>
  <c r="T11" i="5"/>
  <c r="U11" i="5" s="1"/>
  <c r="Z11" i="5"/>
  <c r="AB11" i="5" s="1"/>
  <c r="R320" i="5"/>
  <c r="S128" i="5"/>
  <c r="U45" i="5"/>
  <c r="AP38" i="5"/>
  <c r="AR38" i="5" s="1"/>
  <c r="AP110" i="5"/>
  <c r="AR110" i="5" s="1"/>
  <c r="AP47" i="5"/>
  <c r="AQ47" i="5" s="1"/>
  <c r="AP92" i="5"/>
  <c r="AR92" i="5" s="1"/>
  <c r="AP64" i="5"/>
  <c r="AR64" i="5" s="1"/>
  <c r="V97" i="5"/>
  <c r="AP340" i="5"/>
  <c r="AR340" i="5" s="1"/>
  <c r="R472" i="5"/>
  <c r="V534" i="5"/>
  <c r="Y184" i="5"/>
  <c r="AP189" i="5"/>
  <c r="AQ189" i="5" s="1"/>
  <c r="V145" i="5"/>
  <c r="V54" i="5"/>
  <c r="AP238" i="5"/>
  <c r="AQ238" i="5" s="1"/>
  <c r="AP42" i="5"/>
  <c r="AR42" i="5" s="1"/>
  <c r="AP506" i="5"/>
  <c r="AQ506" i="5" s="1"/>
  <c r="U143" i="5"/>
  <c r="S224" i="5"/>
  <c r="Y179" i="5"/>
  <c r="Y326" i="5"/>
  <c r="AP112" i="5"/>
  <c r="AQ112" i="5" s="1"/>
  <c r="AP497" i="5"/>
  <c r="AR497" i="5" s="1"/>
  <c r="AP276" i="5"/>
  <c r="AR276" i="5" s="1"/>
  <c r="AP146" i="5"/>
  <c r="AR146" i="5" s="1"/>
  <c r="V99" i="5"/>
  <c r="AL227" i="5"/>
  <c r="S136" i="5"/>
  <c r="R216" i="5"/>
  <c r="R232" i="5"/>
  <c r="Y289" i="5"/>
  <c r="Y51" i="5"/>
  <c r="AP252" i="5"/>
  <c r="AR252" i="5" s="1"/>
  <c r="AP159" i="5"/>
  <c r="AQ159" i="5" s="1"/>
  <c r="AP406" i="5"/>
  <c r="AQ406" i="5" s="1"/>
  <c r="V21" i="5"/>
  <c r="X553" i="5"/>
  <c r="Y554" i="5"/>
  <c r="X465" i="5"/>
  <c r="AN64" i="5"/>
  <c r="Y260" i="5"/>
  <c r="X274" i="5"/>
  <c r="AP119" i="5"/>
  <c r="AQ119" i="5" s="1"/>
  <c r="AP346" i="5"/>
  <c r="AR346" i="5" s="1"/>
  <c r="AP182" i="5"/>
  <c r="AQ182" i="5" s="1"/>
  <c r="V102" i="5"/>
  <c r="AP72" i="5"/>
  <c r="AQ72" i="5" s="1"/>
  <c r="AP54" i="5"/>
  <c r="AR54" i="5" s="1"/>
  <c r="Y448" i="5"/>
  <c r="R280" i="5"/>
  <c r="R152" i="5"/>
  <c r="Y301" i="5"/>
  <c r="Y458" i="5"/>
  <c r="P487" i="5"/>
  <c r="S112" i="5"/>
  <c r="S208" i="5"/>
  <c r="S64" i="5"/>
  <c r="K28" i="2"/>
  <c r="K27" i="2"/>
  <c r="AP486" i="5"/>
  <c r="AR486" i="5" s="1"/>
  <c r="AP359" i="5"/>
  <c r="AR359" i="5" s="1"/>
  <c r="AP470" i="5"/>
  <c r="AQ470" i="5" s="1"/>
  <c r="AP245" i="5"/>
  <c r="AQ245" i="5" s="1"/>
  <c r="AP418" i="5"/>
  <c r="AQ418" i="5" s="1"/>
  <c r="AP258" i="5"/>
  <c r="AQ258" i="5" s="1"/>
  <c r="AP233" i="5"/>
  <c r="AQ233" i="5" s="1"/>
  <c r="AP476" i="5"/>
  <c r="AR476" i="5" s="1"/>
  <c r="AP536" i="5"/>
  <c r="AQ536" i="5" s="1"/>
  <c r="AP560" i="5"/>
  <c r="AR560" i="5" s="1"/>
  <c r="AP485" i="5"/>
  <c r="AQ485" i="5" s="1"/>
  <c r="AP335" i="5"/>
  <c r="AQ335" i="5" s="1"/>
  <c r="AP398" i="5"/>
  <c r="AQ398" i="5" s="1"/>
  <c r="N31" i="2"/>
  <c r="AP284" i="5"/>
  <c r="AQ284" i="5" s="1"/>
  <c r="AP24" i="5"/>
  <c r="AR24" i="5" s="1"/>
  <c r="AP306" i="5"/>
  <c r="AR306" i="5" s="1"/>
  <c r="B50" i="5"/>
  <c r="M31" i="2"/>
  <c r="AP512" i="5"/>
  <c r="AR512" i="5" s="1"/>
  <c r="B153" i="2"/>
  <c r="H39" i="1" s="1"/>
  <c r="L31" i="2"/>
  <c r="AP364" i="5"/>
  <c r="AQ364" i="5" s="1"/>
  <c r="AK451" i="5"/>
  <c r="AP300" i="5"/>
  <c r="AQ300" i="5" s="1"/>
  <c r="M35" i="2"/>
  <c r="N35" i="2" s="1"/>
  <c r="AP492" i="5"/>
  <c r="AQ492" i="5" s="1"/>
  <c r="AP557" i="5"/>
  <c r="AQ557" i="5" s="1"/>
  <c r="AP451" i="5"/>
  <c r="AQ451" i="5" s="1"/>
  <c r="X96" i="5"/>
  <c r="X129" i="5"/>
  <c r="Y437" i="5"/>
  <c r="Y320" i="5"/>
  <c r="X319" i="5"/>
  <c r="R392" i="5"/>
  <c r="X156" i="5"/>
  <c r="X276" i="5"/>
  <c r="X399" i="5"/>
  <c r="Y342" i="5"/>
  <c r="S416" i="5"/>
  <c r="R432" i="5"/>
  <c r="Y35" i="5"/>
  <c r="X432" i="5"/>
  <c r="X451" i="5"/>
  <c r="Y28" i="5"/>
  <c r="X100" i="5"/>
  <c r="X394" i="5"/>
  <c r="Y286" i="5"/>
  <c r="R80" i="5"/>
  <c r="X491" i="5"/>
  <c r="S304" i="5"/>
  <c r="S8" i="5"/>
  <c r="Y211" i="5"/>
  <c r="Y69" i="5"/>
  <c r="X240" i="5"/>
  <c r="X355" i="5"/>
  <c r="Y214" i="5"/>
  <c r="X215" i="5"/>
  <c r="X412" i="5"/>
  <c r="Y126" i="5"/>
  <c r="Y517" i="5"/>
  <c r="X310" i="5"/>
  <c r="R488" i="5"/>
  <c r="S104" i="5"/>
  <c r="S344" i="5"/>
  <c r="R464" i="5"/>
  <c r="R32" i="5"/>
  <c r="R40" i="5"/>
  <c r="R456" i="5"/>
  <c r="R424" i="5"/>
  <c r="R168" i="5"/>
  <c r="X218" i="5"/>
  <c r="X259" i="5"/>
  <c r="X192" i="5"/>
  <c r="X52" i="5"/>
  <c r="X525" i="5"/>
  <c r="Y45" i="5"/>
  <c r="X434" i="5"/>
  <c r="Y531" i="5"/>
  <c r="Y55" i="5"/>
  <c r="Y158" i="5"/>
  <c r="X426" i="5"/>
  <c r="Y314" i="5"/>
  <c r="X95" i="5"/>
  <c r="X43" i="5"/>
  <c r="X518" i="5"/>
  <c r="Y264" i="5"/>
  <c r="S448" i="5"/>
  <c r="Y83" i="5"/>
  <c r="X313" i="5"/>
  <c r="Y389" i="5"/>
  <c r="Y383" i="5"/>
  <c r="R512" i="5"/>
  <c r="Y415" i="5"/>
  <c r="Y120" i="5"/>
  <c r="Y219" i="5"/>
  <c r="X128" i="5"/>
  <c r="X334" i="5"/>
  <c r="X117" i="5"/>
  <c r="X329" i="5"/>
  <c r="X155" i="5"/>
  <c r="X278" i="5"/>
  <c r="Y277" i="5"/>
  <c r="Y106" i="5"/>
  <c r="X533" i="5"/>
  <c r="R256" i="5"/>
  <c r="Y378" i="5"/>
  <c r="X302" i="5"/>
  <c r="V117" i="4"/>
  <c r="W117" i="4" s="1"/>
  <c r="Y117" i="4" s="1"/>
  <c r="AS26" i="4"/>
  <c r="U117" i="4"/>
  <c r="AH117" i="4" s="1"/>
  <c r="U115" i="4"/>
  <c r="AH115" i="4" s="1"/>
  <c r="AS87" i="4"/>
  <c r="AS37" i="4"/>
  <c r="U125" i="4"/>
  <c r="AH125" i="4" s="1"/>
  <c r="AS57" i="4"/>
  <c r="V46" i="4"/>
  <c r="AM46" i="4" s="1"/>
  <c r="AN46" i="4" s="1"/>
  <c r="AS115" i="4"/>
  <c r="V37" i="4"/>
  <c r="AM37" i="4" s="1"/>
  <c r="AN37" i="4" s="1"/>
  <c r="V61" i="4"/>
  <c r="AM61" i="4" s="1"/>
  <c r="AN61" i="4" s="1"/>
  <c r="V125" i="4"/>
  <c r="AM125" i="4" s="1"/>
  <c r="AN125" i="4" s="1"/>
  <c r="U14" i="4"/>
  <c r="AH14" i="4" s="1"/>
  <c r="V26" i="4"/>
  <c r="U37" i="4"/>
  <c r="AH37" i="4" s="1"/>
  <c r="V145" i="4"/>
  <c r="AM145" i="4" s="1"/>
  <c r="AN145" i="4" s="1"/>
  <c r="V57" i="4"/>
  <c r="AM57" i="4" s="1"/>
  <c r="AN57" i="4" s="1"/>
  <c r="U46" i="4"/>
  <c r="AH46" i="4" s="1"/>
  <c r="U20" i="4"/>
  <c r="AH20" i="4" s="1"/>
  <c r="U61" i="4"/>
  <c r="AH61" i="4" s="1"/>
  <c r="AS125" i="4"/>
  <c r="U134" i="4"/>
  <c r="AH134" i="4" s="1"/>
  <c r="U87" i="4"/>
  <c r="AH87" i="4" s="1"/>
  <c r="AS131" i="4"/>
  <c r="U145" i="4"/>
  <c r="AH145" i="4" s="1"/>
  <c r="AS46" i="4"/>
  <c r="U142" i="4"/>
  <c r="AH142" i="4" s="1"/>
  <c r="AS20" i="4"/>
  <c r="AS61" i="4"/>
  <c r="V12" i="4"/>
  <c r="AM12" i="4" s="1"/>
  <c r="AN12" i="4" s="1"/>
  <c r="V115" i="4"/>
  <c r="W115" i="4" s="1"/>
  <c r="Y115" i="4" s="1"/>
  <c r="AS145" i="4"/>
  <c r="V16" i="4"/>
  <c r="W16" i="4" s="1"/>
  <c r="Y16" i="4" s="1"/>
  <c r="AS142" i="4"/>
  <c r="V20" i="4"/>
  <c r="AM20" i="4" s="1"/>
  <c r="AN20" i="4" s="1"/>
  <c r="V14" i="4"/>
  <c r="AM14" i="4" s="1"/>
  <c r="AN14" i="4" s="1"/>
  <c r="V66" i="4"/>
  <c r="AM66" i="4" s="1"/>
  <c r="AN66" i="4" s="1"/>
  <c r="U18" i="4"/>
  <c r="U128" i="4"/>
  <c r="AH128" i="4" s="1"/>
  <c r="U57" i="4"/>
  <c r="AH57" i="4" s="1"/>
  <c r="V142" i="4"/>
  <c r="AM142" i="4" s="1"/>
  <c r="AN142" i="4" s="1"/>
  <c r="U16" i="4"/>
  <c r="AH16" i="4" s="1"/>
  <c r="V134" i="4"/>
  <c r="W134" i="4" s="1"/>
  <c r="V128" i="4"/>
  <c r="W128" i="4" s="1"/>
  <c r="AS14" i="4"/>
  <c r="U66" i="4"/>
  <c r="AH66" i="4" s="1"/>
  <c r="X395" i="5"/>
  <c r="Y363" i="5"/>
  <c r="X363" i="5"/>
  <c r="X167" i="5"/>
  <c r="Y167" i="5"/>
  <c r="S546" i="5"/>
  <c r="R546" i="5"/>
  <c r="Y145" i="5"/>
  <c r="X266" i="5"/>
  <c r="Y266" i="5"/>
  <c r="X479" i="5"/>
  <c r="Y479" i="5"/>
  <c r="Y373" i="5"/>
  <c r="X373" i="5"/>
  <c r="X68" i="5"/>
  <c r="Y68" i="5"/>
  <c r="X154" i="5"/>
  <c r="Y154" i="5"/>
  <c r="X132" i="5"/>
  <c r="Y132" i="5"/>
  <c r="X366" i="5"/>
  <c r="Y366" i="5"/>
  <c r="Y262" i="5"/>
  <c r="X262" i="5"/>
  <c r="R376" i="5"/>
  <c r="S376" i="5"/>
  <c r="Y110" i="5"/>
  <c r="X110" i="5"/>
  <c r="Y282" i="5"/>
  <c r="X282" i="5"/>
  <c r="R368" i="5"/>
  <c r="S368" i="5"/>
  <c r="Y331" i="5"/>
  <c r="X331" i="5"/>
  <c r="Y557" i="5"/>
  <c r="X557" i="5"/>
  <c r="R176" i="5"/>
  <c r="S176" i="5"/>
  <c r="S200" i="5"/>
  <c r="R200" i="5"/>
  <c r="S534" i="5"/>
  <c r="R534" i="5"/>
  <c r="X112" i="5"/>
  <c r="Y112" i="5"/>
  <c r="X456" i="5"/>
  <c r="Y456" i="5"/>
  <c r="X343" i="5"/>
  <c r="Y343" i="5"/>
  <c r="S248" i="5"/>
  <c r="Y427" i="5"/>
  <c r="X427" i="5"/>
  <c r="R384" i="5"/>
  <c r="X29" i="5"/>
  <c r="Y56" i="5"/>
  <c r="X56" i="5"/>
  <c r="Y290" i="5"/>
  <c r="X290" i="5"/>
  <c r="Y272" i="5"/>
  <c r="X272" i="5"/>
  <c r="X85" i="5"/>
  <c r="Y50" i="5"/>
  <c r="X50" i="5"/>
  <c r="X269" i="5"/>
  <c r="Y269" i="5"/>
  <c r="Y125" i="5"/>
  <c r="X125" i="5"/>
  <c r="Y212" i="5"/>
  <c r="X212" i="5"/>
  <c r="R48" i="5"/>
  <c r="X137" i="5"/>
  <c r="Y484" i="5"/>
  <c r="Y441" i="5"/>
  <c r="R408" i="5"/>
  <c r="R72" i="5"/>
  <c r="Y323" i="5"/>
  <c r="X435" i="5"/>
  <c r="Y435" i="5"/>
  <c r="X405" i="5"/>
  <c r="Y405" i="5"/>
  <c r="X453" i="5"/>
  <c r="Y115" i="5"/>
  <c r="Y403" i="5"/>
  <c r="X403" i="5"/>
  <c r="R360" i="5"/>
  <c r="X202" i="5"/>
  <c r="S296" i="5"/>
  <c r="Y82" i="5"/>
  <c r="X200" i="5"/>
  <c r="R504" i="5"/>
  <c r="R336" i="5"/>
  <c r="S144" i="5"/>
  <c r="R496" i="5"/>
  <c r="Y332" i="5"/>
  <c r="X409" i="5"/>
  <c r="X86" i="5"/>
  <c r="Y130" i="5"/>
  <c r="Y321" i="5"/>
  <c r="Y288" i="5"/>
  <c r="X358" i="5"/>
  <c r="X541" i="5"/>
  <c r="Y510" i="5"/>
  <c r="R440" i="5"/>
  <c r="Y386" i="5"/>
  <c r="Y424" i="5"/>
  <c r="R264" i="5"/>
  <c r="X78" i="5"/>
  <c r="Y555" i="5"/>
  <c r="Y98" i="5"/>
  <c r="R24" i="5"/>
  <c r="Y63" i="5"/>
  <c r="X298" i="5"/>
  <c r="Y391" i="5"/>
  <c r="X299" i="5"/>
  <c r="Y72" i="5"/>
  <c r="Y361" i="5"/>
  <c r="X549" i="5"/>
  <c r="X60" i="5"/>
  <c r="X257" i="5"/>
  <c r="Y464" i="5"/>
  <c r="X229" i="5"/>
  <c r="X62" i="5"/>
  <c r="X537" i="5"/>
  <c r="Y542" i="5"/>
  <c r="Y287" i="5"/>
  <c r="X387" i="5"/>
  <c r="Y199" i="5"/>
  <c r="Y119" i="5"/>
  <c r="Y253" i="5"/>
  <c r="X198" i="5"/>
  <c r="Y506" i="5"/>
  <c r="X178" i="5"/>
  <c r="Y486" i="5"/>
  <c r="X505" i="5"/>
  <c r="Y189" i="5"/>
  <c r="Y237" i="5"/>
  <c r="X270" i="5"/>
  <c r="X89" i="5"/>
  <c r="Y454" i="5"/>
  <c r="X275" i="5"/>
  <c r="Y139" i="5"/>
  <c r="Y543" i="5"/>
  <c r="X478" i="5"/>
  <c r="X466" i="5"/>
  <c r="X21" i="5"/>
  <c r="Y281" i="5"/>
  <c r="X551" i="5"/>
  <c r="X23" i="5"/>
  <c r="Y38" i="5"/>
  <c r="X247" i="5"/>
  <c r="Y208" i="5"/>
  <c r="X482" i="5"/>
  <c r="Y433" i="5"/>
  <c r="R400" i="5"/>
  <c r="Y480" i="5"/>
  <c r="X511" i="5"/>
  <c r="S56" i="5"/>
  <c r="S272" i="5"/>
  <c r="Y382" i="5"/>
  <c r="Y473" i="5"/>
  <c r="X341" i="5"/>
  <c r="Y271" i="5"/>
  <c r="X300" i="5"/>
  <c r="Y172" i="5"/>
  <c r="Y460" i="5"/>
  <c r="Y305" i="5"/>
  <c r="X400" i="5"/>
  <c r="Y490" i="5"/>
  <c r="X390" i="5"/>
  <c r="X470" i="5"/>
  <c r="Y153" i="5"/>
  <c r="X222" i="5"/>
  <c r="X509" i="5"/>
  <c r="X393" i="5"/>
  <c r="X550" i="5"/>
  <c r="S120" i="5"/>
  <c r="Y293" i="5"/>
  <c r="X445" i="5"/>
  <c r="Y93" i="5"/>
  <c r="X351" i="5"/>
  <c r="Y353" i="5"/>
  <c r="X481" i="5"/>
  <c r="X223" i="5"/>
  <c r="X519" i="5"/>
  <c r="Y169" i="5"/>
  <c r="Y530" i="5"/>
  <c r="X174" i="5"/>
  <c r="X512" i="5"/>
  <c r="X428" i="5"/>
  <c r="X64" i="5"/>
  <c r="X248" i="5"/>
  <c r="X243" i="5"/>
  <c r="Y57" i="5"/>
  <c r="Y444" i="5"/>
  <c r="Y26" i="5"/>
  <c r="Y233" i="5"/>
  <c r="X58" i="5"/>
  <c r="X273" i="5"/>
  <c r="X475" i="5"/>
  <c r="X194" i="5"/>
  <c r="Y46" i="5"/>
  <c r="Y401" i="5"/>
  <c r="Y312" i="5"/>
  <c r="Y180" i="5"/>
  <c r="Y142" i="5"/>
  <c r="X304" i="5"/>
  <c r="W96" i="4"/>
  <c r="Y96" i="4" s="1"/>
  <c r="Z96" i="4" s="1"/>
  <c r="AF96" i="4" s="1"/>
  <c r="AO96" i="4" s="1"/>
  <c r="Y529" i="5"/>
  <c r="Y425" i="5"/>
  <c r="X498" i="5"/>
  <c r="Y131" i="5"/>
  <c r="W73" i="4"/>
  <c r="X73" i="4" s="1"/>
  <c r="X108" i="5"/>
  <c r="Y77" i="5"/>
  <c r="X102" i="5"/>
  <c r="X438" i="5"/>
  <c r="Y197" i="5"/>
  <c r="Y359" i="5"/>
  <c r="X552" i="5"/>
  <c r="X263" i="5"/>
  <c r="Y152" i="5"/>
  <c r="X535" i="5"/>
  <c r="X472" i="5"/>
  <c r="Y42" i="5"/>
  <c r="X36" i="5"/>
  <c r="X546" i="5"/>
  <c r="Y339" i="5"/>
  <c r="X254" i="5"/>
  <c r="Y196" i="5"/>
  <c r="X73" i="5"/>
  <c r="Y239" i="5"/>
  <c r="Y173" i="5"/>
  <c r="X61" i="5"/>
  <c r="Y296" i="5"/>
  <c r="Y381" i="5"/>
  <c r="Y48" i="5"/>
  <c r="X244" i="5"/>
  <c r="Y99" i="5"/>
  <c r="AM98" i="4"/>
  <c r="X258" i="5"/>
  <c r="Y22" i="5"/>
  <c r="X536" i="5"/>
  <c r="Y493" i="5"/>
  <c r="X133" i="5"/>
  <c r="Y284" i="5"/>
  <c r="Y463" i="5"/>
  <c r="Y350" i="5"/>
  <c r="Y357" i="5"/>
  <c r="Y317" i="5"/>
  <c r="Y187" i="5"/>
  <c r="Y485" i="5"/>
  <c r="X280" i="5"/>
  <c r="Y500" i="5"/>
  <c r="X507" i="5"/>
  <c r="Y291" i="5"/>
  <c r="X66" i="5"/>
  <c r="Y520" i="5"/>
  <c r="R184" i="5"/>
  <c r="X477" i="5"/>
  <c r="Y402" i="5"/>
  <c r="Y216" i="5"/>
  <c r="R538" i="5"/>
  <c r="Y440" i="5"/>
  <c r="Y101" i="5"/>
  <c r="X327" i="5"/>
  <c r="Y408" i="5"/>
  <c r="Y436" i="5"/>
  <c r="X191" i="5"/>
  <c r="Y376" i="5"/>
  <c r="X515" i="5"/>
  <c r="Y213" i="5"/>
  <c r="X474" i="5"/>
  <c r="Y84" i="5"/>
  <c r="Y346" i="5"/>
  <c r="X261" i="5"/>
  <c r="Y81" i="5"/>
  <c r="Y175" i="5"/>
  <c r="Y526" i="5"/>
  <c r="X392" i="5"/>
  <c r="X354" i="5"/>
  <c r="Y75" i="5"/>
  <c r="Y97" i="5"/>
  <c r="X372" i="5"/>
  <c r="X442" i="5"/>
  <c r="X249" i="5"/>
  <c r="Y487" i="5"/>
  <c r="Y492" i="5"/>
  <c r="Y410" i="5"/>
  <c r="R192" i="5"/>
  <c r="R160" i="5"/>
  <c r="Y238" i="5"/>
  <c r="Y92" i="5"/>
  <c r="Y148" i="5"/>
  <c r="Y20" i="5"/>
  <c r="Y422" i="5"/>
  <c r="Y59" i="5"/>
  <c r="Y267" i="5"/>
  <c r="X32" i="5"/>
  <c r="X79" i="5"/>
  <c r="X201" i="5"/>
  <c r="R352" i="5"/>
  <c r="Y360" i="5"/>
  <c r="X210" i="5"/>
  <c r="X183" i="5"/>
  <c r="Y385" i="5"/>
  <c r="Y279" i="5"/>
  <c r="X504" i="5"/>
  <c r="X88" i="5"/>
  <c r="X559" i="5"/>
  <c r="X170" i="5"/>
  <c r="X283" i="5"/>
  <c r="Y39" i="5"/>
  <c r="X234" i="5"/>
  <c r="X501" i="5"/>
  <c r="X232" i="5"/>
  <c r="X538" i="5"/>
  <c r="X344" i="5"/>
  <c r="Y503" i="5"/>
  <c r="X165" i="5"/>
  <c r="X168" i="5"/>
  <c r="Y265" i="5"/>
  <c r="Y255" i="5"/>
  <c r="X488" i="5"/>
  <c r="X483" i="5"/>
  <c r="X497" i="5"/>
  <c r="X160" i="5"/>
  <c r="X136" i="5"/>
  <c r="Y423" i="5"/>
  <c r="Y121" i="5"/>
  <c r="X455" i="5"/>
  <c r="X508" i="5"/>
  <c r="X164" i="5"/>
  <c r="X375" i="5"/>
  <c r="X540" i="5"/>
  <c r="Y417" i="5"/>
  <c r="X151" i="5"/>
  <c r="Y76" i="5"/>
  <c r="Y371" i="5"/>
  <c r="Y330" i="5"/>
  <c r="X388" i="5"/>
  <c r="Y252" i="5"/>
  <c r="X532" i="5"/>
  <c r="X27" i="5"/>
  <c r="Y54" i="5"/>
  <c r="X207" i="5"/>
  <c r="X449" i="5"/>
  <c r="Y545" i="5"/>
  <c r="Y380" i="5"/>
  <c r="X104" i="5"/>
  <c r="Y30" i="5"/>
  <c r="X306" i="5"/>
  <c r="Y241" i="5"/>
  <c r="X349" i="5"/>
  <c r="X406" i="5"/>
  <c r="Y70" i="5"/>
  <c r="W140" i="4"/>
  <c r="Y140" i="4" s="1"/>
  <c r="AM140" i="4"/>
  <c r="W105" i="4"/>
  <c r="AM105" i="4"/>
  <c r="AS58" i="4"/>
  <c r="AS149" i="4"/>
  <c r="AS157" i="4"/>
  <c r="AS77" i="4"/>
  <c r="V22" i="4"/>
  <c r="AM22" i="4" s="1"/>
  <c r="AN22" i="4" s="1"/>
  <c r="AS39" i="4"/>
  <c r="V109" i="4"/>
  <c r="AM109" i="4" s="1"/>
  <c r="AN109" i="4" s="1"/>
  <c r="X496" i="5"/>
  <c r="Y217" i="5"/>
  <c r="Y221" i="5"/>
  <c r="X333" i="5"/>
  <c r="Y242" i="5"/>
  <c r="Y220" i="5"/>
  <c r="X471" i="5"/>
  <c r="Y150" i="5"/>
  <c r="X140" i="5"/>
  <c r="U24" i="4"/>
  <c r="AH24" i="4" s="1"/>
  <c r="AL84" i="4"/>
  <c r="AS84" i="4"/>
  <c r="AL155" i="4"/>
  <c r="U155" i="4"/>
  <c r="AL118" i="4"/>
  <c r="AN118" i="4" s="1"/>
  <c r="AS118" i="4"/>
  <c r="Y122" i="5"/>
  <c r="X122" i="5"/>
  <c r="V83" i="4"/>
  <c r="V67" i="4"/>
  <c r="AM67" i="4" s="1"/>
  <c r="AN67" i="4" s="1"/>
  <c r="X328" i="5"/>
  <c r="R288" i="5"/>
  <c r="V39" i="4"/>
  <c r="AM39" i="4" s="1"/>
  <c r="AN39" i="4" s="1"/>
  <c r="AS109" i="4"/>
  <c r="Y467" i="5"/>
  <c r="Y439" i="5"/>
  <c r="Y188" i="5"/>
  <c r="Y236" i="5"/>
  <c r="Y356" i="5"/>
  <c r="Y268" i="5"/>
  <c r="Y159" i="5"/>
  <c r="X476" i="5"/>
  <c r="U109" i="4"/>
  <c r="AH109" i="4" s="1"/>
  <c r="AL10" i="4"/>
  <c r="V10" i="4"/>
  <c r="AL101" i="4"/>
  <c r="U101" i="4"/>
  <c r="AH101" i="4" s="1"/>
  <c r="V101" i="4"/>
  <c r="AL62" i="4"/>
  <c r="AS62" i="4"/>
  <c r="V62" i="4"/>
  <c r="AS96" i="4"/>
  <c r="AL157" i="4"/>
  <c r="U157" i="4"/>
  <c r="AH157" i="4" s="1"/>
  <c r="AL77" i="4"/>
  <c r="U77" i="4"/>
  <c r="AH77" i="4" s="1"/>
  <c r="U42" i="4"/>
  <c r="AH42" i="4" s="1"/>
  <c r="AS33" i="4"/>
  <c r="U67" i="4"/>
  <c r="AH67" i="4" s="1"/>
  <c r="V15" i="4"/>
  <c r="AM15" i="4" s="1"/>
  <c r="AN15" i="4" s="1"/>
  <c r="AS121" i="4"/>
  <c r="V43" i="4"/>
  <c r="W43" i="4" s="1"/>
  <c r="Y43" i="4" s="1"/>
  <c r="X24" i="5"/>
  <c r="X256" i="5"/>
  <c r="AS135" i="4"/>
  <c r="Y352" i="5"/>
  <c r="U39" i="4"/>
  <c r="AH39" i="4" s="1"/>
  <c r="X123" i="5"/>
  <c r="Y246" i="5"/>
  <c r="Y523" i="5"/>
  <c r="Y190" i="5"/>
  <c r="X34" i="5"/>
  <c r="Y544" i="5"/>
  <c r="Y513" i="5"/>
  <c r="X149" i="5"/>
  <c r="V58" i="4"/>
  <c r="U91" i="4"/>
  <c r="AH91" i="4" s="1"/>
  <c r="AS101" i="4"/>
  <c r="AS137" i="4"/>
  <c r="AS42" i="4"/>
  <c r="V33" i="4"/>
  <c r="W33" i="4" s="1"/>
  <c r="Y33" i="4" s="1"/>
  <c r="Z33" i="4" s="1"/>
  <c r="AS67" i="4"/>
  <c r="AS15" i="4"/>
  <c r="V121" i="4"/>
  <c r="W121" i="4" s="1"/>
  <c r="Y121" i="4" s="1"/>
  <c r="Z121" i="4" s="1"/>
  <c r="U43" i="4"/>
  <c r="AH43" i="4" s="1"/>
  <c r="U129" i="4"/>
  <c r="AH129" i="4" s="1"/>
  <c r="AM9" i="5"/>
  <c r="AN9" i="5" s="1"/>
  <c r="AH103" i="4"/>
  <c r="V135" i="4"/>
  <c r="AM135" i="4" s="1"/>
  <c r="AN135" i="4" s="1"/>
  <c r="X447" i="5"/>
  <c r="X19" i="5"/>
  <c r="Y407" i="5"/>
  <c r="Y251" i="5"/>
  <c r="Y157" i="5"/>
  <c r="Y80" i="5"/>
  <c r="Y143" i="5"/>
  <c r="AL132" i="4"/>
  <c r="V132" i="4"/>
  <c r="U132" i="4"/>
  <c r="AH132" i="4" s="1"/>
  <c r="AL130" i="4"/>
  <c r="V130" i="4"/>
  <c r="AL98" i="4"/>
  <c r="AS98" i="4"/>
  <c r="Y469" i="5"/>
  <c r="X560" i="5"/>
  <c r="U94" i="4"/>
  <c r="AH94" i="4" s="1"/>
  <c r="V94" i="4"/>
  <c r="AS94" i="4"/>
  <c r="AL94" i="4"/>
  <c r="V155" i="4"/>
  <c r="V24" i="4"/>
  <c r="V129" i="4"/>
  <c r="AM129" i="4" s="1"/>
  <c r="AN129" i="4" s="1"/>
  <c r="AS72" i="4"/>
  <c r="V152" i="4"/>
  <c r="AM152" i="4" s="1"/>
  <c r="AN152" i="4" s="1"/>
  <c r="V148" i="4"/>
  <c r="AM148" i="4" s="1"/>
  <c r="AN148" i="4" s="1"/>
  <c r="X316" i="5"/>
  <c r="Y141" i="5"/>
  <c r="Y67" i="5"/>
  <c r="X177" i="5"/>
  <c r="Y429" i="5"/>
  <c r="Y521" i="5"/>
  <c r="Y430" i="5"/>
  <c r="Y556" i="5"/>
  <c r="X71" i="5"/>
  <c r="X348" i="5"/>
  <c r="X124" i="5"/>
  <c r="AS59" i="4"/>
  <c r="AL59" i="4"/>
  <c r="V59" i="4"/>
  <c r="U59" i="4"/>
  <c r="AH59" i="4" s="1"/>
  <c r="AS79" i="4"/>
  <c r="AL79" i="4"/>
  <c r="U79" i="4"/>
  <c r="AH79" i="4" s="1"/>
  <c r="V79" i="4"/>
  <c r="AL141" i="4"/>
  <c r="V141" i="4"/>
  <c r="AS73" i="4"/>
  <c r="AL73" i="4"/>
  <c r="AN73" i="4" s="1"/>
  <c r="AL133" i="4"/>
  <c r="U133" i="4"/>
  <c r="AH133" i="4" s="1"/>
  <c r="V133" i="4"/>
  <c r="AS18" i="4"/>
  <c r="AS130" i="4"/>
  <c r="AM11" i="5"/>
  <c r="AO11" i="5" s="1"/>
  <c r="AH122" i="4"/>
  <c r="V56" i="4"/>
  <c r="W56" i="4" s="1"/>
  <c r="Y56" i="4" s="1"/>
  <c r="Z56" i="4" s="1"/>
  <c r="AH138" i="4"/>
  <c r="U149" i="4"/>
  <c r="AH149" i="4" s="1"/>
  <c r="AS56" i="4"/>
  <c r="V72" i="4"/>
  <c r="AM72" i="4" s="1"/>
  <c r="AN72" i="4" s="1"/>
  <c r="AS152" i="4"/>
  <c r="U148" i="4"/>
  <c r="AH148" i="4" s="1"/>
  <c r="U22" i="4"/>
  <c r="AH22" i="4" s="1"/>
  <c r="AH23" i="4"/>
  <c r="Y384" i="5"/>
  <c r="X340" i="5"/>
  <c r="X114" i="5"/>
  <c r="AH96" i="4"/>
  <c r="AL34" i="4"/>
  <c r="AS34" i="4"/>
  <c r="V34" i="4"/>
  <c r="U34" i="4"/>
  <c r="AH34" i="4" s="1"/>
  <c r="AL140" i="4"/>
  <c r="U140" i="4"/>
  <c r="AH140" i="4" s="1"/>
  <c r="AS140" i="4"/>
  <c r="AL143" i="4"/>
  <c r="AS143" i="4"/>
  <c r="AL105" i="4"/>
  <c r="AS105" i="4"/>
  <c r="U105" i="4"/>
  <c r="AL21" i="4"/>
  <c r="V21" i="4"/>
  <c r="U21" i="4"/>
  <c r="AH21" i="4" s="1"/>
  <c r="AS21" i="4"/>
  <c r="AS132" i="4"/>
  <c r="V144" i="4"/>
  <c r="W118" i="4"/>
  <c r="Y118" i="4" s="1"/>
  <c r="Z118" i="4" s="1"/>
  <c r="Y8" i="5"/>
  <c r="X338" i="5"/>
  <c r="Y53" i="5"/>
  <c r="X420" i="5"/>
  <c r="X431" i="5"/>
  <c r="Y369" i="5"/>
  <c r="Y90" i="5"/>
  <c r="X548" i="5"/>
  <c r="X522" i="5"/>
  <c r="Y186" i="5"/>
  <c r="X468" i="5"/>
  <c r="X324" i="5"/>
  <c r="X226" i="5"/>
  <c r="X31" i="5"/>
  <c r="Y245" i="5"/>
  <c r="Y33" i="5"/>
  <c r="X195" i="5"/>
  <c r="X311" i="5"/>
  <c r="Y294" i="5"/>
  <c r="Y182" i="5"/>
  <c r="X25" i="5"/>
  <c r="Y494" i="5"/>
  <c r="Y443" i="5"/>
  <c r="X303" i="5"/>
  <c r="Y421" i="5"/>
  <c r="Y524" i="5"/>
  <c r="Y176" i="5"/>
  <c r="X44" i="5"/>
  <c r="Y418" i="5"/>
  <c r="X40" i="5"/>
  <c r="X91" i="5"/>
  <c r="X528" i="5"/>
  <c r="X368" i="5"/>
  <c r="X228" i="5"/>
  <c r="X127" i="5"/>
  <c r="Y127" i="5"/>
  <c r="X461" i="5"/>
  <c r="Y461" i="5"/>
  <c r="Y502" i="5"/>
  <c r="Y450" i="5"/>
  <c r="X309" i="5"/>
  <c r="X146" i="5"/>
  <c r="X166" i="5"/>
  <c r="Y109" i="5"/>
  <c r="Y230" i="5"/>
  <c r="X230" i="5"/>
  <c r="X171" i="5"/>
  <c r="Y171" i="5"/>
  <c r="Y113" i="5"/>
  <c r="X113" i="5"/>
  <c r="Y377" i="5"/>
  <c r="X377" i="5"/>
  <c r="Y193" i="5"/>
  <c r="X193" i="5"/>
  <c r="Y285" i="5"/>
  <c r="X285" i="5"/>
  <c r="X235" i="5"/>
  <c r="Y235" i="5"/>
  <c r="X94" i="5"/>
  <c r="Y370" i="5"/>
  <c r="X370" i="5"/>
  <c r="Y397" i="5"/>
  <c r="X111" i="5"/>
  <c r="X495" i="5"/>
  <c r="Y105" i="5"/>
  <c r="Y396" i="5"/>
  <c r="X367" i="5"/>
  <c r="X414" i="5"/>
  <c r="X462" i="5"/>
  <c r="Y209" i="5"/>
  <c r="X459" i="5"/>
  <c r="Y459" i="5"/>
  <c r="X307" i="5"/>
  <c r="Y307" i="5"/>
  <c r="Y527" i="5"/>
  <c r="AH15" i="4"/>
  <c r="AH53" i="4"/>
  <c r="X534" i="5"/>
  <c r="X227" i="5"/>
  <c r="Y116" i="5"/>
  <c r="Y250" i="5"/>
  <c r="Y107" i="5"/>
  <c r="Y162" i="5"/>
  <c r="X295" i="5"/>
  <c r="Y49" i="5"/>
  <c r="X49" i="5"/>
  <c r="X413" i="5"/>
  <c r="X398" i="5"/>
  <c r="Y419" i="5"/>
  <c r="Y558" i="5"/>
  <c r="Y452" i="5"/>
  <c r="X452" i="5"/>
  <c r="X147" i="5"/>
  <c r="Y147" i="5"/>
  <c r="X47" i="5"/>
  <c r="Y47" i="5"/>
  <c r="Y446" i="5"/>
  <c r="X292" i="5"/>
  <c r="Y336" i="5"/>
  <c r="Y41" i="5"/>
  <c r="X347" i="5"/>
  <c r="Y364" i="5"/>
  <c r="Y185" i="5"/>
  <c r="Y37" i="5"/>
  <c r="Y362" i="5"/>
  <c r="Y411" i="5"/>
  <c r="Y144" i="5"/>
  <c r="Y308" i="5"/>
  <c r="X224" i="5"/>
  <c r="Y337" i="5"/>
  <c r="X231" i="5"/>
  <c r="X335" i="5"/>
  <c r="Y297" i="5"/>
  <c r="Y87" i="5"/>
  <c r="Y547" i="5"/>
  <c r="X547" i="5"/>
  <c r="Y318" i="5"/>
  <c r="X322" i="5"/>
  <c r="Y134" i="5"/>
  <c r="Y163" i="5"/>
  <c r="Y539" i="5"/>
  <c r="Y379" i="5"/>
  <c r="Y225" i="5"/>
  <c r="X457" i="5"/>
  <c r="Y325" i="5"/>
  <c r="X325" i="5"/>
  <c r="X489" i="5"/>
  <c r="Y489" i="5"/>
  <c r="X205" i="5"/>
  <c r="Y205" i="5"/>
  <c r="AM143" i="4"/>
  <c r="W143" i="4"/>
  <c r="Y143" i="4" s="1"/>
  <c r="Z143" i="4" s="1"/>
  <c r="AJ11" i="5"/>
  <c r="AK11" i="5" s="1"/>
  <c r="AM84" i="4"/>
  <c r="W84" i="4"/>
  <c r="X138" i="5"/>
  <c r="Y499" i="5"/>
  <c r="X499" i="5"/>
  <c r="Y514" i="5"/>
  <c r="X203" i="5"/>
  <c r="Y103" i="5"/>
  <c r="X103" i="5"/>
  <c r="Y404" i="5"/>
  <c r="X404" i="5"/>
  <c r="X345" i="5"/>
  <c r="Y345" i="5"/>
  <c r="W9" i="5"/>
  <c r="T9" i="5"/>
  <c r="AG9" i="5"/>
  <c r="Q9" i="5"/>
  <c r="X118" i="5"/>
  <c r="Y118" i="5"/>
  <c r="X374" i="5"/>
  <c r="Y374" i="5"/>
  <c r="Y315" i="5"/>
  <c r="X315" i="5"/>
  <c r="X516" i="5"/>
  <c r="P326" i="5"/>
  <c r="P32" i="5"/>
  <c r="P375" i="5"/>
  <c r="P445" i="5"/>
  <c r="P93" i="5"/>
  <c r="P342" i="5"/>
  <c r="P195" i="5"/>
  <c r="P279" i="5"/>
  <c r="P242" i="5"/>
  <c r="P465" i="5"/>
  <c r="P263" i="5"/>
  <c r="P210" i="5"/>
  <c r="P72" i="5"/>
  <c r="P454" i="5"/>
  <c r="P270" i="5"/>
  <c r="P475" i="5"/>
  <c r="P254" i="5"/>
  <c r="P98" i="5"/>
  <c r="P460" i="5"/>
  <c r="P492" i="5"/>
  <c r="P282" i="5"/>
  <c r="P172" i="5"/>
  <c r="P132" i="5"/>
  <c r="P413" i="5"/>
  <c r="P438" i="5"/>
  <c r="P336" i="5"/>
  <c r="P428" i="5"/>
  <c r="P115" i="5"/>
  <c r="P140" i="5"/>
  <c r="P154" i="5"/>
  <c r="P528" i="5"/>
  <c r="P322" i="5"/>
  <c r="P398" i="5"/>
  <c r="P327" i="5"/>
  <c r="P332" i="5"/>
  <c r="P53" i="5"/>
  <c r="P213" i="5"/>
  <c r="P409" i="5"/>
  <c r="P385" i="5"/>
  <c r="P557" i="5"/>
  <c r="P560" i="5"/>
  <c r="P27" i="5"/>
  <c r="P36" i="5"/>
  <c r="P504" i="5"/>
  <c r="P266" i="5"/>
  <c r="P264" i="5"/>
  <c r="P468" i="5"/>
  <c r="P11" i="5"/>
  <c r="P476" i="5"/>
  <c r="P436" i="5"/>
  <c r="P146" i="5"/>
  <c r="P548" i="5"/>
  <c r="P78" i="5"/>
  <c r="P352" i="5"/>
  <c r="P104" i="5"/>
  <c r="P404" i="5"/>
  <c r="P382" i="5"/>
  <c r="P239" i="5"/>
  <c r="P33" i="5"/>
  <c r="P479" i="5"/>
  <c r="P247" i="5"/>
  <c r="P477" i="5"/>
  <c r="P143" i="5"/>
  <c r="P505" i="5"/>
  <c r="P538" i="5"/>
  <c r="P376" i="5"/>
  <c r="P121" i="5"/>
  <c r="P109" i="5"/>
  <c r="P388" i="5"/>
  <c r="P131" i="5"/>
  <c r="P373" i="5"/>
  <c r="P116" i="5"/>
  <c r="P537" i="5"/>
  <c r="P514" i="5"/>
  <c r="P499" i="5"/>
  <c r="P311" i="5"/>
  <c r="P387" i="5"/>
  <c r="P170" i="5"/>
  <c r="P248" i="5"/>
  <c r="P318" i="5"/>
  <c r="P293" i="5"/>
  <c r="P464" i="5"/>
  <c r="P128" i="5"/>
  <c r="P35" i="5"/>
  <c r="P22" i="5"/>
  <c r="P364" i="5"/>
  <c r="P530" i="5"/>
  <c r="P296" i="5"/>
  <c r="P486" i="5"/>
  <c r="P230" i="5"/>
  <c r="P452" i="5"/>
  <c r="P295" i="5"/>
  <c r="P187" i="5"/>
  <c r="P163" i="5"/>
  <c r="P66" i="5"/>
  <c r="P356" i="5"/>
  <c r="P369" i="5"/>
  <c r="P312" i="5"/>
  <c r="P51" i="5"/>
  <c r="P467" i="5"/>
  <c r="P12" i="5"/>
  <c r="P134" i="5"/>
  <c r="P501" i="5"/>
  <c r="P315" i="5"/>
  <c r="P152" i="5"/>
  <c r="P106" i="5"/>
  <c r="P67" i="5"/>
  <c r="P240" i="5"/>
  <c r="P553" i="5"/>
  <c r="P357" i="5"/>
  <c r="P473" i="5"/>
  <c r="P105" i="5"/>
  <c r="P396" i="5"/>
  <c r="P215" i="5"/>
  <c r="P150" i="5"/>
  <c r="P194" i="5"/>
  <c r="P103" i="5"/>
  <c r="P304" i="5"/>
  <c r="P75" i="5"/>
  <c r="P201" i="5"/>
  <c r="P298" i="5"/>
  <c r="P457" i="5"/>
  <c r="P395" i="5"/>
  <c r="P427" i="5"/>
  <c r="P156" i="5"/>
  <c r="P56" i="5"/>
  <c r="P219" i="5"/>
  <c r="P258" i="5"/>
  <c r="P453" i="5"/>
  <c r="P419" i="5"/>
  <c r="P440" i="5"/>
  <c r="P372" i="5"/>
  <c r="P144" i="5"/>
  <c r="P439" i="5"/>
  <c r="P273" i="5"/>
  <c r="P392" i="5"/>
  <c r="P28" i="5"/>
  <c r="P435" i="5"/>
  <c r="P474" i="5"/>
  <c r="P490" i="5"/>
  <c r="P100" i="5"/>
  <c r="P168" i="5"/>
  <c r="P19" i="5"/>
  <c r="P360" i="5"/>
  <c r="P193" i="5"/>
  <c r="P160" i="5"/>
  <c r="P124" i="5"/>
  <c r="P229" i="5"/>
  <c r="P255" i="5"/>
  <c r="P299" i="5"/>
  <c r="P268" i="5"/>
  <c r="P54" i="5"/>
  <c r="P503" i="5"/>
  <c r="P207" i="5"/>
  <c r="P543" i="5"/>
  <c r="P149" i="5"/>
  <c r="P44" i="5"/>
  <c r="P80" i="5"/>
  <c r="P269" i="5"/>
  <c r="P158" i="5"/>
  <c r="P523" i="5"/>
  <c r="P233" i="5"/>
  <c r="P330" i="5"/>
  <c r="P378" i="5"/>
  <c r="P192" i="5"/>
  <c r="P246" i="5"/>
  <c r="P200" i="5"/>
  <c r="P287" i="5"/>
  <c r="P232" i="5"/>
  <c r="P88" i="5"/>
  <c r="P218" i="5"/>
  <c r="P259" i="5"/>
  <c r="P231" i="5"/>
  <c r="P161" i="5"/>
  <c r="P549" i="5"/>
  <c r="P175" i="5"/>
  <c r="P433" i="5"/>
  <c r="P281" i="5"/>
  <c r="P502" i="5"/>
  <c r="P24" i="5"/>
  <c r="P120" i="5"/>
  <c r="P506" i="5"/>
  <c r="P112" i="5"/>
  <c r="P97" i="5"/>
  <c r="P459" i="5"/>
  <c r="P173" i="5"/>
  <c r="P74" i="5"/>
  <c r="P493" i="5"/>
  <c r="P344" i="5"/>
  <c r="P186" i="5"/>
  <c r="P339" i="5"/>
  <c r="P346" i="5"/>
  <c r="P145" i="5"/>
  <c r="P226" i="5"/>
  <c r="P489" i="5"/>
  <c r="P261" i="5"/>
  <c r="P370" i="5"/>
  <c r="P283" i="5"/>
  <c r="P221" i="5"/>
  <c r="P46" i="5"/>
  <c r="P554" i="5"/>
  <c r="P177" i="5"/>
  <c r="P516" i="5"/>
  <c r="P358" i="5"/>
  <c r="P447" i="5"/>
  <c r="P204" i="5"/>
  <c r="P275" i="5"/>
  <c r="P434" i="5"/>
  <c r="P211" i="5"/>
  <c r="P85" i="5"/>
  <c r="P38" i="5"/>
  <c r="P350" i="5"/>
  <c r="P71" i="5"/>
  <c r="P485" i="5"/>
  <c r="P271" i="5"/>
  <c r="P43" i="5"/>
  <c r="P250" i="5"/>
  <c r="P559" i="5"/>
  <c r="P73" i="5"/>
  <c r="P347" i="5"/>
  <c r="P49" i="5"/>
  <c r="P472" i="5"/>
  <c r="P48" i="5"/>
  <c r="P110" i="5"/>
  <c r="P442" i="5"/>
  <c r="P420" i="5"/>
  <c r="P400" i="5"/>
  <c r="P397" i="5"/>
  <c r="P34" i="5"/>
  <c r="P203" i="5"/>
  <c r="P519" i="5"/>
  <c r="P123" i="5"/>
  <c r="P113" i="5"/>
  <c r="P305" i="5"/>
  <c r="P243" i="5"/>
  <c r="P47" i="5"/>
  <c r="P386" i="5"/>
  <c r="P313" i="5"/>
  <c r="P424" i="5"/>
  <c r="P328" i="5"/>
  <c r="P402" i="5"/>
  <c r="P294" i="5"/>
  <c r="P343" i="5"/>
  <c r="P359" i="5"/>
  <c r="P61" i="5"/>
  <c r="P354" i="5"/>
  <c r="P544" i="5"/>
  <c r="P345" i="5"/>
  <c r="P63" i="5"/>
  <c r="P135" i="5"/>
  <c r="P362" i="5"/>
  <c r="P165" i="5"/>
  <c r="P507" i="5"/>
  <c r="P338" i="5"/>
  <c r="P518" i="5"/>
  <c r="P421" i="5"/>
  <c r="P69" i="5"/>
  <c r="P183" i="5"/>
  <c r="P290" i="5"/>
  <c r="P510" i="5"/>
  <c r="P300" i="5"/>
  <c r="P189" i="5"/>
  <c r="P23" i="5"/>
  <c r="P462" i="5"/>
  <c r="P59" i="5"/>
  <c r="P450" i="5"/>
  <c r="P306" i="5"/>
  <c r="P374" i="5"/>
  <c r="P353" i="5"/>
  <c r="P535" i="5"/>
  <c r="P235" i="5"/>
  <c r="P301" i="5"/>
  <c r="P209" i="5"/>
  <c r="P390" i="5"/>
  <c r="P65" i="5"/>
  <c r="P317" i="5"/>
  <c r="P81" i="5"/>
  <c r="P237" i="5"/>
  <c r="P202" i="5"/>
  <c r="P176" i="5"/>
  <c r="P236" i="5"/>
  <c r="P188" i="5"/>
  <c r="P451" i="5"/>
  <c r="P411" i="5"/>
  <c r="P122" i="5"/>
  <c r="P547" i="5"/>
  <c r="P83" i="5"/>
  <c r="P274" i="5"/>
  <c r="P129" i="5"/>
  <c r="P111" i="5"/>
  <c r="P491" i="5"/>
  <c r="P166" i="5"/>
  <c r="P288" i="5"/>
  <c r="P214" i="5"/>
  <c r="P449" i="5"/>
  <c r="P363" i="5"/>
  <c r="P77" i="5"/>
  <c r="P171" i="5"/>
  <c r="P216" i="5"/>
  <c r="P431" i="5"/>
  <c r="P119" i="5"/>
  <c r="P245" i="5"/>
  <c r="P463" i="5"/>
  <c r="P222" i="5"/>
  <c r="P118" i="5"/>
  <c r="P552" i="5"/>
  <c r="P205" i="5"/>
  <c r="P401" i="5"/>
  <c r="P280" i="5"/>
  <c r="P522" i="5"/>
  <c r="P422" i="5"/>
  <c r="P84" i="5"/>
  <c r="P94" i="5"/>
  <c r="P368" i="5"/>
  <c r="P456" i="5"/>
  <c r="P86" i="5"/>
  <c r="P414" i="5"/>
  <c r="P515" i="5"/>
  <c r="P162" i="5"/>
  <c r="P92" i="5"/>
  <c r="P484" i="5"/>
  <c r="P31" i="5"/>
  <c r="P334" i="5"/>
  <c r="P52" i="5"/>
  <c r="P406" i="5"/>
  <c r="P249" i="5"/>
  <c r="P126" i="5"/>
  <c r="P418" i="5"/>
  <c r="P212" i="5"/>
  <c r="P366" i="5"/>
  <c r="P417" i="5"/>
  <c r="P539" i="5"/>
  <c r="P365" i="5"/>
  <c r="P335" i="5"/>
  <c r="P348" i="5"/>
  <c r="P310" i="5"/>
  <c r="P542" i="5"/>
  <c r="P532" i="5"/>
  <c r="P470" i="5"/>
  <c r="P130" i="5"/>
  <c r="P89" i="5"/>
  <c r="P276" i="5"/>
  <c r="P471" i="5"/>
  <c r="P399" i="5"/>
  <c r="P29" i="5"/>
  <c r="P244" i="5"/>
  <c r="P410" i="5"/>
  <c r="P153" i="5"/>
  <c r="P308" i="5"/>
  <c r="P540" i="5"/>
  <c r="P147" i="5"/>
  <c r="P164" i="5"/>
  <c r="P408" i="5"/>
  <c r="P319" i="5"/>
  <c r="P511" i="5"/>
  <c r="P320" i="5"/>
  <c r="P443" i="5"/>
  <c r="P289" i="5"/>
  <c r="P50" i="5"/>
  <c r="P151" i="5"/>
  <c r="P291" i="5"/>
  <c r="P480" i="5"/>
  <c r="P37" i="5"/>
  <c r="P531" i="5"/>
  <c r="P534" i="5"/>
  <c r="P225" i="5"/>
  <c r="P136" i="5"/>
  <c r="P526" i="5"/>
  <c r="P224" i="5"/>
  <c r="P333" i="5"/>
  <c r="P340" i="5"/>
  <c r="P556" i="5"/>
  <c r="P430" i="5"/>
  <c r="P96" i="5"/>
  <c r="P139" i="5"/>
  <c r="P384" i="5"/>
  <c r="P496" i="5"/>
  <c r="P91" i="5"/>
  <c r="P355" i="5"/>
  <c r="P558" i="5"/>
  <c r="P208" i="5"/>
  <c r="P142" i="5"/>
  <c r="P533" i="5"/>
  <c r="P181" i="5"/>
  <c r="P377" i="5"/>
  <c r="P198" i="5"/>
  <c r="P498" i="5"/>
  <c r="P278" i="5"/>
  <c r="P10" i="5"/>
  <c r="P114" i="5"/>
  <c r="P323" i="5"/>
  <c r="P525" i="5"/>
  <c r="P513" i="5"/>
  <c r="P512" i="5"/>
  <c r="P367" i="5"/>
  <c r="P90" i="5"/>
  <c r="P196" i="5"/>
  <c r="P316" i="5"/>
  <c r="P536" i="5"/>
  <c r="P148" i="5"/>
  <c r="P551" i="5"/>
  <c r="P546" i="5"/>
  <c r="P455" i="5"/>
  <c r="P79" i="5"/>
  <c r="P541" i="5"/>
  <c r="P241" i="5"/>
  <c r="P314" i="5"/>
  <c r="P285" i="5"/>
  <c r="P500" i="5"/>
  <c r="P302" i="5"/>
  <c r="P39" i="5"/>
  <c r="P101" i="5"/>
  <c r="P303" i="5"/>
  <c r="P371" i="5"/>
  <c r="P62" i="5"/>
  <c r="P307" i="5"/>
  <c r="P68" i="5"/>
  <c r="P169" i="5"/>
  <c r="P416" i="5"/>
  <c r="P412" i="5"/>
  <c r="P41" i="5"/>
  <c r="P555" i="5"/>
  <c r="P127" i="5"/>
  <c r="P379" i="5"/>
  <c r="P117" i="5"/>
  <c r="P297" i="5"/>
  <c r="P260" i="5"/>
  <c r="P8" i="5"/>
  <c r="P108" i="5"/>
  <c r="P337" i="5"/>
  <c r="P481" i="5"/>
  <c r="P448" i="5"/>
  <c r="P125" i="5"/>
  <c r="P425" i="5"/>
  <c r="P178" i="5"/>
  <c r="P157" i="5"/>
  <c r="P466" i="5"/>
  <c r="P137" i="5"/>
  <c r="P426" i="5"/>
  <c r="P228" i="5"/>
  <c r="P380" i="5"/>
  <c r="P361" i="5"/>
  <c r="P42" i="5"/>
  <c r="P159" i="5"/>
  <c r="P383" i="5"/>
  <c r="P461" i="5"/>
  <c r="P441" i="5"/>
  <c r="P517" i="5"/>
  <c r="P381" i="5"/>
  <c r="P190" i="5"/>
  <c r="P107" i="5"/>
  <c r="P509" i="5"/>
  <c r="P99" i="5"/>
  <c r="P238" i="5"/>
  <c r="P95" i="5"/>
  <c r="P284" i="5"/>
  <c r="P253" i="5"/>
  <c r="P217" i="5"/>
  <c r="P21" i="5"/>
  <c r="P286" i="5"/>
  <c r="P437" i="5"/>
  <c r="P469" i="5"/>
  <c r="P394" i="5"/>
  <c r="P251" i="5"/>
  <c r="P60" i="5"/>
  <c r="P155" i="5"/>
  <c r="P331" i="5"/>
  <c r="P521" i="5"/>
  <c r="P58" i="5"/>
  <c r="P446" i="5"/>
  <c r="P432" i="5"/>
  <c r="P483" i="5"/>
  <c r="P351" i="5"/>
  <c r="P527" i="5"/>
  <c r="P257" i="5"/>
  <c r="P197" i="5"/>
  <c r="P482" i="5"/>
  <c r="P444" i="5"/>
  <c r="P429" i="5"/>
  <c r="P234" i="5"/>
  <c r="P184" i="5"/>
  <c r="P141" i="5"/>
  <c r="P277" i="5"/>
  <c r="P341" i="5"/>
  <c r="P87" i="5"/>
  <c r="P185" i="5"/>
  <c r="P64" i="5"/>
  <c r="P70" i="5"/>
  <c r="P550" i="5"/>
  <c r="P138" i="5"/>
  <c r="P191" i="5"/>
  <c r="P30" i="5"/>
  <c r="P524" i="5"/>
  <c r="P13" i="5"/>
  <c r="P494" i="5"/>
  <c r="P223" i="5"/>
  <c r="P252" i="5"/>
  <c r="P57" i="5"/>
  <c r="P262" i="5"/>
  <c r="P520" i="5"/>
  <c r="P403" i="5"/>
  <c r="P423" i="5"/>
  <c r="P206" i="5"/>
  <c r="P133" i="5"/>
  <c r="P76" i="5"/>
  <c r="P407" i="5"/>
  <c r="P26" i="5"/>
  <c r="P324" i="5"/>
  <c r="P220" i="5"/>
  <c r="P292" i="5"/>
  <c r="P309" i="5"/>
  <c r="P40" i="5"/>
  <c r="P82" i="5"/>
  <c r="P329" i="5"/>
  <c r="P497" i="5"/>
  <c r="P389" i="5"/>
  <c r="P349" i="5"/>
  <c r="P265" i="5"/>
  <c r="P179" i="5"/>
  <c r="P45" i="5"/>
  <c r="P488" i="5"/>
  <c r="P180" i="5"/>
  <c r="P321" i="5"/>
  <c r="P415" i="5"/>
  <c r="P267" i="5"/>
  <c r="P174" i="5"/>
  <c r="P167" i="5"/>
  <c r="P20" i="5"/>
  <c r="P227" i="5"/>
  <c r="P393" i="5"/>
  <c r="P256" i="5"/>
  <c r="P529" i="5"/>
  <c r="P272" i="5"/>
  <c r="P9" i="5"/>
  <c r="P102" i="5"/>
  <c r="P199" i="5"/>
  <c r="P508" i="5"/>
  <c r="P478" i="5"/>
  <c r="P25" i="5"/>
  <c r="P325" i="5"/>
  <c r="P545" i="5"/>
  <c r="P458" i="5"/>
  <c r="P495" i="5"/>
  <c r="P182" i="5"/>
  <c r="P55" i="5"/>
  <c r="P391" i="5"/>
  <c r="P405" i="5"/>
  <c r="S474" i="5"/>
  <c r="R474" i="5"/>
  <c r="R548" i="5"/>
  <c r="S548" i="5"/>
  <c r="R525" i="5"/>
  <c r="S525" i="5"/>
  <c r="S36" i="5"/>
  <c r="R36" i="5"/>
  <c r="R134" i="5"/>
  <c r="S134" i="5"/>
  <c r="R397" i="5"/>
  <c r="S397" i="5"/>
  <c r="S501" i="5"/>
  <c r="R501" i="5"/>
  <c r="R394" i="5"/>
  <c r="S394" i="5"/>
  <c r="R157" i="5"/>
  <c r="S157" i="5"/>
  <c r="R194" i="5"/>
  <c r="S194" i="5"/>
  <c r="S270" i="5"/>
  <c r="R270" i="5"/>
  <c r="R286" i="5"/>
  <c r="S286" i="5"/>
  <c r="R214" i="5"/>
  <c r="S214" i="5"/>
  <c r="R241" i="5"/>
  <c r="S241" i="5"/>
  <c r="R190" i="5"/>
  <c r="S190" i="5"/>
  <c r="S132" i="5"/>
  <c r="R132" i="5"/>
  <c r="R162" i="5"/>
  <c r="S162" i="5"/>
  <c r="S530" i="5"/>
  <c r="R530" i="5"/>
  <c r="S483" i="5"/>
  <c r="R483" i="5"/>
  <c r="R282" i="5"/>
  <c r="S282" i="5"/>
  <c r="S211" i="5"/>
  <c r="R211" i="5"/>
  <c r="R171" i="5"/>
  <c r="S171" i="5"/>
  <c r="R121" i="5"/>
  <c r="S121" i="5"/>
  <c r="R61" i="5"/>
  <c r="S61" i="5"/>
  <c r="S522" i="5"/>
  <c r="R522" i="5"/>
  <c r="S477" i="5"/>
  <c r="R477" i="5"/>
  <c r="R370" i="5"/>
  <c r="S370" i="5"/>
  <c r="S257" i="5"/>
  <c r="R257" i="5"/>
  <c r="R313" i="5"/>
  <c r="S313" i="5"/>
  <c r="R164" i="5"/>
  <c r="S164" i="5"/>
  <c r="S89" i="5"/>
  <c r="R89" i="5"/>
  <c r="S42" i="5"/>
  <c r="R42" i="5"/>
  <c r="S518" i="5"/>
  <c r="R518" i="5"/>
  <c r="R473" i="5"/>
  <c r="S473" i="5"/>
  <c r="R249" i="5"/>
  <c r="S249" i="5"/>
  <c r="S141" i="5"/>
  <c r="R141" i="5"/>
  <c r="R233" i="5"/>
  <c r="S233" i="5"/>
  <c r="S105" i="5"/>
  <c r="R105" i="5"/>
  <c r="R63" i="5"/>
  <c r="S63" i="5"/>
  <c r="S443" i="5"/>
  <c r="R443" i="5"/>
  <c r="R467" i="5"/>
  <c r="S467" i="5"/>
  <c r="R351" i="5"/>
  <c r="S351" i="5"/>
  <c r="S350" i="5"/>
  <c r="R350" i="5"/>
  <c r="S299" i="5"/>
  <c r="R299" i="5"/>
  <c r="R183" i="5"/>
  <c r="S183" i="5"/>
  <c r="S103" i="5"/>
  <c r="R103" i="5"/>
  <c r="S26" i="5"/>
  <c r="R26" i="5"/>
  <c r="S502" i="5"/>
  <c r="R502" i="5"/>
  <c r="S468" i="5"/>
  <c r="R468" i="5"/>
  <c r="S442" i="5"/>
  <c r="R442" i="5"/>
  <c r="S326" i="5"/>
  <c r="R326" i="5"/>
  <c r="S228" i="5"/>
  <c r="R228" i="5"/>
  <c r="R83" i="5"/>
  <c r="S83" i="5"/>
  <c r="R58" i="5"/>
  <c r="S58" i="5"/>
  <c r="R364" i="5"/>
  <c r="S364" i="5"/>
  <c r="R452" i="5"/>
  <c r="S452" i="5"/>
  <c r="R338" i="5"/>
  <c r="S338" i="5"/>
  <c r="S346" i="5"/>
  <c r="R346" i="5"/>
  <c r="S291" i="5"/>
  <c r="R291" i="5"/>
  <c r="S179" i="5"/>
  <c r="R179" i="5"/>
  <c r="R82" i="5"/>
  <c r="S82" i="5"/>
  <c r="S516" i="5"/>
  <c r="R516" i="5"/>
  <c r="S444" i="5"/>
  <c r="R444" i="5"/>
  <c r="S387" i="5"/>
  <c r="R387" i="5"/>
  <c r="S407" i="5"/>
  <c r="R407" i="5"/>
  <c r="R285" i="5"/>
  <c r="S285" i="5"/>
  <c r="R107" i="5"/>
  <c r="S107" i="5"/>
  <c r="R100" i="5"/>
  <c r="S100" i="5"/>
  <c r="S50" i="5"/>
  <c r="R50" i="5"/>
  <c r="S383" i="5"/>
  <c r="R383" i="5"/>
  <c r="S521" i="5"/>
  <c r="R521" i="5"/>
  <c r="S495" i="5"/>
  <c r="R495" i="5"/>
  <c r="R542" i="5"/>
  <c r="S542" i="5"/>
  <c r="R459" i="5"/>
  <c r="S459" i="5"/>
  <c r="S119" i="5"/>
  <c r="R119" i="5"/>
  <c r="R205" i="5"/>
  <c r="S205" i="5"/>
  <c r="R325" i="5"/>
  <c r="S325" i="5"/>
  <c r="S310" i="5"/>
  <c r="R310" i="5"/>
  <c r="S303" i="5"/>
  <c r="R303" i="5"/>
  <c r="S66" i="5"/>
  <c r="R66" i="5"/>
  <c r="S244" i="5"/>
  <c r="R244" i="5"/>
  <c r="R139" i="5"/>
  <c r="S139" i="5"/>
  <c r="S158" i="5"/>
  <c r="R158" i="5"/>
  <c r="R131" i="5"/>
  <c r="S131" i="5"/>
  <c r="R109" i="5"/>
  <c r="S109" i="5"/>
  <c r="R93" i="5"/>
  <c r="S93" i="5"/>
  <c r="R484" i="5"/>
  <c r="S484" i="5"/>
  <c r="S461" i="5"/>
  <c r="R461" i="5"/>
  <c r="S438" i="5"/>
  <c r="R438" i="5"/>
  <c r="S307" i="5"/>
  <c r="R307" i="5"/>
  <c r="R219" i="5"/>
  <c r="S219" i="5"/>
  <c r="R149" i="5"/>
  <c r="S149" i="5"/>
  <c r="R38" i="5"/>
  <c r="S38" i="5"/>
  <c r="R552" i="5"/>
  <c r="S552" i="5"/>
  <c r="S435" i="5"/>
  <c r="R435" i="5"/>
  <c r="R263" i="5"/>
  <c r="S263" i="5"/>
  <c r="R329" i="5"/>
  <c r="S329" i="5"/>
  <c r="R269" i="5"/>
  <c r="S269" i="5"/>
  <c r="S166" i="5"/>
  <c r="R166" i="5"/>
  <c r="S110" i="5"/>
  <c r="R110" i="5"/>
  <c r="S19" i="5"/>
  <c r="R19" i="5"/>
  <c r="R465" i="5"/>
  <c r="S465" i="5"/>
  <c r="R453" i="5"/>
  <c r="S453" i="5"/>
  <c r="S423" i="5"/>
  <c r="R423" i="5"/>
  <c r="R300" i="5"/>
  <c r="S300" i="5"/>
  <c r="R191" i="5"/>
  <c r="S191" i="5"/>
  <c r="R140" i="5"/>
  <c r="S140" i="5"/>
  <c r="R59" i="5"/>
  <c r="S59" i="5"/>
  <c r="R532" i="5"/>
  <c r="S532" i="5"/>
  <c r="R422" i="5"/>
  <c r="S422" i="5"/>
  <c r="S414" i="5"/>
  <c r="R414" i="5"/>
  <c r="S317" i="5"/>
  <c r="R317" i="5"/>
  <c r="R246" i="5"/>
  <c r="S246" i="5"/>
  <c r="R145" i="5"/>
  <c r="S145" i="5"/>
  <c r="R87" i="5"/>
  <c r="S87" i="5"/>
  <c r="S539" i="5"/>
  <c r="R539" i="5"/>
  <c r="S449" i="5"/>
  <c r="R449" i="5"/>
  <c r="R393" i="5"/>
  <c r="S393" i="5"/>
  <c r="S411" i="5"/>
  <c r="R411" i="5"/>
  <c r="R293" i="5"/>
  <c r="S293" i="5"/>
  <c r="S186" i="5"/>
  <c r="R186" i="5"/>
  <c r="R125" i="5"/>
  <c r="S125" i="5"/>
  <c r="S27" i="5"/>
  <c r="R27" i="5"/>
  <c r="R508" i="5"/>
  <c r="S508" i="5"/>
  <c r="R410" i="5"/>
  <c r="S410" i="5"/>
  <c r="R404" i="5"/>
  <c r="S404" i="5"/>
  <c r="S309" i="5"/>
  <c r="R309" i="5"/>
  <c r="R213" i="5"/>
  <c r="S213" i="5"/>
  <c r="S188" i="5"/>
  <c r="R188" i="5"/>
  <c r="S95" i="5"/>
  <c r="R95" i="5"/>
  <c r="R544" i="5"/>
  <c r="S544" i="5"/>
  <c r="S510" i="5"/>
  <c r="R510" i="5"/>
  <c r="S412" i="5"/>
  <c r="R412" i="5"/>
  <c r="R372" i="5"/>
  <c r="S372" i="5"/>
  <c r="S229" i="5"/>
  <c r="R229" i="5"/>
  <c r="R199" i="5"/>
  <c r="S199" i="5"/>
  <c r="R137" i="5"/>
  <c r="S137" i="5"/>
  <c r="S25" i="5"/>
  <c r="R25" i="5"/>
  <c r="R262" i="5"/>
  <c r="S262" i="5"/>
  <c r="R267" i="5"/>
  <c r="S267" i="5"/>
  <c r="S405" i="5"/>
  <c r="R405" i="5"/>
  <c r="R511" i="5"/>
  <c r="S511" i="5"/>
  <c r="R490" i="5"/>
  <c r="S490" i="5"/>
  <c r="R537" i="5"/>
  <c r="S537" i="5"/>
  <c r="S65" i="5"/>
  <c r="R65" i="5"/>
  <c r="R49" i="5"/>
  <c r="S49" i="5"/>
  <c r="R54" i="5"/>
  <c r="S54" i="5"/>
  <c r="R528" i="5"/>
  <c r="S528" i="5"/>
  <c r="R428" i="5"/>
  <c r="S428" i="5"/>
  <c r="S122" i="5"/>
  <c r="R122" i="5"/>
  <c r="R78" i="5"/>
  <c r="S78" i="5"/>
  <c r="S37" i="5"/>
  <c r="R37" i="5"/>
  <c r="S34" i="5"/>
  <c r="R34" i="5"/>
  <c r="R39" i="5"/>
  <c r="S39" i="5"/>
  <c r="S505" i="5"/>
  <c r="R505" i="5"/>
  <c r="S437" i="5"/>
  <c r="R437" i="5"/>
  <c r="S381" i="5"/>
  <c r="R381" i="5"/>
  <c r="R396" i="5"/>
  <c r="S396" i="5"/>
  <c r="R281" i="5"/>
  <c r="S281" i="5"/>
  <c r="R251" i="5"/>
  <c r="S251" i="5"/>
  <c r="S98" i="5"/>
  <c r="R98" i="5"/>
  <c r="R46" i="5"/>
  <c r="S46" i="5"/>
  <c r="S481" i="5"/>
  <c r="R481" i="5"/>
  <c r="R337" i="5"/>
  <c r="S337" i="5"/>
  <c r="R388" i="5"/>
  <c r="S388" i="5"/>
  <c r="R287" i="5"/>
  <c r="S287" i="5"/>
  <c r="S101" i="5"/>
  <c r="R101" i="5"/>
  <c r="S163" i="5"/>
  <c r="R163" i="5"/>
  <c r="R91" i="5"/>
  <c r="S91" i="5"/>
  <c r="R429" i="5"/>
  <c r="S429" i="5"/>
  <c r="S342" i="5"/>
  <c r="R342" i="5"/>
  <c r="S359" i="5"/>
  <c r="R359" i="5"/>
  <c r="S386" i="5"/>
  <c r="R386" i="5"/>
  <c r="S259" i="5"/>
  <c r="R259" i="5"/>
  <c r="S238" i="5"/>
  <c r="R238" i="5"/>
  <c r="R154" i="5"/>
  <c r="S154" i="5"/>
  <c r="S35" i="5"/>
  <c r="R35" i="5"/>
  <c r="S447" i="5"/>
  <c r="R447" i="5"/>
  <c r="S252" i="5"/>
  <c r="R252" i="5"/>
  <c r="S379" i="5"/>
  <c r="R379" i="5"/>
  <c r="R278" i="5"/>
  <c r="S278" i="5"/>
  <c r="S237" i="5"/>
  <c r="R237" i="5"/>
  <c r="S92" i="5"/>
  <c r="R92" i="5"/>
  <c r="S77" i="5"/>
  <c r="R77" i="5"/>
  <c r="R403" i="5"/>
  <c r="S403" i="5"/>
  <c r="S520" i="5"/>
  <c r="R520" i="5"/>
  <c r="S421" i="5"/>
  <c r="R421" i="5"/>
  <c r="R380" i="5"/>
  <c r="S380" i="5"/>
  <c r="S253" i="5"/>
  <c r="R253" i="5"/>
  <c r="S235" i="5"/>
  <c r="R235" i="5"/>
  <c r="S151" i="5"/>
  <c r="R151" i="5"/>
  <c r="S30" i="5"/>
  <c r="R30" i="5"/>
  <c r="R559" i="5"/>
  <c r="S559" i="5"/>
  <c r="R524" i="5"/>
  <c r="S524" i="5"/>
  <c r="R365" i="5"/>
  <c r="S365" i="5"/>
  <c r="S275" i="5"/>
  <c r="R275" i="5"/>
  <c r="S231" i="5"/>
  <c r="R231" i="5"/>
  <c r="R155" i="5"/>
  <c r="S155" i="5"/>
  <c r="S71" i="5"/>
  <c r="R71" i="5"/>
  <c r="R558" i="5"/>
  <c r="S558" i="5"/>
  <c r="S486" i="5"/>
  <c r="R486" i="5"/>
  <c r="R377" i="5"/>
  <c r="S377" i="5"/>
  <c r="S289" i="5"/>
  <c r="R289" i="5"/>
  <c r="S323" i="5"/>
  <c r="R323" i="5"/>
  <c r="S178" i="5"/>
  <c r="R178" i="5"/>
  <c r="S108" i="5"/>
  <c r="R108" i="5"/>
  <c r="S47" i="5"/>
  <c r="R47" i="5"/>
  <c r="S212" i="5"/>
  <c r="R212" i="5"/>
  <c r="R148" i="5"/>
  <c r="S148" i="5"/>
  <c r="S193" i="5"/>
  <c r="R193" i="5"/>
  <c r="S260" i="5"/>
  <c r="R260" i="5"/>
  <c r="R22" i="5"/>
  <c r="S22" i="5"/>
  <c r="R560" i="5"/>
  <c r="S560" i="5"/>
  <c r="S182" i="5"/>
  <c r="R182" i="5"/>
  <c r="S462" i="5"/>
  <c r="R462" i="5"/>
  <c r="R97" i="5"/>
  <c r="S97" i="5"/>
  <c r="R62" i="5"/>
  <c r="S62" i="5"/>
  <c r="S84" i="5"/>
  <c r="R84" i="5"/>
  <c r="S458" i="5"/>
  <c r="R458" i="5"/>
  <c r="R513" i="5"/>
  <c r="S513" i="5"/>
  <c r="R507" i="5"/>
  <c r="S507" i="5"/>
  <c r="S551" i="5"/>
  <c r="R551" i="5"/>
  <c r="S533" i="5"/>
  <c r="R533" i="5"/>
  <c r="R506" i="5"/>
  <c r="S506" i="5"/>
  <c r="R406" i="5"/>
  <c r="S406" i="5"/>
  <c r="S371" i="5"/>
  <c r="R371" i="5"/>
  <c r="R218" i="5"/>
  <c r="S218" i="5"/>
  <c r="R198" i="5"/>
  <c r="S198" i="5"/>
  <c r="S135" i="5"/>
  <c r="R135" i="5"/>
  <c r="R43" i="5"/>
  <c r="S43" i="5"/>
  <c r="S545" i="5"/>
  <c r="R545" i="5"/>
  <c r="S519" i="5"/>
  <c r="R519" i="5"/>
  <c r="S354" i="5"/>
  <c r="R354" i="5"/>
  <c r="S265" i="5"/>
  <c r="R265" i="5"/>
  <c r="S217" i="5"/>
  <c r="R217" i="5"/>
  <c r="R147" i="5"/>
  <c r="S147" i="5"/>
  <c r="S81" i="5"/>
  <c r="R81" i="5"/>
  <c r="R466" i="5"/>
  <c r="S466" i="5"/>
  <c r="S492" i="5"/>
  <c r="R492" i="5"/>
  <c r="S398" i="5"/>
  <c r="R398" i="5"/>
  <c r="S334" i="5"/>
  <c r="R334" i="5"/>
  <c r="R196" i="5"/>
  <c r="S196" i="5"/>
  <c r="R181" i="5"/>
  <c r="S181" i="5"/>
  <c r="S123" i="5"/>
  <c r="R123" i="5"/>
  <c r="R23" i="5"/>
  <c r="S23" i="5"/>
  <c r="S541" i="5"/>
  <c r="R541" i="5"/>
  <c r="S503" i="5"/>
  <c r="R503" i="5"/>
  <c r="R343" i="5"/>
  <c r="S343" i="5"/>
  <c r="R243" i="5"/>
  <c r="S243" i="5"/>
  <c r="S206" i="5"/>
  <c r="R206" i="5"/>
  <c r="R129" i="5"/>
  <c r="S129" i="5"/>
  <c r="S70" i="5"/>
  <c r="R70" i="5"/>
  <c r="S557" i="5"/>
  <c r="R557" i="5"/>
  <c r="S489" i="5"/>
  <c r="R489" i="5"/>
  <c r="S395" i="5"/>
  <c r="R395" i="5"/>
  <c r="R306" i="5"/>
  <c r="S306" i="5"/>
  <c r="S331" i="5"/>
  <c r="R331" i="5"/>
  <c r="R202" i="5"/>
  <c r="S202" i="5"/>
  <c r="R117" i="5"/>
  <c r="S117" i="5"/>
  <c r="R20" i="5"/>
  <c r="S20" i="5"/>
  <c r="R536" i="5"/>
  <c r="S536" i="5"/>
  <c r="R500" i="5"/>
  <c r="S500" i="5"/>
  <c r="S314" i="5"/>
  <c r="R314" i="5"/>
  <c r="R223" i="5"/>
  <c r="S223" i="5"/>
  <c r="S204" i="5"/>
  <c r="R204" i="5"/>
  <c r="S126" i="5"/>
  <c r="R126" i="5"/>
  <c r="S69" i="5"/>
  <c r="R69" i="5"/>
  <c r="S550" i="5"/>
  <c r="R550" i="5"/>
  <c r="S446" i="5"/>
  <c r="R446" i="5"/>
  <c r="S327" i="5"/>
  <c r="R327" i="5"/>
  <c r="R341" i="5"/>
  <c r="S341" i="5"/>
  <c r="R284" i="5"/>
  <c r="S284" i="5"/>
  <c r="R175" i="5"/>
  <c r="S175" i="5"/>
  <c r="S44" i="5"/>
  <c r="R44" i="5"/>
  <c r="R311" i="5"/>
  <c r="S311" i="5"/>
  <c r="S222" i="5"/>
  <c r="R222" i="5"/>
  <c r="S215" i="5"/>
  <c r="R215" i="5"/>
  <c r="R209" i="5"/>
  <c r="S209" i="5"/>
  <c r="S333" i="5"/>
  <c r="R333" i="5"/>
  <c r="S127" i="5"/>
  <c r="R127" i="5"/>
  <c r="R116" i="5"/>
  <c r="S116" i="5"/>
  <c r="S439" i="5"/>
  <c r="R439" i="5"/>
  <c r="S113" i="5"/>
  <c r="R113" i="5"/>
  <c r="R167" i="5"/>
  <c r="S167" i="5"/>
  <c r="S543" i="5"/>
  <c r="R543" i="5"/>
  <c r="S362" i="5"/>
  <c r="R362" i="5"/>
  <c r="S493" i="5"/>
  <c r="R493" i="5"/>
  <c r="S470" i="5"/>
  <c r="R470" i="5"/>
  <c r="R434" i="5"/>
  <c r="S434" i="5"/>
  <c r="R549" i="5"/>
  <c r="S549" i="5"/>
  <c r="R482" i="5"/>
  <c r="S482" i="5"/>
  <c r="R374" i="5"/>
  <c r="S374" i="5"/>
  <c r="S273" i="5"/>
  <c r="R273" i="5"/>
  <c r="R316" i="5"/>
  <c r="S316" i="5"/>
  <c r="S170" i="5"/>
  <c r="R170" i="5"/>
  <c r="S99" i="5"/>
  <c r="R99" i="5"/>
  <c r="S45" i="5"/>
  <c r="R45" i="5"/>
  <c r="S529" i="5"/>
  <c r="R529" i="5"/>
  <c r="S475" i="5"/>
  <c r="R475" i="5"/>
  <c r="R279" i="5"/>
  <c r="S279" i="5"/>
  <c r="R173" i="5"/>
  <c r="S173" i="5"/>
  <c r="R165" i="5"/>
  <c r="S165" i="5"/>
  <c r="R118" i="5"/>
  <c r="S118" i="5"/>
  <c r="R57" i="5"/>
  <c r="S57" i="5"/>
  <c r="R460" i="5"/>
  <c r="S460" i="5"/>
  <c r="S469" i="5"/>
  <c r="R469" i="5"/>
  <c r="S358" i="5"/>
  <c r="R358" i="5"/>
  <c r="R357" i="5"/>
  <c r="S357" i="5"/>
  <c r="R302" i="5"/>
  <c r="S302" i="5"/>
  <c r="R185" i="5"/>
  <c r="S185" i="5"/>
  <c r="S106" i="5"/>
  <c r="R106" i="5"/>
  <c r="S31" i="5"/>
  <c r="R31" i="5"/>
  <c r="R509" i="5"/>
  <c r="S509" i="5"/>
  <c r="R471" i="5"/>
  <c r="S471" i="5"/>
  <c r="S245" i="5"/>
  <c r="R245" i="5"/>
  <c r="S330" i="5"/>
  <c r="R330" i="5"/>
  <c r="S230" i="5"/>
  <c r="R230" i="5"/>
  <c r="R102" i="5"/>
  <c r="S102" i="5"/>
  <c r="R60" i="5"/>
  <c r="S60" i="5"/>
  <c r="S430" i="5"/>
  <c r="R430" i="5"/>
  <c r="R457" i="5"/>
  <c r="S457" i="5"/>
  <c r="S347" i="5"/>
  <c r="R347" i="5"/>
  <c r="S348" i="5"/>
  <c r="R348" i="5"/>
  <c r="R292" i="5"/>
  <c r="S292" i="5"/>
  <c r="S180" i="5"/>
  <c r="R180" i="5"/>
  <c r="S94" i="5"/>
  <c r="R94" i="5"/>
  <c r="S21" i="5"/>
  <c r="R21" i="5"/>
  <c r="S497" i="5"/>
  <c r="R497" i="5"/>
  <c r="S463" i="5"/>
  <c r="R463" i="5"/>
  <c r="S441" i="5"/>
  <c r="R441" i="5"/>
  <c r="R321" i="5"/>
  <c r="S321" i="5"/>
  <c r="R225" i="5"/>
  <c r="S225" i="5"/>
  <c r="R159" i="5"/>
  <c r="S159" i="5"/>
  <c r="S55" i="5"/>
  <c r="R55" i="5"/>
  <c r="S498" i="5"/>
  <c r="R498" i="5"/>
  <c r="S369" i="5"/>
  <c r="R369" i="5"/>
  <c r="R402" i="5"/>
  <c r="S402" i="5"/>
  <c r="R297" i="5"/>
  <c r="S297" i="5"/>
  <c r="R203" i="5"/>
  <c r="S203" i="5"/>
  <c r="R174" i="5"/>
  <c r="S174" i="5"/>
  <c r="R86" i="5"/>
  <c r="S86" i="5"/>
  <c r="S261" i="5"/>
  <c r="R261" i="5"/>
  <c r="R361" i="5"/>
  <c r="S361" i="5"/>
  <c r="S356" i="5"/>
  <c r="R356" i="5"/>
  <c r="R349" i="5"/>
  <c r="S349" i="5"/>
  <c r="R332" i="5"/>
  <c r="S332" i="5"/>
  <c r="S340" i="5"/>
  <c r="R340" i="5"/>
  <c r="R487" i="5"/>
  <c r="S487" i="5"/>
  <c r="S494" i="5"/>
  <c r="R494" i="5"/>
  <c r="R454" i="5"/>
  <c r="S454" i="5"/>
  <c r="R478" i="5"/>
  <c r="S478" i="5"/>
  <c r="R517" i="5"/>
  <c r="S517" i="5"/>
  <c r="R366" i="5"/>
  <c r="S366" i="5"/>
  <c r="S401" i="5"/>
  <c r="R401" i="5"/>
  <c r="S367" i="5"/>
  <c r="R367" i="5"/>
  <c r="S419" i="5"/>
  <c r="R419" i="5"/>
  <c r="S555" i="5"/>
  <c r="R555" i="5"/>
  <c r="S436" i="5"/>
  <c r="R436" i="5"/>
  <c r="S322" i="5"/>
  <c r="R322" i="5"/>
  <c r="S339" i="5"/>
  <c r="R339" i="5"/>
  <c r="R276" i="5"/>
  <c r="S276" i="5"/>
  <c r="S172" i="5"/>
  <c r="R172" i="5"/>
  <c r="S111" i="5"/>
  <c r="R111" i="5"/>
  <c r="AG11" i="5"/>
  <c r="Q11" i="5"/>
  <c r="W11" i="5"/>
  <c r="R479" i="5"/>
  <c r="S479" i="5"/>
  <c r="S455" i="5"/>
  <c r="R455" i="5"/>
  <c r="S431" i="5"/>
  <c r="R431" i="5"/>
  <c r="R305" i="5"/>
  <c r="S305" i="5"/>
  <c r="S210" i="5"/>
  <c r="R210" i="5"/>
  <c r="S146" i="5"/>
  <c r="R146" i="5"/>
  <c r="R67" i="5"/>
  <c r="S67" i="5"/>
  <c r="S547" i="5"/>
  <c r="R547" i="5"/>
  <c r="R425" i="5"/>
  <c r="S425" i="5"/>
  <c r="R417" i="5"/>
  <c r="S417" i="5"/>
  <c r="R319" i="5"/>
  <c r="S319" i="5"/>
  <c r="S258" i="5"/>
  <c r="R258" i="5"/>
  <c r="R161" i="5"/>
  <c r="S161" i="5"/>
  <c r="S90" i="5"/>
  <c r="R90" i="5"/>
  <c r="S540" i="5"/>
  <c r="R540" i="5"/>
  <c r="R450" i="5"/>
  <c r="S450" i="5"/>
  <c r="R433" i="5"/>
  <c r="S433" i="5"/>
  <c r="R418" i="5"/>
  <c r="S418" i="5"/>
  <c r="R298" i="5"/>
  <c r="S298" i="5"/>
  <c r="S189" i="5"/>
  <c r="R189" i="5"/>
  <c r="S138" i="5"/>
  <c r="R138" i="5"/>
  <c r="S51" i="5"/>
  <c r="R51" i="5"/>
  <c r="R515" i="5"/>
  <c r="S515" i="5"/>
  <c r="S420" i="5"/>
  <c r="R420" i="5"/>
  <c r="R413" i="5"/>
  <c r="S413" i="5"/>
  <c r="R315" i="5"/>
  <c r="S315" i="5"/>
  <c r="S227" i="5"/>
  <c r="R227" i="5"/>
  <c r="R130" i="5"/>
  <c r="S130" i="5"/>
  <c r="R85" i="5"/>
  <c r="S85" i="5"/>
  <c r="S531" i="5"/>
  <c r="R531" i="5"/>
  <c r="S445" i="5"/>
  <c r="R445" i="5"/>
  <c r="R390" i="5"/>
  <c r="S390" i="5"/>
  <c r="S409" i="5"/>
  <c r="R409" i="5"/>
  <c r="S290" i="5"/>
  <c r="R290" i="5"/>
  <c r="S177" i="5"/>
  <c r="R177" i="5"/>
  <c r="S114" i="5"/>
  <c r="R114" i="5"/>
  <c r="R52" i="5"/>
  <c r="S52" i="5"/>
  <c r="R553" i="5"/>
  <c r="S553" i="5"/>
  <c r="S523" i="5"/>
  <c r="R523" i="5"/>
  <c r="S363" i="5"/>
  <c r="R363" i="5"/>
  <c r="S274" i="5"/>
  <c r="R274" i="5"/>
  <c r="S226" i="5"/>
  <c r="R226" i="5"/>
  <c r="R150" i="5"/>
  <c r="S150" i="5"/>
  <c r="R73" i="5"/>
  <c r="S73" i="5"/>
  <c r="S476" i="5"/>
  <c r="R476" i="5"/>
  <c r="S266" i="5"/>
  <c r="R266" i="5"/>
  <c r="S28" i="5"/>
  <c r="R28" i="5"/>
  <c r="S133" i="5"/>
  <c r="R133" i="5"/>
  <c r="R74" i="5"/>
  <c r="S74" i="5"/>
  <c r="R207" i="5"/>
  <c r="S207" i="5"/>
  <c r="R239" i="5"/>
  <c r="S239" i="5"/>
  <c r="S295" i="5"/>
  <c r="R295" i="5"/>
  <c r="R221" i="5"/>
  <c r="S221" i="5"/>
  <c r="R143" i="5"/>
  <c r="S143" i="5"/>
  <c r="S335" i="5"/>
  <c r="R335" i="5"/>
  <c r="S353" i="5"/>
  <c r="R353" i="5"/>
  <c r="S389" i="5"/>
  <c r="R389" i="5"/>
  <c r="R355" i="5"/>
  <c r="S355" i="5"/>
  <c r="R254" i="5"/>
  <c r="S254" i="5"/>
  <c r="R324" i="5"/>
  <c r="S324" i="5"/>
  <c r="S491" i="5"/>
  <c r="R491" i="5"/>
  <c r="R345" i="5"/>
  <c r="S345" i="5"/>
  <c r="R399" i="5"/>
  <c r="S399" i="5"/>
  <c r="R294" i="5"/>
  <c r="S294" i="5"/>
  <c r="S187" i="5"/>
  <c r="R187" i="5"/>
  <c r="R169" i="5"/>
  <c r="S169" i="5"/>
  <c r="R76" i="5"/>
  <c r="S76" i="5"/>
  <c r="R499" i="5"/>
  <c r="S499" i="5"/>
  <c r="S426" i="5"/>
  <c r="R426" i="5"/>
  <c r="R378" i="5"/>
  <c r="S378" i="5"/>
  <c r="S391" i="5"/>
  <c r="R391" i="5"/>
  <c r="S271" i="5"/>
  <c r="R271" i="5"/>
  <c r="S250" i="5"/>
  <c r="R250" i="5"/>
  <c r="R53" i="5"/>
  <c r="S53" i="5"/>
  <c r="S41" i="5"/>
  <c r="R41" i="5"/>
  <c r="R451" i="5"/>
  <c r="S451" i="5"/>
  <c r="R301" i="5"/>
  <c r="S301" i="5"/>
  <c r="S382" i="5"/>
  <c r="R382" i="5"/>
  <c r="S283" i="5"/>
  <c r="R283" i="5"/>
  <c r="R242" i="5"/>
  <c r="S242" i="5"/>
  <c r="R115" i="5"/>
  <c r="S115" i="5"/>
  <c r="R79" i="5"/>
  <c r="S79" i="5"/>
  <c r="S427" i="5"/>
  <c r="R427" i="5"/>
  <c r="R197" i="5"/>
  <c r="S197" i="5"/>
  <c r="S318" i="5"/>
  <c r="R318" i="5"/>
  <c r="S385" i="5"/>
  <c r="R385" i="5"/>
  <c r="R255" i="5"/>
  <c r="S255" i="5"/>
  <c r="S236" i="5"/>
  <c r="R236" i="5"/>
  <c r="R153" i="5"/>
  <c r="S153" i="5"/>
  <c r="S33" i="5"/>
  <c r="R33" i="5"/>
  <c r="R268" i="5"/>
  <c r="S268" i="5"/>
  <c r="S527" i="5"/>
  <c r="R527" i="5"/>
  <c r="R373" i="5"/>
  <c r="S373" i="5"/>
  <c r="S277" i="5"/>
  <c r="R277" i="5"/>
  <c r="S234" i="5"/>
  <c r="R234" i="5"/>
  <c r="S156" i="5"/>
  <c r="R156" i="5"/>
  <c r="S75" i="5"/>
  <c r="R75" i="5"/>
  <c r="R556" i="5"/>
  <c r="S556" i="5"/>
  <c r="S514" i="5"/>
  <c r="R514" i="5"/>
  <c r="R415" i="5"/>
  <c r="S415" i="5"/>
  <c r="S375" i="5"/>
  <c r="R375" i="5"/>
  <c r="R247" i="5"/>
  <c r="S247" i="5"/>
  <c r="S201" i="5"/>
  <c r="R201" i="5"/>
  <c r="R142" i="5"/>
  <c r="S142" i="5"/>
  <c r="S29" i="5"/>
  <c r="R29" i="5"/>
  <c r="S535" i="5"/>
  <c r="R535" i="5"/>
  <c r="R485" i="5"/>
  <c r="S485" i="5"/>
  <c r="S308" i="5"/>
  <c r="R308" i="5"/>
  <c r="S220" i="5"/>
  <c r="R220" i="5"/>
  <c r="S195" i="5"/>
  <c r="R195" i="5"/>
  <c r="R124" i="5"/>
  <c r="S124" i="5"/>
  <c r="R68" i="5"/>
  <c r="S68" i="5"/>
  <c r="AP525" i="5"/>
  <c r="AR525" i="5" s="1"/>
  <c r="AP23" i="5"/>
  <c r="AR23" i="5" s="1"/>
  <c r="AP462" i="5"/>
  <c r="AQ462" i="5" s="1"/>
  <c r="AP483" i="5"/>
  <c r="AQ483" i="5" s="1"/>
  <c r="AP244" i="5"/>
  <c r="AQ244" i="5" s="1"/>
  <c r="AP66" i="5"/>
  <c r="AR66" i="5" s="1"/>
  <c r="AP350" i="5"/>
  <c r="AR350" i="5" s="1"/>
  <c r="AP21" i="5"/>
  <c r="AR21" i="5" s="1"/>
  <c r="AP118" i="5"/>
  <c r="AQ118" i="5" s="1"/>
  <c r="AP219" i="5"/>
  <c r="AR219" i="5" s="1"/>
  <c r="AP345" i="5"/>
  <c r="AR345" i="5" s="1"/>
  <c r="AP498" i="5"/>
  <c r="AQ498" i="5" s="1"/>
  <c r="AP496" i="5"/>
  <c r="AQ496" i="5" s="1"/>
  <c r="AP392" i="5"/>
  <c r="AR392" i="5" s="1"/>
  <c r="AP428" i="5"/>
  <c r="AR428" i="5" s="1"/>
  <c r="AP194" i="5"/>
  <c r="AQ194" i="5" s="1"/>
  <c r="AP524" i="5"/>
  <c r="AQ524" i="5" s="1"/>
  <c r="AP142" i="5"/>
  <c r="AR142" i="5" s="1"/>
  <c r="AP544" i="5"/>
  <c r="AR544" i="5" s="1"/>
  <c r="AP93" i="5"/>
  <c r="AR93" i="5" s="1"/>
  <c r="AP372" i="5"/>
  <c r="AR372" i="5" s="1"/>
  <c r="AP436" i="5"/>
  <c r="AQ436" i="5" s="1"/>
  <c r="AP158" i="5"/>
  <c r="AR158" i="5" s="1"/>
  <c r="AP45" i="5"/>
  <c r="AQ45" i="5" s="1"/>
  <c r="AP237" i="5"/>
  <c r="AQ237" i="5" s="1"/>
  <c r="AP34" i="5"/>
  <c r="AQ34" i="5" s="1"/>
  <c r="AP368" i="5"/>
  <c r="AQ368" i="5" s="1"/>
  <c r="AP330" i="5"/>
  <c r="AQ330" i="5" s="1"/>
  <c r="AP205" i="5"/>
  <c r="AQ205" i="5" s="1"/>
  <c r="AP522" i="5"/>
  <c r="AQ522" i="5" s="1"/>
  <c r="AP302" i="5"/>
  <c r="AR302" i="5" s="1"/>
  <c r="AP190" i="5"/>
  <c r="AR190" i="5" s="1"/>
  <c r="AP337" i="5"/>
  <c r="AQ337" i="5" s="1"/>
  <c r="AP22" i="5"/>
  <c r="AR22" i="5" s="1"/>
  <c r="AP257" i="5"/>
  <c r="AR257" i="5" s="1"/>
  <c r="AP558" i="5"/>
  <c r="AQ558" i="5" s="1"/>
  <c r="AP278" i="5"/>
  <c r="AQ278" i="5" s="1"/>
  <c r="AP438" i="5"/>
  <c r="AR438" i="5" s="1"/>
  <c r="AP477" i="5"/>
  <c r="AQ477" i="5" s="1"/>
  <c r="AP82" i="5"/>
  <c r="AQ82" i="5" s="1"/>
  <c r="AP20" i="5"/>
  <c r="AQ20" i="5" s="1"/>
  <c r="AP184" i="5"/>
  <c r="AR184" i="5" s="1"/>
  <c r="AP545" i="5"/>
  <c r="AR545" i="5" s="1"/>
  <c r="AP402" i="5"/>
  <c r="AR402" i="5" s="1"/>
  <c r="AP444" i="5"/>
  <c r="AR444" i="5" s="1"/>
  <c r="AP259" i="5"/>
  <c r="AR259" i="5" s="1"/>
  <c r="AP417" i="5"/>
  <c r="AQ417" i="5" s="1"/>
  <c r="AP460" i="5"/>
  <c r="AR460" i="5" s="1"/>
  <c r="AP144" i="5"/>
  <c r="AQ144" i="5" s="1"/>
  <c r="AP165" i="5"/>
  <c r="AQ165" i="5" s="1"/>
  <c r="AP542" i="5"/>
  <c r="AR542" i="5" s="1"/>
  <c r="AP262" i="5"/>
  <c r="AQ262" i="5" s="1"/>
  <c r="AP87" i="5"/>
  <c r="AR87" i="5" s="1"/>
  <c r="AP103" i="5"/>
  <c r="AQ103" i="5" s="1"/>
  <c r="AP211" i="5"/>
  <c r="AR211" i="5" s="1"/>
  <c r="AP378" i="5"/>
  <c r="AQ378" i="5" s="1"/>
  <c r="AP138" i="5"/>
  <c r="AQ138" i="5" s="1"/>
  <c r="AP493" i="5"/>
  <c r="AQ493" i="5" s="1"/>
  <c r="AP495" i="5"/>
  <c r="AQ495" i="5" s="1"/>
  <c r="AP104" i="5"/>
  <c r="AR104" i="5" s="1"/>
  <c r="AP384" i="5"/>
  <c r="AQ384" i="5" s="1"/>
  <c r="AP261" i="5"/>
  <c r="AQ261" i="5" s="1"/>
  <c r="AP70" i="5"/>
  <c r="AQ70" i="5" s="1"/>
  <c r="AP56" i="5"/>
  <c r="AQ56" i="5" s="1"/>
  <c r="AP397" i="5"/>
  <c r="AQ397" i="5" s="1"/>
  <c r="AP457" i="5"/>
  <c r="AR457" i="5" s="1"/>
  <c r="AP370" i="5"/>
  <c r="AR370" i="5" s="1"/>
  <c r="AP454" i="5"/>
  <c r="AR454" i="5" s="1"/>
  <c r="AP318" i="5"/>
  <c r="AR318" i="5" s="1"/>
  <c r="U312" i="5"/>
  <c r="V312" i="5"/>
  <c r="AN150" i="5"/>
  <c r="AO150" i="5"/>
  <c r="AO399" i="5"/>
  <c r="AN399" i="5"/>
  <c r="AO381" i="5"/>
  <c r="AN381" i="5"/>
  <c r="AO60" i="5"/>
  <c r="AN60" i="5"/>
  <c r="AO408" i="5"/>
  <c r="AN408" i="5"/>
  <c r="U427" i="5"/>
  <c r="V427" i="5"/>
  <c r="U409" i="5"/>
  <c r="V409" i="5"/>
  <c r="U271" i="5"/>
  <c r="V271" i="5"/>
  <c r="V557" i="5"/>
  <c r="U557" i="5"/>
  <c r="AN59" i="5"/>
  <c r="AO59" i="5"/>
  <c r="AP533" i="5"/>
  <c r="AQ533" i="5" s="1"/>
  <c r="AP404" i="5"/>
  <c r="AR404" i="5" s="1"/>
  <c r="AP488" i="5"/>
  <c r="AR488" i="5" s="1"/>
  <c r="AP291" i="5"/>
  <c r="AR291" i="5" s="1"/>
  <c r="AP260" i="5"/>
  <c r="AQ260" i="5" s="1"/>
  <c r="AP37" i="5"/>
  <c r="AR37" i="5" s="1"/>
  <c r="AP422" i="5"/>
  <c r="AQ422" i="5" s="1"/>
  <c r="AP226" i="5"/>
  <c r="AQ226" i="5" s="1"/>
  <c r="AP420" i="5"/>
  <c r="AR420" i="5" s="1"/>
  <c r="U384" i="5"/>
  <c r="V384" i="5"/>
  <c r="AN254" i="5"/>
  <c r="AO254" i="5"/>
  <c r="AO361" i="5"/>
  <c r="AN361" i="5"/>
  <c r="AO478" i="5"/>
  <c r="AN478" i="5"/>
  <c r="AN398" i="5"/>
  <c r="AO398" i="5"/>
  <c r="AN511" i="5"/>
  <c r="AO511" i="5"/>
  <c r="AO271" i="5"/>
  <c r="AN271" i="5"/>
  <c r="AN503" i="5"/>
  <c r="AO503" i="5"/>
  <c r="AN373" i="5"/>
  <c r="AO373" i="5"/>
  <c r="AO146" i="5"/>
  <c r="AN146" i="5"/>
  <c r="AO401" i="5"/>
  <c r="AN401" i="5"/>
  <c r="AN143" i="5"/>
  <c r="AO143" i="5"/>
  <c r="AN441" i="5"/>
  <c r="AO441" i="5"/>
  <c r="AN226" i="5"/>
  <c r="AO226" i="5"/>
  <c r="AO542" i="5"/>
  <c r="AN542" i="5"/>
  <c r="AN377" i="5"/>
  <c r="AO377" i="5"/>
  <c r="AO190" i="5"/>
  <c r="AN190" i="5"/>
  <c r="AO553" i="5"/>
  <c r="AN553" i="5"/>
  <c r="AN321" i="5"/>
  <c r="AO321" i="5"/>
  <c r="AN21" i="5"/>
  <c r="AO21" i="5"/>
  <c r="AN196" i="5"/>
  <c r="AO196" i="5"/>
  <c r="AN36" i="5"/>
  <c r="AO36" i="5"/>
  <c r="AM47" i="4"/>
  <c r="AN47" i="4" s="1"/>
  <c r="W47" i="4"/>
  <c r="AN257" i="5"/>
  <c r="AO257" i="5"/>
  <c r="AM111" i="4"/>
  <c r="AN111" i="4" s="1"/>
  <c r="W111" i="4"/>
  <c r="Y111" i="4" s="1"/>
  <c r="Z111" i="4" s="1"/>
  <c r="AN376" i="5"/>
  <c r="AO376" i="5"/>
  <c r="AM93" i="4"/>
  <c r="AN93" i="4" s="1"/>
  <c r="W93" i="4"/>
  <c r="U88" i="5"/>
  <c r="V88" i="5"/>
  <c r="AN248" i="5"/>
  <c r="AO248" i="5"/>
  <c r="AO57" i="5"/>
  <c r="AN57" i="5"/>
  <c r="U24" i="5"/>
  <c r="V24" i="5"/>
  <c r="AO280" i="5"/>
  <c r="AN280" i="5"/>
  <c r="U376" i="5"/>
  <c r="V376" i="5"/>
  <c r="AM40" i="4"/>
  <c r="AN40" i="4" s="1"/>
  <c r="W40" i="4"/>
  <c r="Y40" i="4" s="1"/>
  <c r="Z40" i="4" s="1"/>
  <c r="AF40" i="4" s="1"/>
  <c r="V309" i="5"/>
  <c r="U309" i="5"/>
  <c r="V497" i="5"/>
  <c r="U497" i="5"/>
  <c r="U490" i="5"/>
  <c r="V490" i="5"/>
  <c r="V556" i="5"/>
  <c r="U556" i="5"/>
  <c r="V541" i="5"/>
  <c r="U541" i="5"/>
  <c r="U421" i="5"/>
  <c r="V421" i="5"/>
  <c r="V370" i="5"/>
  <c r="U370" i="5"/>
  <c r="U404" i="5"/>
  <c r="V404" i="5"/>
  <c r="V551" i="5"/>
  <c r="U551" i="5"/>
  <c r="V483" i="5"/>
  <c r="U483" i="5"/>
  <c r="U365" i="5"/>
  <c r="V365" i="5"/>
  <c r="V343" i="5"/>
  <c r="U343" i="5"/>
  <c r="U241" i="5"/>
  <c r="V241" i="5"/>
  <c r="U137" i="5"/>
  <c r="V137" i="5"/>
  <c r="V543" i="5"/>
  <c r="U543" i="5"/>
  <c r="V358" i="5"/>
  <c r="U358" i="5"/>
  <c r="V294" i="5"/>
  <c r="U294" i="5"/>
  <c r="U335" i="5"/>
  <c r="V335" i="5"/>
  <c r="U265" i="5"/>
  <c r="V265" i="5"/>
  <c r="U130" i="5"/>
  <c r="V130" i="5"/>
  <c r="U527" i="5"/>
  <c r="V527" i="5"/>
  <c r="U333" i="5"/>
  <c r="V333" i="5"/>
  <c r="V361" i="5"/>
  <c r="U361" i="5"/>
  <c r="U330" i="5"/>
  <c r="V330" i="5"/>
  <c r="V263" i="5"/>
  <c r="U263" i="5"/>
  <c r="U119" i="5"/>
  <c r="V119" i="5"/>
  <c r="V545" i="5"/>
  <c r="U545" i="5"/>
  <c r="U501" i="5"/>
  <c r="V501" i="5"/>
  <c r="V355" i="5"/>
  <c r="U355" i="5"/>
  <c r="U326" i="5"/>
  <c r="V326" i="5"/>
  <c r="U260" i="5"/>
  <c r="V260" i="5"/>
  <c r="U115" i="5"/>
  <c r="V115" i="5"/>
  <c r="U505" i="5"/>
  <c r="V505" i="5"/>
  <c r="U369" i="5"/>
  <c r="V369" i="5"/>
  <c r="U258" i="5"/>
  <c r="V258" i="5"/>
  <c r="U206" i="5"/>
  <c r="V206" i="5"/>
  <c r="U36" i="5"/>
  <c r="V36" i="5"/>
  <c r="U463" i="5"/>
  <c r="V463" i="5"/>
  <c r="V499" i="5"/>
  <c r="U499" i="5"/>
  <c r="U341" i="5"/>
  <c r="V341" i="5"/>
  <c r="V299" i="5"/>
  <c r="U299" i="5"/>
  <c r="V215" i="5"/>
  <c r="U215" i="5"/>
  <c r="V63" i="5"/>
  <c r="U63" i="5"/>
  <c r="U517" i="5"/>
  <c r="V517" i="5"/>
  <c r="U385" i="5"/>
  <c r="V385" i="5"/>
  <c r="V292" i="5"/>
  <c r="U292" i="5"/>
  <c r="U211" i="5"/>
  <c r="V211" i="5"/>
  <c r="V39" i="5"/>
  <c r="U39" i="5"/>
  <c r="U94" i="5"/>
  <c r="V94" i="5"/>
  <c r="U66" i="5"/>
  <c r="V66" i="5"/>
  <c r="U70" i="5"/>
  <c r="V70" i="5"/>
  <c r="U448" i="5"/>
  <c r="V448" i="5"/>
  <c r="AP218" i="5"/>
  <c r="AR218" i="5" s="1"/>
  <c r="AO507" i="5"/>
  <c r="AN507" i="5"/>
  <c r="AO316" i="5"/>
  <c r="AN316" i="5"/>
  <c r="V456" i="5"/>
  <c r="U456" i="5"/>
  <c r="U248" i="5"/>
  <c r="V248" i="5"/>
  <c r="V297" i="5"/>
  <c r="U297" i="5"/>
  <c r="V548" i="5"/>
  <c r="U548" i="5"/>
  <c r="U396" i="5"/>
  <c r="V396" i="5"/>
  <c r="U430" i="5"/>
  <c r="V430" i="5"/>
  <c r="AP535" i="5"/>
  <c r="AQ535" i="5" s="1"/>
  <c r="AP551" i="5"/>
  <c r="AQ551" i="5" s="1"/>
  <c r="AP327" i="5"/>
  <c r="AQ327" i="5" s="1"/>
  <c r="AP134" i="5"/>
  <c r="AR134" i="5" s="1"/>
  <c r="AP326" i="5"/>
  <c r="AR326" i="5" s="1"/>
  <c r="AP463" i="5"/>
  <c r="AQ463" i="5" s="1"/>
  <c r="AP77" i="5"/>
  <c r="AR77" i="5" s="1"/>
  <c r="AP126" i="5"/>
  <c r="AQ126" i="5" s="1"/>
  <c r="AP117" i="5"/>
  <c r="AQ117" i="5" s="1"/>
  <c r="AP530" i="5"/>
  <c r="AR530" i="5" s="1"/>
  <c r="AP321" i="5"/>
  <c r="AQ321" i="5" s="1"/>
  <c r="AN368" i="5"/>
  <c r="AO368" i="5"/>
  <c r="AO279" i="5"/>
  <c r="AN279" i="5"/>
  <c r="AN182" i="5"/>
  <c r="AO182" i="5"/>
  <c r="AO393" i="5"/>
  <c r="AN393" i="5"/>
  <c r="AO275" i="5"/>
  <c r="AN275" i="5"/>
  <c r="AN403" i="5"/>
  <c r="AO403" i="5"/>
  <c r="AN183" i="5"/>
  <c r="AO183" i="5"/>
  <c r="AO453" i="5"/>
  <c r="AN453" i="5"/>
  <c r="AN330" i="5"/>
  <c r="AO330" i="5"/>
  <c r="AO54" i="5"/>
  <c r="AN54" i="5"/>
  <c r="AO342" i="5"/>
  <c r="AN342" i="5"/>
  <c r="AN138" i="5"/>
  <c r="AO138" i="5"/>
  <c r="AN470" i="5"/>
  <c r="AO470" i="5"/>
  <c r="AN213" i="5"/>
  <c r="AO213" i="5"/>
  <c r="AO558" i="5"/>
  <c r="AN558" i="5"/>
  <c r="AN428" i="5"/>
  <c r="AO428" i="5"/>
  <c r="AN180" i="5"/>
  <c r="AO180" i="5"/>
  <c r="AN545" i="5"/>
  <c r="AO545" i="5"/>
  <c r="AO303" i="5"/>
  <c r="AN303" i="5"/>
  <c r="AO22" i="5"/>
  <c r="AN22" i="5"/>
  <c r="AN201" i="5"/>
  <c r="AO201" i="5"/>
  <c r="AM69" i="4"/>
  <c r="AN69" i="4" s="1"/>
  <c r="W69" i="4"/>
  <c r="U504" i="5"/>
  <c r="V504" i="5"/>
  <c r="AN337" i="5"/>
  <c r="AO337" i="5"/>
  <c r="V336" i="5"/>
  <c r="U336" i="5"/>
  <c r="AM71" i="4"/>
  <c r="AN71" i="4" s="1"/>
  <c r="W71" i="4"/>
  <c r="Y71" i="4" s="1"/>
  <c r="Z71" i="4" s="1"/>
  <c r="AF71" i="4" s="1"/>
  <c r="AN344" i="5"/>
  <c r="AO344" i="5"/>
  <c r="AO308" i="5"/>
  <c r="AN308" i="5"/>
  <c r="AN120" i="5"/>
  <c r="AO120" i="5"/>
  <c r="V224" i="5"/>
  <c r="U224" i="5"/>
  <c r="AO177" i="5"/>
  <c r="AN177" i="5"/>
  <c r="U264" i="5"/>
  <c r="V264" i="5"/>
  <c r="V480" i="5"/>
  <c r="U480" i="5"/>
  <c r="U314" i="5"/>
  <c r="V314" i="5"/>
  <c r="V444" i="5"/>
  <c r="U444" i="5"/>
  <c r="U422" i="5"/>
  <c r="V422" i="5"/>
  <c r="U395" i="5"/>
  <c r="V395" i="5"/>
  <c r="V491" i="5"/>
  <c r="U491" i="5"/>
  <c r="U325" i="5"/>
  <c r="V325" i="5"/>
  <c r="V390" i="5"/>
  <c r="U390" i="5"/>
  <c r="U359" i="5"/>
  <c r="V359" i="5"/>
  <c r="U450" i="5"/>
  <c r="V450" i="5"/>
  <c r="U459" i="5"/>
  <c r="V459" i="5"/>
  <c r="U319" i="5"/>
  <c r="V319" i="5"/>
  <c r="V305" i="5"/>
  <c r="U305" i="5"/>
  <c r="U210" i="5"/>
  <c r="V210" i="5"/>
  <c r="U126" i="5"/>
  <c r="V126" i="5"/>
  <c r="V426" i="5"/>
  <c r="U426" i="5"/>
  <c r="U347" i="5"/>
  <c r="V347" i="5"/>
  <c r="V407" i="5"/>
  <c r="U407" i="5"/>
  <c r="V303" i="5"/>
  <c r="U303" i="5"/>
  <c r="U207" i="5"/>
  <c r="V207" i="5"/>
  <c r="U131" i="5"/>
  <c r="V131" i="5"/>
  <c r="U412" i="5"/>
  <c r="V412" i="5"/>
  <c r="U503" i="5"/>
  <c r="V503" i="5"/>
  <c r="U275" i="5"/>
  <c r="V275" i="5"/>
  <c r="V300" i="5"/>
  <c r="U300" i="5"/>
  <c r="V236" i="5"/>
  <c r="U236" i="5"/>
  <c r="U123" i="5"/>
  <c r="V123" i="5"/>
  <c r="U465" i="5"/>
  <c r="V465" i="5"/>
  <c r="U474" i="5"/>
  <c r="V474" i="5"/>
  <c r="U391" i="5"/>
  <c r="V391" i="5"/>
  <c r="V298" i="5"/>
  <c r="U298" i="5"/>
  <c r="U235" i="5"/>
  <c r="V235" i="5"/>
  <c r="U101" i="5"/>
  <c r="V101" i="5"/>
  <c r="U460" i="5"/>
  <c r="V460" i="5"/>
  <c r="V433" i="5"/>
  <c r="U433" i="5"/>
  <c r="V327" i="5"/>
  <c r="U327" i="5"/>
  <c r="U172" i="5"/>
  <c r="V172" i="5"/>
  <c r="U479" i="5"/>
  <c r="V479" i="5"/>
  <c r="U434" i="5"/>
  <c r="V434" i="5"/>
  <c r="U458" i="5"/>
  <c r="V458" i="5"/>
  <c r="V429" i="5"/>
  <c r="U429" i="5"/>
  <c r="V251" i="5"/>
  <c r="U251" i="5"/>
  <c r="V204" i="5"/>
  <c r="U204" i="5"/>
  <c r="U22" i="5"/>
  <c r="V22" i="5"/>
  <c r="U431" i="5"/>
  <c r="V431" i="5"/>
  <c r="V317" i="5"/>
  <c r="U317" i="5"/>
  <c r="U250" i="5"/>
  <c r="V250" i="5"/>
  <c r="V201" i="5"/>
  <c r="U201" i="5"/>
  <c r="V139" i="5"/>
  <c r="U139" i="5"/>
  <c r="V41" i="5"/>
  <c r="U41" i="5"/>
  <c r="V33" i="5"/>
  <c r="U33" i="5"/>
  <c r="U34" i="5"/>
  <c r="V34" i="5"/>
  <c r="V296" i="5"/>
  <c r="U296" i="5"/>
  <c r="U432" i="5"/>
  <c r="V432" i="5"/>
  <c r="AO78" i="5"/>
  <c r="AN78" i="5"/>
  <c r="AO181" i="5"/>
  <c r="AN181" i="5"/>
  <c r="AO134" i="5"/>
  <c r="AN134" i="5"/>
  <c r="AO166" i="5"/>
  <c r="AN166" i="5"/>
  <c r="U440" i="5"/>
  <c r="V440" i="5"/>
  <c r="V476" i="5"/>
  <c r="U476" i="5"/>
  <c r="V291" i="5"/>
  <c r="U291" i="5"/>
  <c r="U281" i="5"/>
  <c r="V281" i="5"/>
  <c r="V229" i="5"/>
  <c r="U229" i="5"/>
  <c r="U269" i="5"/>
  <c r="V269" i="5"/>
  <c r="U268" i="5"/>
  <c r="V268" i="5"/>
  <c r="U133" i="5"/>
  <c r="V133" i="5"/>
  <c r="U346" i="5"/>
  <c r="V346" i="5"/>
  <c r="U154" i="5"/>
  <c r="V154" i="5"/>
  <c r="V38" i="5"/>
  <c r="U38" i="5"/>
  <c r="AM64" i="4"/>
  <c r="AN64" i="4" s="1"/>
  <c r="W64" i="4"/>
  <c r="X64" i="4" s="1"/>
  <c r="AJ64" i="4" s="1"/>
  <c r="AP78" i="5"/>
  <c r="AQ78" i="5" s="1"/>
  <c r="AP448" i="5"/>
  <c r="AQ448" i="5" s="1"/>
  <c r="AP487" i="5"/>
  <c r="AR487" i="5" s="1"/>
  <c r="U8" i="5"/>
  <c r="V8" i="5"/>
  <c r="AN288" i="5"/>
  <c r="AO288" i="5"/>
  <c r="AN378" i="5"/>
  <c r="AO378" i="5"/>
  <c r="AO516" i="5"/>
  <c r="AN516" i="5"/>
  <c r="AO529" i="5"/>
  <c r="AN529" i="5"/>
  <c r="AN522" i="5"/>
  <c r="AO522" i="5"/>
  <c r="AN19" i="5"/>
  <c r="AO19" i="5"/>
  <c r="AO366" i="5"/>
  <c r="AN366" i="5"/>
  <c r="AN154" i="5"/>
  <c r="AO154" i="5"/>
  <c r="AO391" i="5"/>
  <c r="AN391" i="5"/>
  <c r="AO269" i="5"/>
  <c r="AN269" i="5"/>
  <c r="AN524" i="5"/>
  <c r="AO524" i="5"/>
  <c r="AO250" i="5"/>
  <c r="AN250" i="5"/>
  <c r="AN55" i="5"/>
  <c r="AO55" i="5"/>
  <c r="AN386" i="5"/>
  <c r="AO386" i="5"/>
  <c r="AO126" i="5"/>
  <c r="AN126" i="5"/>
  <c r="AO489" i="5"/>
  <c r="AN489" i="5"/>
  <c r="AN310" i="5"/>
  <c r="AO310" i="5"/>
  <c r="AO86" i="5"/>
  <c r="AN86" i="5"/>
  <c r="AO461" i="5"/>
  <c r="AN461" i="5"/>
  <c r="AN214" i="5"/>
  <c r="AO214" i="5"/>
  <c r="AO357" i="5"/>
  <c r="AN357" i="5"/>
  <c r="AN124" i="5"/>
  <c r="AO124" i="5"/>
  <c r="V80" i="5"/>
  <c r="U80" i="5"/>
  <c r="V288" i="5"/>
  <c r="U288" i="5"/>
  <c r="AM126" i="4"/>
  <c r="AN126" i="4" s="1"/>
  <c r="W126" i="4"/>
  <c r="X126" i="4" s="1"/>
  <c r="AM19" i="4"/>
  <c r="AN19" i="4" s="1"/>
  <c r="W19" i="4"/>
  <c r="Y19" i="4" s="1"/>
  <c r="Z19" i="4" s="1"/>
  <c r="AF19" i="4" s="1"/>
  <c r="AN148" i="5"/>
  <c r="AO148" i="5"/>
  <c r="U56" i="5"/>
  <c r="V56" i="5"/>
  <c r="W30" i="4"/>
  <c r="Y30" i="4" s="1"/>
  <c r="AN424" i="5"/>
  <c r="AO424" i="5"/>
  <c r="AM100" i="4"/>
  <c r="AN100" i="4" s="1"/>
  <c r="W100" i="4"/>
  <c r="U496" i="5"/>
  <c r="V496" i="5"/>
  <c r="V344" i="5"/>
  <c r="U344" i="5"/>
  <c r="AO448" i="5"/>
  <c r="AN448" i="5"/>
  <c r="AM44" i="4"/>
  <c r="AN44" i="4" s="1"/>
  <c r="W44" i="4"/>
  <c r="Y44" i="4" s="1"/>
  <c r="Z44" i="4" s="1"/>
  <c r="U100" i="5"/>
  <c r="V100" i="5"/>
  <c r="U462" i="5"/>
  <c r="V462" i="5"/>
  <c r="V418" i="5"/>
  <c r="U418" i="5"/>
  <c r="V380" i="5"/>
  <c r="U380" i="5"/>
  <c r="U242" i="5"/>
  <c r="V242" i="5"/>
  <c r="V69" i="5"/>
  <c r="U69" i="5"/>
  <c r="V67" i="5"/>
  <c r="U67" i="5"/>
  <c r="U194" i="5"/>
  <c r="V194" i="5"/>
  <c r="V338" i="5"/>
  <c r="U338" i="5"/>
  <c r="U515" i="5"/>
  <c r="V515" i="5"/>
  <c r="U247" i="5"/>
  <c r="V247" i="5"/>
  <c r="U253" i="5"/>
  <c r="V253" i="5"/>
  <c r="U205" i="5"/>
  <c r="V205" i="5"/>
  <c r="U50" i="5"/>
  <c r="V50" i="5"/>
  <c r="U529" i="5"/>
  <c r="V529" i="5"/>
  <c r="U478" i="5"/>
  <c r="V478" i="5"/>
  <c r="V214" i="5"/>
  <c r="U214" i="5"/>
  <c r="U246" i="5"/>
  <c r="V246" i="5"/>
  <c r="V239" i="5"/>
  <c r="U239" i="5"/>
  <c r="U92" i="5"/>
  <c r="V92" i="5"/>
  <c r="V560" i="5"/>
  <c r="U560" i="5"/>
  <c r="U454" i="5"/>
  <c r="V454" i="5"/>
  <c r="U372" i="5"/>
  <c r="V372" i="5"/>
  <c r="U231" i="5"/>
  <c r="V231" i="5"/>
  <c r="V227" i="5"/>
  <c r="U227" i="5"/>
  <c r="V61" i="5"/>
  <c r="U61" i="5"/>
  <c r="U493" i="5"/>
  <c r="V493" i="5"/>
  <c r="U537" i="5"/>
  <c r="V537" i="5"/>
  <c r="U436" i="5"/>
  <c r="V436" i="5"/>
  <c r="U226" i="5"/>
  <c r="V226" i="5"/>
  <c r="U212" i="5"/>
  <c r="V212" i="5"/>
  <c r="U53" i="5"/>
  <c r="V53" i="5"/>
  <c r="U414" i="5"/>
  <c r="V414" i="5"/>
  <c r="U366" i="5"/>
  <c r="V366" i="5"/>
  <c r="U254" i="5"/>
  <c r="V254" i="5"/>
  <c r="U134" i="5"/>
  <c r="V134" i="5"/>
  <c r="V555" i="5"/>
  <c r="U555" i="5"/>
  <c r="U519" i="5"/>
  <c r="V519" i="5"/>
  <c r="U411" i="5"/>
  <c r="V411" i="5"/>
  <c r="V315" i="5"/>
  <c r="U315" i="5"/>
  <c r="U279" i="5"/>
  <c r="V279" i="5"/>
  <c r="U118" i="5"/>
  <c r="V118" i="5"/>
  <c r="V531" i="5"/>
  <c r="U531" i="5"/>
  <c r="V494" i="5"/>
  <c r="U494" i="5"/>
  <c r="V362" i="5"/>
  <c r="U362" i="5"/>
  <c r="V274" i="5"/>
  <c r="U274" i="5"/>
  <c r="U187" i="5"/>
  <c r="V187" i="5"/>
  <c r="U98" i="5"/>
  <c r="V98" i="5"/>
  <c r="V47" i="5"/>
  <c r="U47" i="5"/>
  <c r="U84" i="5"/>
  <c r="V84" i="5"/>
  <c r="AO20" i="5"/>
  <c r="AN20" i="5"/>
  <c r="AM9" i="4"/>
  <c r="AN9" i="4" s="1"/>
  <c r="W9" i="4"/>
  <c r="Y9" i="4" s="1"/>
  <c r="Z9" i="4" s="1"/>
  <c r="AF9" i="4" s="1"/>
  <c r="AN216" i="5"/>
  <c r="AO216" i="5"/>
  <c r="AN151" i="5"/>
  <c r="AO151" i="5"/>
  <c r="AO84" i="5"/>
  <c r="AN84" i="5"/>
  <c r="AN101" i="5"/>
  <c r="AO101" i="5"/>
  <c r="AM116" i="4"/>
  <c r="AN116" i="4" s="1"/>
  <c r="U512" i="5"/>
  <c r="V512" i="5"/>
  <c r="U435" i="5"/>
  <c r="V435" i="5"/>
  <c r="U244" i="5"/>
  <c r="V244" i="5"/>
  <c r="U82" i="5"/>
  <c r="V82" i="5"/>
  <c r="U484" i="5"/>
  <c r="V484" i="5"/>
  <c r="U453" i="5"/>
  <c r="V453" i="5"/>
  <c r="V57" i="5"/>
  <c r="U57" i="5"/>
  <c r="V549" i="5"/>
  <c r="U549" i="5"/>
  <c r="V428" i="5"/>
  <c r="U428" i="5"/>
  <c r="V322" i="5"/>
  <c r="U322" i="5"/>
  <c r="U393" i="5"/>
  <c r="V393" i="5"/>
  <c r="V27" i="5"/>
  <c r="U27" i="5"/>
  <c r="AP101" i="5"/>
  <c r="AR101" i="5" s="1"/>
  <c r="AP143" i="5"/>
  <c r="AR143" i="5" s="1"/>
  <c r="W91" i="4"/>
  <c r="X91" i="4" s="1"/>
  <c r="AP81" i="5"/>
  <c r="AQ81" i="5" s="1"/>
  <c r="U256" i="5"/>
  <c r="V256" i="5"/>
  <c r="V320" i="5"/>
  <c r="U320" i="5"/>
  <c r="AO290" i="5"/>
  <c r="AN290" i="5"/>
  <c r="AN245" i="5"/>
  <c r="AO245" i="5"/>
  <c r="AO429" i="5"/>
  <c r="AN429" i="5"/>
  <c r="AO471" i="5"/>
  <c r="AN471" i="5"/>
  <c r="AO407" i="5"/>
  <c r="AN407" i="5"/>
  <c r="AO417" i="5"/>
  <c r="AN417" i="5"/>
  <c r="AN90" i="5"/>
  <c r="AO90" i="5"/>
  <c r="AN452" i="5"/>
  <c r="AO452" i="5"/>
  <c r="AN266" i="5"/>
  <c r="AO266" i="5"/>
  <c r="AN425" i="5"/>
  <c r="AO425" i="5"/>
  <c r="AO329" i="5"/>
  <c r="AN329" i="5"/>
  <c r="AO44" i="5"/>
  <c r="AN44" i="5"/>
  <c r="AO319" i="5"/>
  <c r="AN319" i="5"/>
  <c r="AO94" i="5"/>
  <c r="AN94" i="5"/>
  <c r="AO405" i="5"/>
  <c r="AN405" i="5"/>
  <c r="AN188" i="5"/>
  <c r="AO188" i="5"/>
  <c r="AO76" i="5"/>
  <c r="AN76" i="5"/>
  <c r="AN375" i="5"/>
  <c r="AO375" i="5"/>
  <c r="AN165" i="5"/>
  <c r="AO165" i="5"/>
  <c r="AO295" i="5"/>
  <c r="AN295" i="5"/>
  <c r="AN100" i="5"/>
  <c r="AO100" i="5"/>
  <c r="V368" i="5"/>
  <c r="U368" i="5"/>
  <c r="W86" i="4"/>
  <c r="AN236" i="5"/>
  <c r="AO236" i="5"/>
  <c r="AO208" i="5"/>
  <c r="AN208" i="5"/>
  <c r="U400" i="5"/>
  <c r="V400" i="5"/>
  <c r="V112" i="5"/>
  <c r="U112" i="5"/>
  <c r="AO144" i="5"/>
  <c r="AN144" i="5"/>
  <c r="U526" i="5"/>
  <c r="V526" i="5"/>
  <c r="AM137" i="4"/>
  <c r="AN137" i="4" s="1"/>
  <c r="W137" i="4"/>
  <c r="AO480" i="5"/>
  <c r="AN480" i="5"/>
  <c r="AO300" i="5"/>
  <c r="AN300" i="5"/>
  <c r="V328" i="5"/>
  <c r="U328" i="5"/>
  <c r="AO35" i="5"/>
  <c r="AN35" i="5"/>
  <c r="U518" i="5"/>
  <c r="V518" i="5"/>
  <c r="U349" i="5"/>
  <c r="V349" i="5"/>
  <c r="U307" i="5"/>
  <c r="V307" i="5"/>
  <c r="V285" i="5"/>
  <c r="U285" i="5"/>
  <c r="U141" i="5"/>
  <c r="V141" i="5"/>
  <c r="U19" i="5"/>
  <c r="V19" i="5"/>
  <c r="U552" i="5"/>
  <c r="V552" i="5"/>
  <c r="V44" i="5"/>
  <c r="U44" i="5"/>
  <c r="U510" i="5"/>
  <c r="V510" i="5"/>
  <c r="V481" i="5"/>
  <c r="U481" i="5"/>
  <c r="U420" i="5"/>
  <c r="V420" i="5"/>
  <c r="U323" i="5"/>
  <c r="V323" i="5"/>
  <c r="U190" i="5"/>
  <c r="V190" i="5"/>
  <c r="U28" i="5"/>
  <c r="V28" i="5"/>
  <c r="V506" i="5"/>
  <c r="U506" i="5"/>
  <c r="U443" i="5"/>
  <c r="V443" i="5"/>
  <c r="V415" i="5"/>
  <c r="U415" i="5"/>
  <c r="V316" i="5"/>
  <c r="U316" i="5"/>
  <c r="U203" i="5"/>
  <c r="V203" i="5"/>
  <c r="U30" i="5"/>
  <c r="V30" i="5"/>
  <c r="U495" i="5"/>
  <c r="V495" i="5"/>
  <c r="V339" i="5"/>
  <c r="U339" i="5"/>
  <c r="U437" i="5"/>
  <c r="V437" i="5"/>
  <c r="V313" i="5"/>
  <c r="U313" i="5"/>
  <c r="U196" i="5"/>
  <c r="V196" i="5"/>
  <c r="U502" i="5"/>
  <c r="V502" i="5"/>
  <c r="U470" i="5"/>
  <c r="V470" i="5"/>
  <c r="V507" i="5"/>
  <c r="U507" i="5"/>
  <c r="U405" i="5"/>
  <c r="V405" i="5"/>
  <c r="V311" i="5"/>
  <c r="U311" i="5"/>
  <c r="V188" i="5"/>
  <c r="U188" i="5"/>
  <c r="Q10" i="5"/>
  <c r="AG10" i="5"/>
  <c r="T10" i="5"/>
  <c r="AM10" i="5"/>
  <c r="W10" i="5"/>
  <c r="V383" i="5"/>
  <c r="U383" i="5"/>
  <c r="V329" i="5"/>
  <c r="U329" i="5"/>
  <c r="U233" i="5"/>
  <c r="V233" i="5"/>
  <c r="U114" i="5"/>
  <c r="V114" i="5"/>
  <c r="U514" i="5"/>
  <c r="V514" i="5"/>
  <c r="U498" i="5"/>
  <c r="V498" i="5"/>
  <c r="U382" i="5"/>
  <c r="V382" i="5"/>
  <c r="U356" i="5"/>
  <c r="V356" i="5"/>
  <c r="U252" i="5"/>
  <c r="V252" i="5"/>
  <c r="U125" i="5"/>
  <c r="V125" i="5"/>
  <c r="V487" i="5"/>
  <c r="U487" i="5"/>
  <c r="V451" i="5"/>
  <c r="U451" i="5"/>
  <c r="U354" i="5"/>
  <c r="V354" i="5"/>
  <c r="U249" i="5"/>
  <c r="V249" i="5"/>
  <c r="V151" i="5"/>
  <c r="U151" i="5"/>
  <c r="U74" i="5"/>
  <c r="V74" i="5"/>
  <c r="V26" i="5"/>
  <c r="U26" i="5"/>
  <c r="U87" i="5"/>
  <c r="V87" i="5"/>
  <c r="AN292" i="5"/>
  <c r="AO292" i="5"/>
  <c r="V546" i="5"/>
  <c r="U546" i="5"/>
  <c r="AO456" i="5"/>
  <c r="AN456" i="5"/>
  <c r="AO255" i="5"/>
  <c r="AN255" i="5"/>
  <c r="AO229" i="5"/>
  <c r="AN229" i="5"/>
  <c r="U472" i="5"/>
  <c r="V472" i="5"/>
  <c r="U464" i="5"/>
  <c r="V464" i="5"/>
  <c r="U550" i="5"/>
  <c r="V550" i="5"/>
  <c r="U375" i="5"/>
  <c r="V375" i="5"/>
  <c r="U37" i="5"/>
  <c r="V37" i="5"/>
  <c r="U403" i="5"/>
  <c r="V403" i="5"/>
  <c r="U377" i="5"/>
  <c r="V377" i="5"/>
  <c r="V161" i="5"/>
  <c r="U161" i="5"/>
  <c r="U91" i="5"/>
  <c r="V91" i="5"/>
  <c r="U280" i="5"/>
  <c r="V280" i="5"/>
  <c r="AP229" i="5"/>
  <c r="AR229" i="5" s="1"/>
  <c r="AP131" i="5"/>
  <c r="AQ131" i="5" s="1"/>
  <c r="AP94" i="5"/>
  <c r="AQ94" i="5" s="1"/>
  <c r="AP274" i="5"/>
  <c r="AQ274" i="5" s="1"/>
  <c r="AP79" i="5"/>
  <c r="AR79" i="5" s="1"/>
  <c r="AP127" i="5"/>
  <c r="AR127" i="5" s="1"/>
  <c r="AM68" i="4"/>
  <c r="AN68" i="4" s="1"/>
  <c r="W68" i="4"/>
  <c r="AO95" i="5"/>
  <c r="AN95" i="5"/>
  <c r="AN202" i="5"/>
  <c r="AO202" i="5"/>
  <c r="AO350" i="5"/>
  <c r="AN350" i="5"/>
  <c r="AN351" i="5"/>
  <c r="AO351" i="5"/>
  <c r="AO517" i="5"/>
  <c r="AN517" i="5"/>
  <c r="AN345" i="5"/>
  <c r="AO345" i="5"/>
  <c r="AO483" i="5"/>
  <c r="AN483" i="5"/>
  <c r="AN364" i="5"/>
  <c r="AO364" i="5"/>
  <c r="AN244" i="5"/>
  <c r="AO244" i="5"/>
  <c r="AN502" i="5"/>
  <c r="AO502" i="5"/>
  <c r="AO247" i="5"/>
  <c r="AN247" i="5"/>
  <c r="AN559" i="5"/>
  <c r="AO559" i="5"/>
  <c r="AN315" i="5"/>
  <c r="AO315" i="5"/>
  <c r="AN77" i="5"/>
  <c r="AO77" i="5"/>
  <c r="AN468" i="5"/>
  <c r="AO468" i="5"/>
  <c r="AN323" i="5"/>
  <c r="AO323" i="5"/>
  <c r="AN52" i="5"/>
  <c r="AO52" i="5"/>
  <c r="AO414" i="5"/>
  <c r="AN414" i="5"/>
  <c r="AN170" i="5"/>
  <c r="AO170" i="5"/>
  <c r="AN317" i="5"/>
  <c r="AO317" i="5"/>
  <c r="AO74" i="5"/>
  <c r="AN74" i="5"/>
  <c r="U352" i="5"/>
  <c r="V352" i="5"/>
  <c r="AN440" i="5"/>
  <c r="AO440" i="5"/>
  <c r="AN203" i="5"/>
  <c r="AO203" i="5"/>
  <c r="U272" i="5"/>
  <c r="V272" i="5"/>
  <c r="U424" i="5"/>
  <c r="V424" i="5"/>
  <c r="AM77" i="4"/>
  <c r="W77" i="4"/>
  <c r="X77" i="4" s="1"/>
  <c r="AM150" i="4"/>
  <c r="AN150" i="4" s="1"/>
  <c r="W150" i="4"/>
  <c r="X150" i="4" s="1"/>
  <c r="AJ150" i="4" s="1"/>
  <c r="V304" i="5"/>
  <c r="U304" i="5"/>
  <c r="V208" i="5"/>
  <c r="U208" i="5"/>
  <c r="AN464" i="5"/>
  <c r="AO464" i="5"/>
  <c r="AM23" i="4"/>
  <c r="AN23" i="4" s="1"/>
  <c r="W23" i="4"/>
  <c r="AO107" i="5"/>
  <c r="AN107" i="5"/>
  <c r="V160" i="5"/>
  <c r="U160" i="5"/>
  <c r="AO99" i="5"/>
  <c r="AN99" i="5"/>
  <c r="W8" i="4"/>
  <c r="U536" i="5"/>
  <c r="V536" i="5"/>
  <c r="V273" i="5"/>
  <c r="U273" i="5"/>
  <c r="U146" i="5"/>
  <c r="V146" i="5"/>
  <c r="U221" i="5"/>
  <c r="V221" i="5"/>
  <c r="U419" i="5"/>
  <c r="V419" i="5"/>
  <c r="V553" i="5"/>
  <c r="U553" i="5"/>
  <c r="V539" i="5"/>
  <c r="U539" i="5"/>
  <c r="V523" i="5"/>
  <c r="U523" i="5"/>
  <c r="V482" i="5"/>
  <c r="U482" i="5"/>
  <c r="U447" i="5"/>
  <c r="V447" i="5"/>
  <c r="U387" i="5"/>
  <c r="V387" i="5"/>
  <c r="V237" i="5"/>
  <c r="U237" i="5"/>
  <c r="U79" i="5"/>
  <c r="V79" i="5"/>
  <c r="V520" i="5"/>
  <c r="U520" i="5"/>
  <c r="U477" i="5"/>
  <c r="V477" i="5"/>
  <c r="U324" i="5"/>
  <c r="V324" i="5"/>
  <c r="V381" i="5"/>
  <c r="U381" i="5"/>
  <c r="V284" i="5"/>
  <c r="U284" i="5"/>
  <c r="V186" i="5"/>
  <c r="U186" i="5"/>
  <c r="U509" i="5"/>
  <c r="V509" i="5"/>
  <c r="U473" i="5"/>
  <c r="V473" i="5"/>
  <c r="U508" i="5"/>
  <c r="V508" i="5"/>
  <c r="V410" i="5"/>
  <c r="U410" i="5"/>
  <c r="U276" i="5"/>
  <c r="V276" i="5"/>
  <c r="V185" i="5"/>
  <c r="U185" i="5"/>
  <c r="U559" i="5"/>
  <c r="V559" i="5"/>
  <c r="U439" i="5"/>
  <c r="V439" i="5"/>
  <c r="U466" i="5"/>
  <c r="V466" i="5"/>
  <c r="V367" i="5"/>
  <c r="U367" i="5"/>
  <c r="U266" i="5"/>
  <c r="V266" i="5"/>
  <c r="V183" i="5"/>
  <c r="U183" i="5"/>
  <c r="U471" i="5"/>
  <c r="V471" i="5"/>
  <c r="V353" i="5"/>
  <c r="U353" i="5"/>
  <c r="V262" i="5"/>
  <c r="U262" i="5"/>
  <c r="U180" i="5"/>
  <c r="V180" i="5"/>
  <c r="U109" i="5"/>
  <c r="V109" i="5"/>
  <c r="V544" i="5"/>
  <c r="U544" i="5"/>
  <c r="V468" i="5"/>
  <c r="U468" i="5"/>
  <c r="V348" i="5"/>
  <c r="U348" i="5"/>
  <c r="U293" i="5"/>
  <c r="V293" i="5"/>
  <c r="V230" i="5"/>
  <c r="U230" i="5"/>
  <c r="V156" i="5"/>
  <c r="U156" i="5"/>
  <c r="U461" i="5"/>
  <c r="V461" i="5"/>
  <c r="V379" i="5"/>
  <c r="U379" i="5"/>
  <c r="V310" i="5"/>
  <c r="U310" i="5"/>
  <c r="U225" i="5"/>
  <c r="V225" i="5"/>
  <c r="U155" i="5"/>
  <c r="V155" i="5"/>
  <c r="V59" i="5"/>
  <c r="U59" i="5"/>
  <c r="U121" i="5"/>
  <c r="V121" i="5"/>
  <c r="V105" i="5"/>
  <c r="U105" i="5"/>
  <c r="AO91" i="5"/>
  <c r="AN91" i="5"/>
  <c r="V554" i="5"/>
  <c r="U554" i="5"/>
  <c r="AN34" i="5"/>
  <c r="AO34" i="5"/>
  <c r="AO46" i="5"/>
  <c r="AN46" i="5"/>
  <c r="AN411" i="5"/>
  <c r="AO411" i="5"/>
  <c r="AO535" i="5"/>
  <c r="AN535" i="5"/>
  <c r="AM63" i="4"/>
  <c r="AN63" i="4" s="1"/>
  <c r="W63" i="4"/>
  <c r="U150" i="5"/>
  <c r="V150" i="5"/>
  <c r="U245" i="5"/>
  <c r="V245" i="5"/>
  <c r="V93" i="5"/>
  <c r="U93" i="5"/>
  <c r="U222" i="5"/>
  <c r="V222" i="5"/>
  <c r="U191" i="5"/>
  <c r="V191" i="5"/>
  <c r="V282" i="5"/>
  <c r="U282" i="5"/>
  <c r="V364" i="5"/>
  <c r="U364" i="5"/>
  <c r="U525" i="5"/>
  <c r="V525" i="5"/>
  <c r="V318" i="5"/>
  <c r="U318" i="5"/>
  <c r="U43" i="5"/>
  <c r="V43" i="5"/>
  <c r="AP232" i="5"/>
  <c r="AQ232" i="5" s="1"/>
  <c r="AP381" i="5"/>
  <c r="AQ381" i="5" s="1"/>
  <c r="AP255" i="5"/>
  <c r="AQ255" i="5" s="1"/>
  <c r="AP531" i="5"/>
  <c r="AQ531" i="5" s="1"/>
  <c r="AP210" i="5"/>
  <c r="AQ210" i="5" s="1"/>
  <c r="AP360" i="5"/>
  <c r="AR360" i="5" s="1"/>
  <c r="AP216" i="5"/>
  <c r="AQ216" i="5" s="1"/>
  <c r="AP30" i="5"/>
  <c r="AR30" i="5" s="1"/>
  <c r="AP140" i="5"/>
  <c r="AR140" i="5" s="1"/>
  <c r="AO501" i="5"/>
  <c r="AN501" i="5"/>
  <c r="AN548" i="5"/>
  <c r="AO548" i="5"/>
  <c r="AO187" i="5"/>
  <c r="AN187" i="5"/>
  <c r="AN119" i="5"/>
  <c r="AO119" i="5"/>
  <c r="AN509" i="5"/>
  <c r="AO509" i="5"/>
  <c r="AN339" i="5"/>
  <c r="AO339" i="5"/>
  <c r="AO544" i="5"/>
  <c r="AN544" i="5"/>
  <c r="AO402" i="5"/>
  <c r="AN402" i="5"/>
  <c r="AO230" i="5"/>
  <c r="AN230" i="5"/>
  <c r="AN443" i="5"/>
  <c r="AO443" i="5"/>
  <c r="AN246" i="5"/>
  <c r="AO246" i="5"/>
  <c r="AN297" i="5"/>
  <c r="AO297" i="5"/>
  <c r="AO241" i="5"/>
  <c r="AN241" i="5"/>
  <c r="AN63" i="5"/>
  <c r="AO63" i="5"/>
  <c r="AN515" i="5"/>
  <c r="AO515" i="5"/>
  <c r="AN191" i="5"/>
  <c r="AO191" i="5"/>
  <c r="AN37" i="5"/>
  <c r="AO37" i="5"/>
  <c r="AO218" i="5"/>
  <c r="AN218" i="5"/>
  <c r="AN117" i="5"/>
  <c r="AO117" i="5"/>
  <c r="AO291" i="5"/>
  <c r="AN291" i="5"/>
  <c r="AO75" i="5"/>
  <c r="AN75" i="5"/>
  <c r="AM157" i="4"/>
  <c r="AN157" i="4" s="1"/>
  <c r="W157" i="4"/>
  <c r="X157" i="4" s="1"/>
  <c r="U192" i="5"/>
  <c r="V192" i="5"/>
  <c r="U232" i="5"/>
  <c r="V232" i="5"/>
  <c r="AN336" i="5"/>
  <c r="AO336" i="5"/>
  <c r="AN227" i="5"/>
  <c r="AO227" i="5"/>
  <c r="AN121" i="5"/>
  <c r="AO121" i="5"/>
  <c r="AN184" i="5"/>
  <c r="AO184" i="5"/>
  <c r="AN123" i="5"/>
  <c r="AO123" i="5"/>
  <c r="U485" i="5"/>
  <c r="V485" i="5"/>
  <c r="V457" i="5"/>
  <c r="U457" i="5"/>
  <c r="V181" i="5"/>
  <c r="U181" i="5"/>
  <c r="V547" i="5"/>
  <c r="U547" i="5"/>
  <c r="U142" i="5"/>
  <c r="V142" i="5"/>
  <c r="U492" i="5"/>
  <c r="V492" i="5"/>
  <c r="V542" i="5"/>
  <c r="U542" i="5"/>
  <c r="U467" i="5"/>
  <c r="V467" i="5"/>
  <c r="V445" i="5"/>
  <c r="U445" i="5"/>
  <c r="U455" i="5"/>
  <c r="V455" i="5"/>
  <c r="U357" i="5"/>
  <c r="V357" i="5"/>
  <c r="V350" i="5"/>
  <c r="U350" i="5"/>
  <c r="V306" i="5"/>
  <c r="U306" i="5"/>
  <c r="U177" i="5"/>
  <c r="V177" i="5"/>
  <c r="U423" i="5"/>
  <c r="V423" i="5"/>
  <c r="V452" i="5"/>
  <c r="U452" i="5"/>
  <c r="U399" i="5"/>
  <c r="V399" i="5"/>
  <c r="U345" i="5"/>
  <c r="V345" i="5"/>
  <c r="U135" i="5"/>
  <c r="V135" i="5"/>
  <c r="V170" i="5"/>
  <c r="U170" i="5"/>
  <c r="U397" i="5"/>
  <c r="V397" i="5"/>
  <c r="U446" i="5"/>
  <c r="V446" i="5"/>
  <c r="V441" i="5"/>
  <c r="U441" i="5"/>
  <c r="V378" i="5"/>
  <c r="U378" i="5"/>
  <c r="U334" i="5"/>
  <c r="V334" i="5"/>
  <c r="V169" i="5"/>
  <c r="U169" i="5"/>
  <c r="U524" i="5"/>
  <c r="V524" i="5"/>
  <c r="U398" i="5"/>
  <c r="V398" i="5"/>
  <c r="U417" i="5"/>
  <c r="V417" i="5"/>
  <c r="V337" i="5"/>
  <c r="U337" i="5"/>
  <c r="V332" i="5"/>
  <c r="U332" i="5"/>
  <c r="U140" i="5"/>
  <c r="V140" i="5"/>
  <c r="U442" i="5"/>
  <c r="V442" i="5"/>
  <c r="U228" i="5"/>
  <c r="V228" i="5"/>
  <c r="V321" i="5"/>
  <c r="U321" i="5"/>
  <c r="V199" i="5"/>
  <c r="U199" i="5"/>
  <c r="V85" i="5"/>
  <c r="U85" i="5"/>
  <c r="U540" i="5"/>
  <c r="V540" i="5"/>
  <c r="U438" i="5"/>
  <c r="V438" i="5"/>
  <c r="U195" i="5"/>
  <c r="V195" i="5"/>
  <c r="U261" i="5"/>
  <c r="V261" i="5"/>
  <c r="V174" i="5"/>
  <c r="U174" i="5"/>
  <c r="V106" i="5"/>
  <c r="U106" i="5"/>
  <c r="U425" i="5"/>
  <c r="V425" i="5"/>
  <c r="V340" i="5"/>
  <c r="U340" i="5"/>
  <c r="V290" i="5"/>
  <c r="U290" i="5"/>
  <c r="U243" i="5"/>
  <c r="V243" i="5"/>
  <c r="U95" i="5"/>
  <c r="V95" i="5"/>
  <c r="U52" i="5"/>
  <c r="V52" i="5"/>
  <c r="U83" i="5"/>
  <c r="V83" i="5"/>
  <c r="V89" i="5"/>
  <c r="U89" i="5"/>
  <c r="AO307" i="5"/>
  <c r="AN307" i="5"/>
  <c r="AO104" i="5"/>
  <c r="AN104" i="5"/>
  <c r="AM108" i="4"/>
  <c r="AN108" i="4" s="1"/>
  <c r="W108" i="4"/>
  <c r="Y108" i="4" s="1"/>
  <c r="W102" i="4"/>
  <c r="Y102" i="4" s="1"/>
  <c r="AO469" i="5"/>
  <c r="AN469" i="5"/>
  <c r="AN460" i="5"/>
  <c r="AO460" i="5"/>
  <c r="AO531" i="5"/>
  <c r="AN531" i="5"/>
  <c r="AO237" i="5"/>
  <c r="AN237" i="5"/>
  <c r="V538" i="5"/>
  <c r="U538" i="5"/>
  <c r="U516" i="5"/>
  <c r="V516" i="5"/>
  <c r="U351" i="5"/>
  <c r="V351" i="5"/>
  <c r="V513" i="5"/>
  <c r="U513" i="5"/>
  <c r="U475" i="5"/>
  <c r="V475" i="5"/>
  <c r="V371" i="5"/>
  <c r="U371" i="5"/>
  <c r="AP447" i="5"/>
  <c r="AQ447" i="5" s="1"/>
  <c r="AP181" i="5"/>
  <c r="AR181" i="5" s="1"/>
  <c r="AP517" i="5"/>
  <c r="AQ517" i="5" s="1"/>
  <c r="AP426" i="5"/>
  <c r="AQ426" i="5" s="1"/>
  <c r="AP312" i="5"/>
  <c r="AQ312" i="5" s="1"/>
  <c r="AP239" i="5"/>
  <c r="AR239" i="5" s="1"/>
  <c r="AP474" i="5"/>
  <c r="AQ474" i="5" s="1"/>
  <c r="AP296" i="5"/>
  <c r="AQ296" i="5" s="1"/>
  <c r="V152" i="5"/>
  <c r="U152" i="5"/>
  <c r="AO400" i="5"/>
  <c r="AN400" i="5"/>
  <c r="U488" i="5"/>
  <c r="V488" i="5"/>
  <c r="AO353" i="5"/>
  <c r="AN353" i="5"/>
  <c r="AN439" i="5"/>
  <c r="AO439" i="5"/>
  <c r="AO523" i="5"/>
  <c r="AN523" i="5"/>
  <c r="AN479" i="5"/>
  <c r="AO479" i="5"/>
  <c r="AN466" i="5"/>
  <c r="AO466" i="5"/>
  <c r="AN268" i="5"/>
  <c r="AO268" i="5"/>
  <c r="AO513" i="5"/>
  <c r="AN513" i="5"/>
  <c r="AO277" i="5"/>
  <c r="AN277" i="5"/>
  <c r="AN158" i="5"/>
  <c r="AO158" i="5"/>
  <c r="AO382" i="5"/>
  <c r="AN382" i="5"/>
  <c r="AO242" i="5"/>
  <c r="AN242" i="5"/>
  <c r="AO494" i="5"/>
  <c r="AN494" i="5"/>
  <c r="AO327" i="5"/>
  <c r="AN327" i="5"/>
  <c r="AO30" i="5"/>
  <c r="AN30" i="5"/>
  <c r="AN333" i="5"/>
  <c r="AO333" i="5"/>
  <c r="AN217" i="5"/>
  <c r="AO217" i="5"/>
  <c r="AN541" i="5"/>
  <c r="AO541" i="5"/>
  <c r="AN309" i="5"/>
  <c r="AO309" i="5"/>
  <c r="AO102" i="5"/>
  <c r="AN102" i="5"/>
  <c r="AN215" i="5"/>
  <c r="AO215" i="5"/>
  <c r="AO67" i="5"/>
  <c r="AN67" i="5"/>
  <c r="AM103" i="4"/>
  <c r="AN103" i="4" s="1"/>
  <c r="W103" i="4"/>
  <c r="V416" i="5"/>
  <c r="U416" i="5"/>
  <c r="AN153" i="5"/>
  <c r="AO153" i="5"/>
  <c r="V32" i="5"/>
  <c r="U32" i="5"/>
  <c r="W45" i="4"/>
  <c r="AM45" i="4"/>
  <c r="AN45" i="4" s="1"/>
  <c r="U360" i="5"/>
  <c r="V360" i="5"/>
  <c r="AO387" i="5"/>
  <c r="AN387" i="5"/>
  <c r="AM38" i="4"/>
  <c r="AN38" i="4" s="1"/>
  <c r="W38" i="4"/>
  <c r="U392" i="5"/>
  <c r="V392" i="5"/>
  <c r="V373" i="5"/>
  <c r="U373" i="5"/>
  <c r="U469" i="5"/>
  <c r="V469" i="5"/>
  <c r="V558" i="5"/>
  <c r="U558" i="5"/>
  <c r="U394" i="5"/>
  <c r="V394" i="5"/>
  <c r="V535" i="5"/>
  <c r="U535" i="5"/>
  <c r="U521" i="5"/>
  <c r="V521" i="5"/>
  <c r="U486" i="5"/>
  <c r="V486" i="5"/>
  <c r="U500" i="5"/>
  <c r="V500" i="5"/>
  <c r="U530" i="5"/>
  <c r="V530" i="5"/>
  <c r="V511" i="5"/>
  <c r="U511" i="5"/>
  <c r="V402" i="5"/>
  <c r="U402" i="5"/>
  <c r="U286" i="5"/>
  <c r="V286" i="5"/>
  <c r="U270" i="5"/>
  <c r="V270" i="5"/>
  <c r="U138" i="5"/>
  <c r="V138" i="5"/>
  <c r="V528" i="5"/>
  <c r="U528" i="5"/>
  <c r="U413" i="5"/>
  <c r="V413" i="5"/>
  <c r="U363" i="5"/>
  <c r="V363" i="5"/>
  <c r="V283" i="5"/>
  <c r="U283" i="5"/>
  <c r="V301" i="5"/>
  <c r="U301" i="5"/>
  <c r="V173" i="5"/>
  <c r="U173" i="5"/>
  <c r="U449" i="5"/>
  <c r="V449" i="5"/>
  <c r="U401" i="5"/>
  <c r="V401" i="5"/>
  <c r="V287" i="5"/>
  <c r="U287" i="5"/>
  <c r="V342" i="5"/>
  <c r="U342" i="5"/>
  <c r="U295" i="5"/>
  <c r="V295" i="5"/>
  <c r="V171" i="5"/>
  <c r="U171" i="5"/>
  <c r="V406" i="5"/>
  <c r="U406" i="5"/>
  <c r="U522" i="5"/>
  <c r="V522" i="5"/>
  <c r="U388" i="5"/>
  <c r="V388" i="5"/>
  <c r="U267" i="5"/>
  <c r="V267" i="5"/>
  <c r="V289" i="5"/>
  <c r="U289" i="5"/>
  <c r="V149" i="5"/>
  <c r="U149" i="5"/>
  <c r="U533" i="5"/>
  <c r="V533" i="5"/>
  <c r="V389" i="5"/>
  <c r="U389" i="5"/>
  <c r="U302" i="5"/>
  <c r="V302" i="5"/>
  <c r="U223" i="5"/>
  <c r="V223" i="5"/>
  <c r="U76" i="5"/>
  <c r="V76" i="5"/>
  <c r="V489" i="5"/>
  <c r="U489" i="5"/>
  <c r="U532" i="5"/>
  <c r="V532" i="5"/>
  <c r="V386" i="5"/>
  <c r="U386" i="5"/>
  <c r="V331" i="5"/>
  <c r="U331" i="5"/>
  <c r="U166" i="5"/>
  <c r="V166" i="5"/>
  <c r="U107" i="5"/>
  <c r="V107" i="5"/>
  <c r="V374" i="5"/>
  <c r="U374" i="5"/>
  <c r="U162" i="5"/>
  <c r="V162" i="5"/>
  <c r="U259" i="5"/>
  <c r="V259" i="5"/>
  <c r="V159" i="5"/>
  <c r="U159" i="5"/>
  <c r="V35" i="5"/>
  <c r="U35" i="5"/>
  <c r="U117" i="5"/>
  <c r="V117" i="5"/>
  <c r="U25" i="5"/>
  <c r="V25" i="5"/>
  <c r="U55" i="5"/>
  <c r="V55" i="5"/>
  <c r="AN379" i="5"/>
  <c r="AO379" i="5"/>
  <c r="V408" i="5"/>
  <c r="U408" i="5"/>
  <c r="AM54" i="4"/>
  <c r="AN54" i="4" s="1"/>
  <c r="W54" i="4"/>
  <c r="X54" i="4" s="1"/>
  <c r="AO193" i="5"/>
  <c r="AN193" i="5"/>
  <c r="B102" i="2"/>
  <c r="B103" i="2" s="1"/>
  <c r="B73" i="2"/>
  <c r="B157" i="2"/>
  <c r="B92" i="2"/>
  <c r="B142" i="2"/>
  <c r="AE98" i="4"/>
  <c r="AH139" i="4"/>
  <c r="AH83" i="4"/>
  <c r="AH110" i="4"/>
  <c r="AH130" i="4"/>
  <c r="AH131" i="4"/>
  <c r="AH118" i="4"/>
  <c r="AH44" i="4"/>
  <c r="AH45" i="4"/>
  <c r="AH71" i="4"/>
  <c r="AH19" i="4"/>
  <c r="AH113" i="4"/>
  <c r="AH17" i="4"/>
  <c r="AH26" i="4"/>
  <c r="AH48" i="4"/>
  <c r="AH80" i="4"/>
  <c r="AH41" i="4"/>
  <c r="AH13" i="4"/>
  <c r="AH127" i="4"/>
  <c r="AH62" i="4"/>
  <c r="AH82" i="4"/>
  <c r="AH32" i="4"/>
  <c r="AH124" i="4"/>
  <c r="AH58" i="4"/>
  <c r="AH146" i="4"/>
  <c r="AH156" i="4"/>
  <c r="AH33" i="4"/>
  <c r="AH84" i="4"/>
  <c r="AH123" i="4"/>
  <c r="AH150" i="4"/>
  <c r="AH72" i="4"/>
  <c r="AH147" i="4"/>
  <c r="AH111" i="4"/>
  <c r="AH136" i="4"/>
  <c r="AH55" i="4"/>
  <c r="AH78" i="4"/>
  <c r="AH121" i="4"/>
  <c r="AH151" i="4"/>
  <c r="AH95" i="4"/>
  <c r="AH64" i="4"/>
  <c r="AH137" i="4"/>
  <c r="AH135" i="4"/>
  <c r="AH85" i="4"/>
  <c r="AH152" i="4"/>
  <c r="AH104" i="4"/>
  <c r="AH114" i="4"/>
  <c r="AH7" i="4"/>
  <c r="AH98" i="4"/>
  <c r="AH112" i="4"/>
  <c r="AH56" i="4"/>
  <c r="AH88" i="4"/>
  <c r="AH86" i="4"/>
  <c r="AH47" i="4"/>
  <c r="AH143" i="4"/>
  <c r="AH93" i="4"/>
  <c r="AH92" i="4"/>
  <c r="AH51" i="4"/>
  <c r="AH89" i="4"/>
  <c r="AH119" i="4"/>
  <c r="AH50" i="4"/>
  <c r="AH60" i="4"/>
  <c r="AH40" i="4"/>
  <c r="AH69" i="4"/>
  <c r="AR552" i="5"/>
  <c r="AQ338" i="5"/>
  <c r="AK55" i="5"/>
  <c r="AL55" i="5"/>
  <c r="AM51" i="4"/>
  <c r="AN51" i="4" s="1"/>
  <c r="W51" i="4"/>
  <c r="Y51" i="4" s="1"/>
  <c r="Z51" i="4" s="1"/>
  <c r="AL99" i="5"/>
  <c r="AK99" i="5"/>
  <c r="V7" i="5"/>
  <c r="U7" i="5"/>
  <c r="AM28" i="4"/>
  <c r="AN28" i="4" s="1"/>
  <c r="W28" i="4"/>
  <c r="Y28" i="4" s="1"/>
  <c r="Z28" i="4" s="1"/>
  <c r="AK240" i="5"/>
  <c r="AL240" i="5"/>
  <c r="AK455" i="5"/>
  <c r="AL455" i="5"/>
  <c r="AK411" i="5"/>
  <c r="AL411" i="5"/>
  <c r="AP411" i="5"/>
  <c r="AK464" i="5"/>
  <c r="AL464" i="5"/>
  <c r="AL71" i="5"/>
  <c r="AK71" i="5"/>
  <c r="AP71" i="5"/>
  <c r="AP167" i="5"/>
  <c r="AK167" i="5"/>
  <c r="AL167" i="5"/>
  <c r="AK435" i="5"/>
  <c r="AL435" i="5"/>
  <c r="AP435" i="5"/>
  <c r="AL233" i="5"/>
  <c r="AK233" i="5"/>
  <c r="AK276" i="5"/>
  <c r="AL276" i="5"/>
  <c r="AL386" i="5"/>
  <c r="AK386" i="5"/>
  <c r="AK375" i="5"/>
  <c r="AL375" i="5"/>
  <c r="AP375" i="5"/>
  <c r="AK285" i="5"/>
  <c r="AL285" i="5"/>
  <c r="AL362" i="5"/>
  <c r="AP362" i="5"/>
  <c r="AK362" i="5"/>
  <c r="AK229" i="5"/>
  <c r="AL229" i="5"/>
  <c r="AK49" i="5"/>
  <c r="AP49" i="5"/>
  <c r="AL49" i="5"/>
  <c r="AP518" i="5"/>
  <c r="AL518" i="5"/>
  <c r="AK518" i="5"/>
  <c r="AK363" i="5"/>
  <c r="AL363" i="5"/>
  <c r="AK185" i="5"/>
  <c r="AP185" i="5"/>
  <c r="AL185" i="5"/>
  <c r="AK471" i="5"/>
  <c r="AL471" i="5"/>
  <c r="AP471" i="5"/>
  <c r="AL470" i="5"/>
  <c r="AK470" i="5"/>
  <c r="AK255" i="5"/>
  <c r="AL255" i="5"/>
  <c r="AL92" i="5"/>
  <c r="AK92" i="5"/>
  <c r="AK472" i="5"/>
  <c r="AL472" i="5"/>
  <c r="AP472" i="5"/>
  <c r="AK348" i="5"/>
  <c r="AL348" i="5"/>
  <c r="AL238" i="5"/>
  <c r="AK238" i="5"/>
  <c r="AK29" i="5"/>
  <c r="AL29" i="5"/>
  <c r="AK443" i="5"/>
  <c r="AL443" i="5"/>
  <c r="AP443" i="5"/>
  <c r="AP292" i="5"/>
  <c r="AL292" i="5"/>
  <c r="AK292" i="5"/>
  <c r="AK80" i="5"/>
  <c r="AP80" i="5"/>
  <c r="AL80" i="5"/>
  <c r="AK532" i="5"/>
  <c r="AP532" i="5"/>
  <c r="AL532" i="5"/>
  <c r="AL387" i="5"/>
  <c r="AK387" i="5"/>
  <c r="AK243" i="5"/>
  <c r="AL243" i="5"/>
  <c r="AP243" i="5"/>
  <c r="AK75" i="5"/>
  <c r="AL75" i="5"/>
  <c r="AP75" i="5"/>
  <c r="AK62" i="5"/>
  <c r="AP62" i="5"/>
  <c r="AL62" i="5"/>
  <c r="AL526" i="5"/>
  <c r="AK526" i="5"/>
  <c r="AP526" i="5"/>
  <c r="AK388" i="5"/>
  <c r="AL388" i="5"/>
  <c r="AP388" i="5"/>
  <c r="AK237" i="5"/>
  <c r="AL237" i="5"/>
  <c r="AL28" i="5"/>
  <c r="AK28" i="5"/>
  <c r="AP28" i="5"/>
  <c r="AK523" i="5"/>
  <c r="AL523" i="5"/>
  <c r="AK316" i="5"/>
  <c r="AL316" i="5"/>
  <c r="AK236" i="5"/>
  <c r="AL236" i="5"/>
  <c r="AP236" i="5"/>
  <c r="AL125" i="5"/>
  <c r="AK125" i="5"/>
  <c r="AP125" i="5"/>
  <c r="AK452" i="5"/>
  <c r="AL452" i="5"/>
  <c r="AK428" i="5"/>
  <c r="AL428" i="5"/>
  <c r="AL252" i="5"/>
  <c r="AK252" i="5"/>
  <c r="AK156" i="5"/>
  <c r="AP156" i="5"/>
  <c r="AL156" i="5"/>
  <c r="AL46" i="5"/>
  <c r="AK46" i="5"/>
  <c r="AP46" i="5"/>
  <c r="AL508" i="5"/>
  <c r="AK508" i="5"/>
  <c r="AP508" i="5"/>
  <c r="AL412" i="5"/>
  <c r="AK412" i="5"/>
  <c r="AK177" i="5"/>
  <c r="AL177" i="5"/>
  <c r="AP177" i="5"/>
  <c r="AK110" i="5"/>
  <c r="AL110" i="5"/>
  <c r="AL42" i="5"/>
  <c r="AK42" i="5"/>
  <c r="AL502" i="5"/>
  <c r="AK502" i="5"/>
  <c r="AP502" i="5"/>
  <c r="AK346" i="5"/>
  <c r="AL346" i="5"/>
  <c r="AK189" i="5"/>
  <c r="AL189" i="5"/>
  <c r="AK68" i="5"/>
  <c r="AL68" i="5"/>
  <c r="AP68" i="5"/>
  <c r="AL251" i="5"/>
  <c r="AK251" i="5"/>
  <c r="AP251" i="5"/>
  <c r="AK102" i="5"/>
  <c r="AL102" i="5"/>
  <c r="AP102" i="5"/>
  <c r="AK26" i="5"/>
  <c r="AL26" i="5"/>
  <c r="AK479" i="5"/>
  <c r="AL479" i="5"/>
  <c r="AP479" i="5"/>
  <c r="AM53" i="4"/>
  <c r="AN53" i="4" s="1"/>
  <c r="W53" i="4"/>
  <c r="Y53" i="4" s="1"/>
  <c r="Z53" i="4" s="1"/>
  <c r="AF53" i="4" s="1"/>
  <c r="W120" i="4"/>
  <c r="Y120" i="4" s="1"/>
  <c r="AM120" i="4"/>
  <c r="AN120" i="4" s="1"/>
  <c r="AL369" i="5"/>
  <c r="AK369" i="5"/>
  <c r="AP369" i="5"/>
  <c r="AK376" i="5"/>
  <c r="AP376" i="5"/>
  <c r="AL376" i="5"/>
  <c r="AL95" i="5"/>
  <c r="AK95" i="5"/>
  <c r="AP95" i="5"/>
  <c r="AK351" i="5"/>
  <c r="AL351" i="5"/>
  <c r="AK152" i="5"/>
  <c r="AP152" i="5"/>
  <c r="AL152" i="5"/>
  <c r="AN7" i="5"/>
  <c r="AO7" i="5"/>
  <c r="AM90" i="4"/>
  <c r="AN90" i="4" s="1"/>
  <c r="W90" i="4"/>
  <c r="Y90" i="4" s="1"/>
  <c r="AM114" i="4"/>
  <c r="AN114" i="4" s="1"/>
  <c r="W114" i="4"/>
  <c r="Y114" i="4" s="1"/>
  <c r="Z114" i="4" s="1"/>
  <c r="AM113" i="4"/>
  <c r="AN113" i="4" s="1"/>
  <c r="W113" i="4"/>
  <c r="Y113" i="4" s="1"/>
  <c r="AK416" i="5"/>
  <c r="AL416" i="5"/>
  <c r="AP416" i="5"/>
  <c r="AI7" i="5"/>
  <c r="AH7" i="5"/>
  <c r="AP7" i="5"/>
  <c r="AP431" i="5"/>
  <c r="AL431" i="5"/>
  <c r="AK431" i="5"/>
  <c r="W55" i="4"/>
  <c r="Y55" i="4" s="1"/>
  <c r="Z55" i="4" s="1"/>
  <c r="AL353" i="5"/>
  <c r="AK353" i="5"/>
  <c r="AP353" i="5"/>
  <c r="AK113" i="5"/>
  <c r="AL113" i="5"/>
  <c r="AK534" i="5"/>
  <c r="AL534" i="5"/>
  <c r="AP534" i="5"/>
  <c r="AL31" i="5"/>
  <c r="AK31" i="5"/>
  <c r="AH99" i="4"/>
  <c r="AH65" i="4"/>
  <c r="Z98" i="4"/>
  <c r="AF98" i="4" s="1"/>
  <c r="AL81" i="5"/>
  <c r="AK81" i="5"/>
  <c r="AK160" i="5"/>
  <c r="AL160" i="5"/>
  <c r="AK135" i="5"/>
  <c r="AL135" i="5"/>
  <c r="AH153" i="4"/>
  <c r="AP452" i="5"/>
  <c r="AK531" i="5"/>
  <c r="AL531" i="5"/>
  <c r="AP208" i="5"/>
  <c r="AK208" i="5"/>
  <c r="AL208" i="5"/>
  <c r="AK389" i="5"/>
  <c r="AL389" i="5"/>
  <c r="AK501" i="5"/>
  <c r="AP501" i="5"/>
  <c r="AL501" i="5"/>
  <c r="AL374" i="5"/>
  <c r="AK374" i="5"/>
  <c r="AP374" i="5"/>
  <c r="AL215" i="5"/>
  <c r="AK215" i="5"/>
  <c r="AP215" i="5"/>
  <c r="AL24" i="5"/>
  <c r="AK24" i="5"/>
  <c r="AK466" i="5"/>
  <c r="AL466" i="5"/>
  <c r="AL325" i="5"/>
  <c r="AP325" i="5"/>
  <c r="AK325" i="5"/>
  <c r="AK123" i="5"/>
  <c r="AL123" i="5"/>
  <c r="AP123" i="5"/>
  <c r="AP468" i="5"/>
  <c r="AK468" i="5"/>
  <c r="AL468" i="5"/>
  <c r="AK407" i="5"/>
  <c r="AL407" i="5"/>
  <c r="AP407" i="5"/>
  <c r="AK284" i="5"/>
  <c r="AL284" i="5"/>
  <c r="AK73" i="5"/>
  <c r="AL73" i="5"/>
  <c r="AP73" i="5"/>
  <c r="AL414" i="5"/>
  <c r="AK414" i="5"/>
  <c r="AP414" i="5"/>
  <c r="AL408" i="5"/>
  <c r="AK408" i="5"/>
  <c r="AP408" i="5"/>
  <c r="AK196" i="5"/>
  <c r="AL196" i="5"/>
  <c r="AP196" i="5"/>
  <c r="AK557" i="5"/>
  <c r="AL557" i="5"/>
  <c r="AK505" i="5"/>
  <c r="AL505" i="5"/>
  <c r="AP505" i="5"/>
  <c r="AL315" i="5"/>
  <c r="AK315" i="5"/>
  <c r="AP315" i="5"/>
  <c r="AL128" i="5"/>
  <c r="AK128" i="5"/>
  <c r="AK538" i="5"/>
  <c r="AL538" i="5"/>
  <c r="AP538" i="5"/>
  <c r="AL406" i="5"/>
  <c r="AK406" i="5"/>
  <c r="AK181" i="5"/>
  <c r="AL181" i="5"/>
  <c r="AL63" i="5"/>
  <c r="AK63" i="5"/>
  <c r="AP63" i="5"/>
  <c r="AK39" i="5"/>
  <c r="AL39" i="5"/>
  <c r="AP39" i="5"/>
  <c r="AK437" i="5"/>
  <c r="AL437" i="5"/>
  <c r="AK434" i="5"/>
  <c r="AL434" i="5"/>
  <c r="AK204" i="5"/>
  <c r="AL204" i="5"/>
  <c r="AP204" i="5"/>
  <c r="AK514" i="5"/>
  <c r="AL514" i="5"/>
  <c r="AP514" i="5"/>
  <c r="AK492" i="5"/>
  <c r="AL492" i="5"/>
  <c r="AL286" i="5"/>
  <c r="AK286" i="5"/>
  <c r="AL172" i="5"/>
  <c r="AK172" i="5"/>
  <c r="AP172" i="5"/>
  <c r="AK85" i="5"/>
  <c r="AL85" i="5"/>
  <c r="AP85" i="5"/>
  <c r="AK552" i="5"/>
  <c r="AL552" i="5"/>
  <c r="AL381" i="5"/>
  <c r="AK381" i="5"/>
  <c r="AL322" i="5"/>
  <c r="AP322" i="5"/>
  <c r="AK322" i="5"/>
  <c r="AK164" i="5"/>
  <c r="AL164" i="5"/>
  <c r="AK497" i="5"/>
  <c r="AL497" i="5"/>
  <c r="AL418" i="5"/>
  <c r="AK418" i="5"/>
  <c r="AL356" i="5"/>
  <c r="AK356" i="5"/>
  <c r="AK305" i="5"/>
  <c r="AL305" i="5"/>
  <c r="AK149" i="5"/>
  <c r="AL149" i="5"/>
  <c r="AP44" i="5"/>
  <c r="AK44" i="5"/>
  <c r="AL44" i="5"/>
  <c r="AL506" i="5"/>
  <c r="AK506" i="5"/>
  <c r="AK333" i="5"/>
  <c r="AL333" i="5"/>
  <c r="AL234" i="5"/>
  <c r="AK234" i="5"/>
  <c r="AL38" i="5"/>
  <c r="AK38" i="5"/>
  <c r="AL329" i="5"/>
  <c r="AK329" i="5"/>
  <c r="AP329" i="5"/>
  <c r="AL141" i="5"/>
  <c r="AK141" i="5"/>
  <c r="AK256" i="5"/>
  <c r="AL256" i="5"/>
  <c r="AK447" i="5"/>
  <c r="AL447" i="5"/>
  <c r="W49" i="4"/>
  <c r="Y49" i="4" s="1"/>
  <c r="AM49" i="4"/>
  <c r="AN49" i="4" s="1"/>
  <c r="AL112" i="5"/>
  <c r="AK112" i="5"/>
  <c r="AM92" i="4"/>
  <c r="AN92" i="4" s="1"/>
  <c r="W92" i="4"/>
  <c r="Y92" i="4" s="1"/>
  <c r="Z92" i="4" s="1"/>
  <c r="AP164" i="5"/>
  <c r="AP305" i="5"/>
  <c r="AK459" i="5"/>
  <c r="AL459" i="5"/>
  <c r="AP459" i="5"/>
  <c r="AK88" i="5"/>
  <c r="AL88" i="5"/>
  <c r="AP88" i="5"/>
  <c r="AL541" i="5"/>
  <c r="AK541" i="5"/>
  <c r="AP541" i="5"/>
  <c r="AM50" i="4"/>
  <c r="AN50" i="4" s="1"/>
  <c r="W50" i="4"/>
  <c r="Y50" i="4" s="1"/>
  <c r="Z50" i="4" s="1"/>
  <c r="AL56" i="5"/>
  <c r="AK56" i="5"/>
  <c r="AL144" i="5"/>
  <c r="AK144" i="5"/>
  <c r="AK368" i="5"/>
  <c r="AL368" i="5"/>
  <c r="AK7" i="5"/>
  <c r="AL7" i="5"/>
  <c r="AM122" i="4"/>
  <c r="AN122" i="4" s="1"/>
  <c r="W122" i="4"/>
  <c r="Y122" i="4" s="1"/>
  <c r="Z122" i="4" s="1"/>
  <c r="AK525" i="5"/>
  <c r="AL525" i="5"/>
  <c r="W48" i="4"/>
  <c r="Y48" i="4" s="1"/>
  <c r="AK489" i="5"/>
  <c r="AL489" i="5"/>
  <c r="AP489" i="5"/>
  <c r="AM89" i="4"/>
  <c r="AN89" i="4" s="1"/>
  <c r="W89" i="4"/>
  <c r="Y89" i="4" s="1"/>
  <c r="Z89" i="4" s="1"/>
  <c r="AF89" i="4" s="1"/>
  <c r="AM78" i="4"/>
  <c r="AN78" i="4" s="1"/>
  <c r="W78" i="4"/>
  <c r="Y78" i="4" s="1"/>
  <c r="Z78" i="4" s="1"/>
  <c r="AF78" i="4" s="1"/>
  <c r="AK89" i="5"/>
  <c r="AL89" i="5"/>
  <c r="AP399" i="5"/>
  <c r="AK399" i="5"/>
  <c r="AL399" i="5"/>
  <c r="AM119" i="4"/>
  <c r="AN119" i="4" s="1"/>
  <c r="W119" i="4"/>
  <c r="Y119" i="4" s="1"/>
  <c r="Z119" i="4" s="1"/>
  <c r="AK449" i="5"/>
  <c r="AL449" i="5"/>
  <c r="AK359" i="5"/>
  <c r="AL359" i="5"/>
  <c r="AM138" i="4"/>
  <c r="AN138" i="4" s="1"/>
  <c r="W138" i="4"/>
  <c r="Y138" i="4" s="1"/>
  <c r="Z138" i="4" s="1"/>
  <c r="AM36" i="4"/>
  <c r="AN36" i="4" s="1"/>
  <c r="W36" i="4"/>
  <c r="Y36" i="4" s="1"/>
  <c r="Z36" i="4" s="1"/>
  <c r="AF36" i="4" s="1"/>
  <c r="AP412" i="5"/>
  <c r="AK495" i="5"/>
  <c r="AL495" i="5"/>
  <c r="AK536" i="5"/>
  <c r="AL536" i="5"/>
  <c r="AL493" i="5"/>
  <c r="AK493" i="5"/>
  <c r="AL433" i="5"/>
  <c r="AP433" i="5"/>
  <c r="AK433" i="5"/>
  <c r="AL427" i="5"/>
  <c r="AP427" i="5"/>
  <c r="AK427" i="5"/>
  <c r="AK162" i="5"/>
  <c r="AL162" i="5"/>
  <c r="AL543" i="5"/>
  <c r="AK543" i="5"/>
  <c r="AP543" i="5"/>
  <c r="AP288" i="5"/>
  <c r="AL288" i="5"/>
  <c r="AK288" i="5"/>
  <c r="AK245" i="5"/>
  <c r="AL245" i="5"/>
  <c r="AK87" i="5"/>
  <c r="AL87" i="5"/>
  <c r="AL261" i="5"/>
  <c r="AK261" i="5"/>
  <c r="AK323" i="5"/>
  <c r="AL323" i="5"/>
  <c r="AP323" i="5"/>
  <c r="AL209" i="5"/>
  <c r="AK209" i="5"/>
  <c r="AP209" i="5"/>
  <c r="AK66" i="5"/>
  <c r="AL66" i="5"/>
  <c r="AK503" i="5"/>
  <c r="AL503" i="5"/>
  <c r="AP503" i="5"/>
  <c r="AL344" i="5"/>
  <c r="AP344" i="5"/>
  <c r="AK344" i="5"/>
  <c r="AL168" i="5"/>
  <c r="AK168" i="5"/>
  <c r="AP168" i="5"/>
  <c r="AL554" i="5"/>
  <c r="AK554" i="5"/>
  <c r="AP554" i="5"/>
  <c r="AK444" i="5"/>
  <c r="AL444" i="5"/>
  <c r="AK248" i="5"/>
  <c r="AL248" i="5"/>
  <c r="AP248" i="5"/>
  <c r="AL104" i="5"/>
  <c r="AK104" i="5"/>
  <c r="AK458" i="5"/>
  <c r="AL458" i="5"/>
  <c r="AL336" i="5"/>
  <c r="AK336" i="5"/>
  <c r="AP336" i="5"/>
  <c r="AK219" i="5"/>
  <c r="AL219" i="5"/>
  <c r="AL25" i="5"/>
  <c r="AK25" i="5"/>
  <c r="AK23" i="5"/>
  <c r="AL23" i="5"/>
  <c r="AL266" i="5"/>
  <c r="AK266" i="5"/>
  <c r="AP266" i="5"/>
  <c r="AK377" i="5"/>
  <c r="AL377" i="5"/>
  <c r="AP377" i="5"/>
  <c r="AP179" i="5"/>
  <c r="AK179" i="5"/>
  <c r="AL179" i="5"/>
  <c r="AL462" i="5"/>
  <c r="AK462" i="5"/>
  <c r="AK429" i="5"/>
  <c r="AL429" i="5"/>
  <c r="AP429" i="5"/>
  <c r="AL258" i="5"/>
  <c r="AK258" i="5"/>
  <c r="AK228" i="5"/>
  <c r="AL228" i="5"/>
  <c r="AP228" i="5"/>
  <c r="AL60" i="5"/>
  <c r="AK60" i="5"/>
  <c r="AP60" i="5"/>
  <c r="AK485" i="5"/>
  <c r="AL485" i="5"/>
  <c r="AK300" i="5"/>
  <c r="AL300" i="5"/>
  <c r="AK310" i="5"/>
  <c r="AL310" i="5"/>
  <c r="AP310" i="5"/>
  <c r="AL114" i="5"/>
  <c r="AP114" i="5"/>
  <c r="AK114" i="5"/>
  <c r="AK535" i="5"/>
  <c r="AL535" i="5"/>
  <c r="AK482" i="5"/>
  <c r="AL482" i="5"/>
  <c r="AP482" i="5"/>
  <c r="AL340" i="5"/>
  <c r="AK340" i="5"/>
  <c r="AP269" i="5"/>
  <c r="AK269" i="5"/>
  <c r="AL269" i="5"/>
  <c r="AL118" i="5"/>
  <c r="AK118" i="5"/>
  <c r="AK486" i="5"/>
  <c r="AL486" i="5"/>
  <c r="AL446" i="5"/>
  <c r="AK446" i="5"/>
  <c r="AP446" i="5"/>
  <c r="AK221" i="5"/>
  <c r="AL221" i="5"/>
  <c r="AP242" i="5"/>
  <c r="AK242" i="5"/>
  <c r="AL242" i="5"/>
  <c r="AL370" i="5"/>
  <c r="AK370" i="5"/>
  <c r="AL294" i="5"/>
  <c r="AK294" i="5"/>
  <c r="AK70" i="5"/>
  <c r="AL70" i="5"/>
  <c r="AK199" i="5"/>
  <c r="AL199" i="5"/>
  <c r="AP351" i="5"/>
  <c r="AM13" i="4"/>
  <c r="AN13" i="4" s="1"/>
  <c r="W13" i="4"/>
  <c r="Y13" i="4" s="1"/>
  <c r="Z13" i="4" s="1"/>
  <c r="AP286" i="5"/>
  <c r="AP523" i="5"/>
  <c r="AK155" i="5"/>
  <c r="AL155" i="5"/>
  <c r="AP155" i="5"/>
  <c r="B80" i="2"/>
  <c r="B143" i="2"/>
  <c r="B75" i="2"/>
  <c r="B108" i="2"/>
  <c r="B109" i="2" s="1"/>
  <c r="B98" i="2"/>
  <c r="AP55" i="5"/>
  <c r="AM82" i="4"/>
  <c r="AN82" i="4" s="1"/>
  <c r="W82" i="4"/>
  <c r="Y82" i="4" s="1"/>
  <c r="Z82" i="4" s="1"/>
  <c r="AF82" i="4" s="1"/>
  <c r="AP221" i="5"/>
  <c r="AK224" i="5"/>
  <c r="AL224" i="5"/>
  <c r="AP224" i="5"/>
  <c r="AK223" i="5"/>
  <c r="AL223" i="5"/>
  <c r="AL35" i="5"/>
  <c r="AK35" i="5"/>
  <c r="AP35" i="5"/>
  <c r="AK97" i="5"/>
  <c r="AL97" i="5"/>
  <c r="AK367" i="5"/>
  <c r="AL367" i="5"/>
  <c r="AP367" i="5"/>
  <c r="AM149" i="4"/>
  <c r="AN149" i="4" s="1"/>
  <c r="W149" i="4"/>
  <c r="Y149" i="4" s="1"/>
  <c r="AL107" i="5"/>
  <c r="AK107" i="5"/>
  <c r="AP107" i="5"/>
  <c r="AL328" i="5"/>
  <c r="AK328" i="5"/>
  <c r="AK183" i="5"/>
  <c r="AP183" i="5"/>
  <c r="AL183" i="5"/>
  <c r="AK439" i="5"/>
  <c r="AL439" i="5"/>
  <c r="AL32" i="5"/>
  <c r="AK32" i="5"/>
  <c r="AP32" i="5"/>
  <c r="AL303" i="5"/>
  <c r="AP303" i="5"/>
  <c r="AK303" i="5"/>
  <c r="AM146" i="4"/>
  <c r="AN146" i="4" s="1"/>
  <c r="W17" i="4"/>
  <c r="Y17" i="4" s="1"/>
  <c r="Z17" i="4" s="1"/>
  <c r="AM17" i="4"/>
  <c r="AN17" i="4" s="1"/>
  <c r="AK335" i="5"/>
  <c r="AL335" i="5"/>
  <c r="AL96" i="5"/>
  <c r="AK96" i="5"/>
  <c r="AL47" i="5"/>
  <c r="AK47" i="5"/>
  <c r="AM74" i="4"/>
  <c r="AN74" i="4" s="1"/>
  <c r="AL265" i="5"/>
  <c r="AK265" i="5"/>
  <c r="AP265" i="5"/>
  <c r="AL121" i="5"/>
  <c r="AK121" i="5"/>
  <c r="AP423" i="5"/>
  <c r="AK423" i="5"/>
  <c r="AL423" i="5"/>
  <c r="AM99" i="4"/>
  <c r="AN99" i="4" s="1"/>
  <c r="W99" i="4"/>
  <c r="Y99" i="4" s="1"/>
  <c r="Z99" i="4" s="1"/>
  <c r="AM112" i="4"/>
  <c r="AN112" i="4" s="1"/>
  <c r="W112" i="4"/>
  <c r="Y112" i="4" s="1"/>
  <c r="Z112" i="4" s="1"/>
  <c r="AF112" i="4" s="1"/>
  <c r="AM65" i="4"/>
  <c r="AN65" i="4" s="1"/>
  <c r="W65" i="4"/>
  <c r="Y65" i="4" s="1"/>
  <c r="Z65" i="4" s="1"/>
  <c r="AM97" i="4"/>
  <c r="AN97" i="4" s="1"/>
  <c r="AL201" i="5"/>
  <c r="AP201" i="5"/>
  <c r="AK201" i="5"/>
  <c r="AL306" i="5"/>
  <c r="AK306" i="5"/>
  <c r="AK400" i="5"/>
  <c r="AL400" i="5"/>
  <c r="AP400" i="5"/>
  <c r="AK212" i="5"/>
  <c r="AL212" i="5"/>
  <c r="AK520" i="5"/>
  <c r="AL520" i="5"/>
  <c r="AK365" i="5"/>
  <c r="AL365" i="5"/>
  <c r="AL178" i="5"/>
  <c r="AK178" i="5"/>
  <c r="AL475" i="5"/>
  <c r="AK475" i="5"/>
  <c r="AP475" i="5"/>
  <c r="AK476" i="5"/>
  <c r="AL476" i="5"/>
  <c r="AK268" i="5"/>
  <c r="AL268" i="5"/>
  <c r="AP268" i="5"/>
  <c r="AK98" i="5"/>
  <c r="AP98" i="5"/>
  <c r="AL98" i="5"/>
  <c r="AK491" i="5"/>
  <c r="AL491" i="5"/>
  <c r="AK364" i="5"/>
  <c r="AL364" i="5"/>
  <c r="AL244" i="5"/>
  <c r="AK244" i="5"/>
  <c r="AL30" i="5"/>
  <c r="AK30" i="5"/>
  <c r="AK450" i="5"/>
  <c r="AL450" i="5"/>
  <c r="AL304" i="5"/>
  <c r="AK304" i="5"/>
  <c r="AK86" i="5"/>
  <c r="AL86" i="5"/>
  <c r="AP86" i="5"/>
  <c r="AL549" i="5"/>
  <c r="AK549" i="5"/>
  <c r="AP549" i="5"/>
  <c r="AK391" i="5"/>
  <c r="AL391" i="5"/>
  <c r="AP391" i="5"/>
  <c r="AL247" i="5"/>
  <c r="AP247" i="5"/>
  <c r="AK247" i="5"/>
  <c r="AL76" i="5"/>
  <c r="AK76" i="5"/>
  <c r="AP76" i="5"/>
  <c r="AL393" i="5"/>
  <c r="AP393" i="5"/>
  <c r="AK393" i="5"/>
  <c r="AL390" i="5"/>
  <c r="AK390" i="5"/>
  <c r="AL182" i="5"/>
  <c r="AK182" i="5"/>
  <c r="AK137" i="5"/>
  <c r="AL137" i="5"/>
  <c r="AP137" i="5"/>
  <c r="AM13" i="5"/>
  <c r="T13" i="5"/>
  <c r="AG13" i="5"/>
  <c r="Q13" i="5"/>
  <c r="AJ13" i="5"/>
  <c r="W13" i="5"/>
  <c r="AK481" i="5"/>
  <c r="AL481" i="5"/>
  <c r="AP481" i="5"/>
  <c r="AK355" i="5"/>
  <c r="AL355" i="5"/>
  <c r="AK140" i="5"/>
  <c r="AL140" i="5"/>
  <c r="AL558" i="5"/>
  <c r="AK558" i="5"/>
  <c r="AK405" i="5"/>
  <c r="AL405" i="5"/>
  <c r="AL324" i="5"/>
  <c r="AK324" i="5"/>
  <c r="AK173" i="5"/>
  <c r="AL173" i="5"/>
  <c r="AK61" i="5"/>
  <c r="AL61" i="5"/>
  <c r="AP61" i="5"/>
  <c r="AK445" i="5"/>
  <c r="AL445" i="5"/>
  <c r="AP445" i="5"/>
  <c r="AL354" i="5"/>
  <c r="AK354" i="5"/>
  <c r="AK198" i="5"/>
  <c r="AL198" i="5"/>
  <c r="AP198" i="5"/>
  <c r="AL157" i="5"/>
  <c r="AK157" i="5"/>
  <c r="AL556" i="5"/>
  <c r="AK556" i="5"/>
  <c r="AL461" i="5"/>
  <c r="AK461" i="5"/>
  <c r="AK308" i="5"/>
  <c r="AP308" i="5"/>
  <c r="AL308" i="5"/>
  <c r="AK193" i="5"/>
  <c r="AP193" i="5"/>
  <c r="AL193" i="5"/>
  <c r="AP100" i="5"/>
  <c r="AK100" i="5"/>
  <c r="AL100" i="5"/>
  <c r="AL548" i="5"/>
  <c r="AK548" i="5"/>
  <c r="AL338" i="5"/>
  <c r="AK338" i="5"/>
  <c r="AL314" i="5"/>
  <c r="AK314" i="5"/>
  <c r="AL180" i="5"/>
  <c r="AK180" i="5"/>
  <c r="AP180" i="5"/>
  <c r="AK345" i="5"/>
  <c r="AL345" i="5"/>
  <c r="AL253" i="5"/>
  <c r="AK253" i="5"/>
  <c r="AP253" i="5"/>
  <c r="AK58" i="5"/>
  <c r="AL58" i="5"/>
  <c r="AP160" i="5"/>
  <c r="AP466" i="5"/>
  <c r="AL395" i="5"/>
  <c r="AP395" i="5"/>
  <c r="AK395" i="5"/>
  <c r="AP363" i="5"/>
  <c r="AK504" i="5"/>
  <c r="AL504" i="5"/>
  <c r="AP504" i="5"/>
  <c r="V12" i="5"/>
  <c r="U12" i="5"/>
  <c r="AK311" i="5"/>
  <c r="AP311" i="5"/>
  <c r="AL311" i="5"/>
  <c r="AM131" i="4"/>
  <c r="AN131" i="4" s="1"/>
  <c r="W131" i="4"/>
  <c r="Y131" i="4" s="1"/>
  <c r="AK111" i="5"/>
  <c r="AL111" i="5"/>
  <c r="AP111" i="5"/>
  <c r="AL40" i="5"/>
  <c r="AK40" i="5"/>
  <c r="AP40" i="5"/>
  <c r="AL280" i="5"/>
  <c r="AK280" i="5"/>
  <c r="AM124" i="4"/>
  <c r="AN124" i="4" s="1"/>
  <c r="W124" i="4"/>
  <c r="Y124" i="4" s="1"/>
  <c r="Z124" i="4" s="1"/>
  <c r="AP328" i="5"/>
  <c r="X7" i="5"/>
  <c r="Y7" i="5"/>
  <c r="AL119" i="5"/>
  <c r="AK119" i="5"/>
  <c r="AM42" i="4"/>
  <c r="AN42" i="4" s="1"/>
  <c r="W42" i="4"/>
  <c r="Y42" i="4" s="1"/>
  <c r="AK79" i="5"/>
  <c r="AL79" i="5"/>
  <c r="AL143" i="5"/>
  <c r="AK143" i="5"/>
  <c r="AK313" i="5"/>
  <c r="AL313" i="5"/>
  <c r="AK72" i="5"/>
  <c r="AL72" i="5"/>
  <c r="AL264" i="5"/>
  <c r="AK264" i="5"/>
  <c r="AK320" i="5"/>
  <c r="AP320" i="5"/>
  <c r="AL320" i="5"/>
  <c r="AL207" i="5"/>
  <c r="AK207" i="5"/>
  <c r="AP207" i="5"/>
  <c r="W87" i="4"/>
  <c r="Y87" i="4" s="1"/>
  <c r="AM87" i="4"/>
  <c r="AN87" i="4" s="1"/>
  <c r="AL473" i="5"/>
  <c r="AK473" i="5"/>
  <c r="AP464" i="5"/>
  <c r="AL553" i="5"/>
  <c r="AK553" i="5"/>
  <c r="AH144" i="4"/>
  <c r="B105" i="2"/>
  <c r="B106" i="2" s="1"/>
  <c r="B74" i="2"/>
  <c r="B95" i="2"/>
  <c r="AL546" i="5"/>
  <c r="AK546" i="5"/>
  <c r="AP546" i="5"/>
  <c r="AK175" i="5"/>
  <c r="AL175" i="5"/>
  <c r="AK10" i="5"/>
  <c r="AL10" i="5"/>
  <c r="AL469" i="5"/>
  <c r="AP469" i="5"/>
  <c r="AK469" i="5"/>
  <c r="AK334" i="5"/>
  <c r="AP334" i="5"/>
  <c r="AL334" i="5"/>
  <c r="AL129" i="5"/>
  <c r="AK129" i="5"/>
  <c r="AK516" i="5"/>
  <c r="AL516" i="5"/>
  <c r="AK409" i="5"/>
  <c r="AL409" i="5"/>
  <c r="AP409" i="5"/>
  <c r="AK290" i="5"/>
  <c r="AL290" i="5"/>
  <c r="AK91" i="5"/>
  <c r="AL91" i="5"/>
  <c r="AL424" i="5"/>
  <c r="AK424" i="5"/>
  <c r="AP424" i="5"/>
  <c r="AK419" i="5"/>
  <c r="AL419" i="5"/>
  <c r="AK124" i="5"/>
  <c r="AL124" i="5"/>
  <c r="AP124" i="5"/>
  <c r="AK474" i="5"/>
  <c r="AL474" i="5"/>
  <c r="AK511" i="5"/>
  <c r="AL511" i="5"/>
  <c r="AP511" i="5"/>
  <c r="AK332" i="5"/>
  <c r="AL332" i="5"/>
  <c r="AL146" i="5"/>
  <c r="AK146" i="5"/>
  <c r="AL540" i="5"/>
  <c r="AK540" i="5"/>
  <c r="AK415" i="5"/>
  <c r="AL415" i="5"/>
  <c r="AP415" i="5"/>
  <c r="AK192" i="5"/>
  <c r="AL192" i="5"/>
  <c r="AL69" i="5"/>
  <c r="AK69" i="5"/>
  <c r="AL494" i="5"/>
  <c r="AK494" i="5"/>
  <c r="AL296" i="5"/>
  <c r="AK296" i="5"/>
  <c r="AL154" i="5"/>
  <c r="AK154" i="5"/>
  <c r="AK151" i="5"/>
  <c r="AL151" i="5"/>
  <c r="AP151" i="5"/>
  <c r="AP19" i="5"/>
  <c r="AL19" i="5"/>
  <c r="AK19" i="5"/>
  <c r="AK373" i="5"/>
  <c r="AL373" i="5"/>
  <c r="AP373" i="5"/>
  <c r="AL267" i="5"/>
  <c r="AK267" i="5"/>
  <c r="AK134" i="5"/>
  <c r="AL134" i="5"/>
  <c r="AK490" i="5"/>
  <c r="AP490" i="5"/>
  <c r="AL490" i="5"/>
  <c r="AK382" i="5"/>
  <c r="AL382" i="5"/>
  <c r="AL301" i="5"/>
  <c r="AK301" i="5"/>
  <c r="AK166" i="5"/>
  <c r="AL166" i="5"/>
  <c r="AK52" i="5"/>
  <c r="AL52" i="5"/>
  <c r="AP52" i="5"/>
  <c r="AK421" i="5"/>
  <c r="AL421" i="5"/>
  <c r="AK413" i="5"/>
  <c r="AP413" i="5"/>
  <c r="AL413" i="5"/>
  <c r="AL197" i="5"/>
  <c r="AK197" i="5"/>
  <c r="AP197" i="5"/>
  <c r="AL130" i="5"/>
  <c r="AK130" i="5"/>
  <c r="AK547" i="5"/>
  <c r="AP547" i="5"/>
  <c r="AL547" i="5"/>
  <c r="AP385" i="5"/>
  <c r="AK385" i="5"/>
  <c r="AL385" i="5"/>
  <c r="AL277" i="5"/>
  <c r="AK277" i="5"/>
  <c r="AP277" i="5"/>
  <c r="AK222" i="5"/>
  <c r="AL222" i="5"/>
  <c r="AL109" i="5"/>
  <c r="AK109" i="5"/>
  <c r="AL528" i="5"/>
  <c r="AK528" i="5"/>
  <c r="AK396" i="5"/>
  <c r="AL396" i="5"/>
  <c r="AP254" i="5"/>
  <c r="AK254" i="5"/>
  <c r="AL254" i="5"/>
  <c r="AK133" i="5"/>
  <c r="AL133" i="5"/>
  <c r="AL246" i="5"/>
  <c r="AK246" i="5"/>
  <c r="AP246" i="5"/>
  <c r="AK241" i="5"/>
  <c r="AL241" i="5"/>
  <c r="AP241" i="5"/>
  <c r="AK65" i="5"/>
  <c r="AL65" i="5"/>
  <c r="AP128" i="5"/>
  <c r="AK384" i="5"/>
  <c r="AL384" i="5"/>
  <c r="AP553" i="5"/>
  <c r="AP121" i="5"/>
  <c r="AP154" i="5"/>
  <c r="AP149" i="5"/>
  <c r="AL203" i="5"/>
  <c r="AP203" i="5"/>
  <c r="AK203" i="5"/>
  <c r="AL176" i="5"/>
  <c r="AK176" i="5"/>
  <c r="AP256" i="5"/>
  <c r="AK448" i="5"/>
  <c r="AL448" i="5"/>
  <c r="AL263" i="5"/>
  <c r="AK263" i="5"/>
  <c r="AP263" i="5"/>
  <c r="AM75" i="4"/>
  <c r="AN75" i="4" s="1"/>
  <c r="W75" i="4"/>
  <c r="Y75" i="4" s="1"/>
  <c r="AP316" i="5"/>
  <c r="AP285" i="5"/>
  <c r="AP294" i="5"/>
  <c r="AP115" i="5"/>
  <c r="AK115" i="5"/>
  <c r="AL115" i="5"/>
  <c r="AL339" i="5"/>
  <c r="AP339" i="5"/>
  <c r="AK339" i="5"/>
  <c r="AL360" i="5"/>
  <c r="AK360" i="5"/>
  <c r="AK127" i="5"/>
  <c r="AL127" i="5"/>
  <c r="AR141" i="5"/>
  <c r="AK83" i="5"/>
  <c r="AL83" i="5"/>
  <c r="AP83" i="5"/>
  <c r="AK48" i="5"/>
  <c r="AL48" i="5"/>
  <c r="AP240" i="5"/>
  <c r="AK488" i="5"/>
  <c r="AL488" i="5"/>
  <c r="AM147" i="4"/>
  <c r="AN147" i="4" s="1"/>
  <c r="W147" i="4"/>
  <c r="Y147" i="4" s="1"/>
  <c r="Z147" i="4" s="1"/>
  <c r="AM31" i="4"/>
  <c r="AN31" i="4" s="1"/>
  <c r="W31" i="4"/>
  <c r="Y31" i="4" s="1"/>
  <c r="Z31" i="4" s="1"/>
  <c r="AF31" i="4" s="1"/>
  <c r="AP113" i="5"/>
  <c r="AP96" i="5"/>
  <c r="AK216" i="5"/>
  <c r="AL216" i="5"/>
  <c r="AK271" i="5"/>
  <c r="AL271" i="5"/>
  <c r="AP271" i="5"/>
  <c r="AK430" i="5"/>
  <c r="AL430" i="5"/>
  <c r="AP430" i="5"/>
  <c r="AL456" i="5"/>
  <c r="AK456" i="5"/>
  <c r="AP456" i="5"/>
  <c r="AL545" i="5"/>
  <c r="AK545" i="5"/>
  <c r="AL361" i="5"/>
  <c r="AK361" i="5"/>
  <c r="AP361" i="5"/>
  <c r="AK260" i="5"/>
  <c r="AL260" i="5"/>
  <c r="AK122" i="5"/>
  <c r="AL122" i="5"/>
  <c r="AP122" i="5"/>
  <c r="AP279" i="5"/>
  <c r="AL279" i="5"/>
  <c r="AK279" i="5"/>
  <c r="AL343" i="5"/>
  <c r="AK343" i="5"/>
  <c r="AP343" i="5"/>
  <c r="AK220" i="5"/>
  <c r="AL220" i="5"/>
  <c r="AP220" i="5"/>
  <c r="AK27" i="5"/>
  <c r="AL27" i="5"/>
  <c r="AP27" i="5"/>
  <c r="AK513" i="5"/>
  <c r="AL513" i="5"/>
  <c r="AP513" i="5"/>
  <c r="AK350" i="5"/>
  <c r="AL350" i="5"/>
  <c r="AP174" i="5"/>
  <c r="AK174" i="5"/>
  <c r="AL174" i="5"/>
  <c r="AL560" i="5"/>
  <c r="AK560" i="5"/>
  <c r="AK453" i="5"/>
  <c r="AL453" i="5"/>
  <c r="AP453" i="5"/>
  <c r="AK249" i="5"/>
  <c r="AL249" i="5"/>
  <c r="AP249" i="5"/>
  <c r="AK90" i="5"/>
  <c r="AL90" i="5"/>
  <c r="AP90" i="5"/>
  <c r="AL460" i="5"/>
  <c r="AK460" i="5"/>
  <c r="AL341" i="5"/>
  <c r="AK341" i="5"/>
  <c r="AK235" i="5"/>
  <c r="AL235" i="5"/>
  <c r="AP235" i="5"/>
  <c r="AL37" i="5"/>
  <c r="AK37" i="5"/>
  <c r="AL441" i="5"/>
  <c r="AK441" i="5"/>
  <c r="AP441" i="5"/>
  <c r="AK289" i="5"/>
  <c r="AL289" i="5"/>
  <c r="AP289" i="5"/>
  <c r="AK145" i="5"/>
  <c r="AL145" i="5"/>
  <c r="AP145" i="5"/>
  <c r="AL136" i="5"/>
  <c r="AP136" i="5"/>
  <c r="AK136" i="5"/>
  <c r="AK498" i="5"/>
  <c r="AL498" i="5"/>
  <c r="AP480" i="5"/>
  <c r="AL480" i="5"/>
  <c r="AK480" i="5"/>
  <c r="AL287" i="5"/>
  <c r="AK287" i="5"/>
  <c r="AK106" i="5"/>
  <c r="AL106" i="5"/>
  <c r="AP106" i="5"/>
  <c r="AK422" i="5"/>
  <c r="AL422" i="5"/>
  <c r="AL398" i="5"/>
  <c r="AK398" i="5"/>
  <c r="AK230" i="5"/>
  <c r="AL230" i="5"/>
  <c r="AP230" i="5"/>
  <c r="AK150" i="5"/>
  <c r="AL150" i="5"/>
  <c r="AP150" i="5"/>
  <c r="AK21" i="5"/>
  <c r="AL21" i="5"/>
  <c r="AK509" i="5"/>
  <c r="AL509" i="5"/>
  <c r="AP509" i="5"/>
  <c r="AL380" i="5"/>
  <c r="AK380" i="5"/>
  <c r="AK226" i="5"/>
  <c r="AL226" i="5"/>
  <c r="AK84" i="5"/>
  <c r="AL84" i="5"/>
  <c r="AP84" i="5"/>
  <c r="AK527" i="5"/>
  <c r="AL527" i="5"/>
  <c r="AL401" i="5"/>
  <c r="AP401" i="5"/>
  <c r="AK401" i="5"/>
  <c r="AK250" i="5"/>
  <c r="AL250" i="5"/>
  <c r="AK194" i="5"/>
  <c r="AL194" i="5"/>
  <c r="AK78" i="5"/>
  <c r="AL78" i="5"/>
  <c r="AP550" i="5"/>
  <c r="AK550" i="5"/>
  <c r="AL550" i="5"/>
  <c r="AK420" i="5"/>
  <c r="AL420" i="5"/>
  <c r="AK330" i="5"/>
  <c r="AL330" i="5"/>
  <c r="AL116" i="5"/>
  <c r="AK116" i="5"/>
  <c r="AP116" i="5"/>
  <c r="AK297" i="5"/>
  <c r="AL297" i="5"/>
  <c r="AP297" i="5"/>
  <c r="AK214" i="5"/>
  <c r="AL214" i="5"/>
  <c r="AK36" i="5"/>
  <c r="AP36" i="5"/>
  <c r="AL36" i="5"/>
  <c r="AK512" i="5"/>
  <c r="AL512" i="5"/>
  <c r="W60" i="4"/>
  <c r="Y60" i="4" s="1"/>
  <c r="AP473" i="5"/>
  <c r="AP439" i="5"/>
  <c r="AM85" i="4"/>
  <c r="AN85" i="4" s="1"/>
  <c r="W85" i="4"/>
  <c r="Y85" i="4" s="1"/>
  <c r="Z85" i="4" s="1"/>
  <c r="AP89" i="5"/>
  <c r="AP449" i="5"/>
  <c r="AP458" i="5"/>
  <c r="AL59" i="5"/>
  <c r="AK59" i="5"/>
  <c r="AP59" i="5"/>
  <c r="AK457" i="5"/>
  <c r="AL457" i="5"/>
  <c r="AL519" i="5"/>
  <c r="AK519" i="5"/>
  <c r="AP519" i="5"/>
  <c r="AK217" i="5"/>
  <c r="AL217" i="5"/>
  <c r="AK200" i="5"/>
  <c r="AL200" i="5"/>
  <c r="AP200" i="5"/>
  <c r="AM104" i="4"/>
  <c r="AN104" i="4" s="1"/>
  <c r="W104" i="4"/>
  <c r="Y104" i="4" s="1"/>
  <c r="Z104" i="4" s="1"/>
  <c r="AH107" i="4"/>
  <c r="AR548" i="5"/>
  <c r="AM156" i="4"/>
  <c r="AN156" i="4" s="1"/>
  <c r="W156" i="4"/>
  <c r="Y156" i="4" s="1"/>
  <c r="Z156" i="4" s="1"/>
  <c r="AK432" i="5"/>
  <c r="AL432" i="5"/>
  <c r="AP223" i="5"/>
  <c r="W107" i="4"/>
  <c r="Y107" i="4" s="1"/>
  <c r="Z107" i="4" s="1"/>
  <c r="AM107" i="4"/>
  <c r="AN107" i="4" s="1"/>
  <c r="AL8" i="5"/>
  <c r="AK8" i="5"/>
  <c r="AP280" i="5"/>
  <c r="S7" i="5"/>
  <c r="R7" i="5"/>
  <c r="AH28" i="4"/>
  <c r="W139" i="4"/>
  <c r="Y139" i="4" s="1"/>
  <c r="Z139" i="4" s="1"/>
  <c r="AM139" i="4"/>
  <c r="AN139" i="4" s="1"/>
  <c r="AH90" i="4"/>
  <c r="AL312" i="5"/>
  <c r="AK312" i="5"/>
  <c r="AK295" i="5"/>
  <c r="AL295" i="5"/>
  <c r="AP295" i="5"/>
  <c r="AP455" i="5"/>
  <c r="AL211" i="5"/>
  <c r="AK211" i="5"/>
  <c r="AL347" i="5"/>
  <c r="AK347" i="5"/>
  <c r="AP347" i="5"/>
  <c r="AM88" i="4"/>
  <c r="AN88" i="4" s="1"/>
  <c r="W88" i="4"/>
  <c r="Y88" i="4" s="1"/>
  <c r="Z88" i="4" s="1"/>
  <c r="AP8" i="5"/>
  <c r="AK327" i="5"/>
  <c r="AL327" i="5"/>
  <c r="W110" i="4"/>
  <c r="Y110" i="4" s="1"/>
  <c r="Z110" i="4" s="1"/>
  <c r="AM110" i="4"/>
  <c r="AN110" i="4" s="1"/>
  <c r="AP341" i="5"/>
  <c r="AL438" i="5"/>
  <c r="AK438" i="5"/>
  <c r="AK326" i="5"/>
  <c r="AL326" i="5"/>
  <c r="AL318" i="5"/>
  <c r="AK318" i="5"/>
  <c r="AL478" i="5"/>
  <c r="AK478" i="5"/>
  <c r="AP478" i="5"/>
  <c r="AL477" i="5"/>
  <c r="AK477" i="5"/>
  <c r="AK275" i="5"/>
  <c r="AL275" i="5"/>
  <c r="AP275" i="5"/>
  <c r="AK103" i="5"/>
  <c r="AL103" i="5"/>
  <c r="AL496" i="5"/>
  <c r="AK496" i="5"/>
  <c r="AP366" i="5"/>
  <c r="AK366" i="5"/>
  <c r="AL366" i="5"/>
  <c r="AK202" i="5"/>
  <c r="AL202" i="5"/>
  <c r="AK41" i="5"/>
  <c r="AL41" i="5"/>
  <c r="AP41" i="5"/>
  <c r="AK463" i="5"/>
  <c r="AL463" i="5"/>
  <c r="AL319" i="5"/>
  <c r="AK319" i="5"/>
  <c r="AP319" i="5"/>
  <c r="AL108" i="5"/>
  <c r="AK108" i="5"/>
  <c r="AP108" i="5"/>
  <c r="AL559" i="5"/>
  <c r="AK559" i="5"/>
  <c r="AP559" i="5"/>
  <c r="AK397" i="5"/>
  <c r="AL397" i="5"/>
  <c r="AL262" i="5"/>
  <c r="AK262" i="5"/>
  <c r="AK77" i="5"/>
  <c r="AL77" i="5"/>
  <c r="AK402" i="5"/>
  <c r="AL402" i="5"/>
  <c r="AK392" i="5"/>
  <c r="AL392" i="5"/>
  <c r="AK184" i="5"/>
  <c r="AL184" i="5"/>
  <c r="AL555" i="5"/>
  <c r="AP555" i="5"/>
  <c r="AK555" i="5"/>
  <c r="AL500" i="5"/>
  <c r="AP500" i="5"/>
  <c r="AK500" i="5"/>
  <c r="AK309" i="5"/>
  <c r="AP309" i="5"/>
  <c r="AL309" i="5"/>
  <c r="AL126" i="5"/>
  <c r="AK126" i="5"/>
  <c r="AK117" i="5"/>
  <c r="AL117" i="5"/>
  <c r="AK530" i="5"/>
  <c r="AL530" i="5"/>
  <c r="AK352" i="5"/>
  <c r="AL352" i="5"/>
  <c r="AP352" i="5"/>
  <c r="AK321" i="5"/>
  <c r="AL321" i="5"/>
  <c r="AK82" i="5"/>
  <c r="AL82" i="5"/>
  <c r="AL510" i="5"/>
  <c r="AK510" i="5"/>
  <c r="AK358" i="5"/>
  <c r="AL358" i="5"/>
  <c r="AP358" i="5"/>
  <c r="AL317" i="5"/>
  <c r="AK317" i="5"/>
  <c r="AP317" i="5"/>
  <c r="AL132" i="5"/>
  <c r="AP132" i="5"/>
  <c r="AK132" i="5"/>
  <c r="AL20" i="5"/>
  <c r="AK20" i="5"/>
  <c r="AL454" i="5"/>
  <c r="AK454" i="5"/>
  <c r="AK357" i="5"/>
  <c r="AL357" i="5"/>
  <c r="AP357" i="5"/>
  <c r="AL205" i="5"/>
  <c r="AK205" i="5"/>
  <c r="AK54" i="5"/>
  <c r="AL54" i="5"/>
  <c r="AP442" i="5"/>
  <c r="AK442" i="5"/>
  <c r="AL442" i="5"/>
  <c r="AK394" i="5"/>
  <c r="AL394" i="5"/>
  <c r="AL293" i="5"/>
  <c r="AK293" i="5"/>
  <c r="AP293" i="5"/>
  <c r="AK165" i="5"/>
  <c r="AL165" i="5"/>
  <c r="AL74" i="5"/>
  <c r="AP74" i="5"/>
  <c r="AK74" i="5"/>
  <c r="AL542" i="5"/>
  <c r="AK542" i="5"/>
  <c r="AK378" i="5"/>
  <c r="AL378" i="5"/>
  <c r="AL298" i="5"/>
  <c r="AK298" i="5"/>
  <c r="AP298" i="5"/>
  <c r="AK138" i="5"/>
  <c r="AL138" i="5"/>
  <c r="AK270" i="5"/>
  <c r="AL270" i="5"/>
  <c r="AL148" i="5"/>
  <c r="AK148" i="5"/>
  <c r="AK34" i="5"/>
  <c r="AL34" i="5"/>
  <c r="AP91" i="5"/>
  <c r="AK231" i="5"/>
  <c r="AL231" i="5"/>
  <c r="AP231" i="5"/>
  <c r="AP419" i="5"/>
  <c r="AP29" i="5"/>
  <c r="AP389" i="5"/>
  <c r="AP99" i="5"/>
  <c r="AK191" i="5"/>
  <c r="AL191" i="5"/>
  <c r="AP191" i="5"/>
  <c r="AP421" i="5"/>
  <c r="AP162" i="5"/>
  <c r="AK131" i="5"/>
  <c r="AL131" i="5"/>
  <c r="AK171" i="5"/>
  <c r="AP171" i="5"/>
  <c r="AL171" i="5"/>
  <c r="AL195" i="5"/>
  <c r="AK195" i="5"/>
  <c r="AP195" i="5"/>
  <c r="AK467" i="5"/>
  <c r="AL467" i="5"/>
  <c r="AP467" i="5"/>
  <c r="AK403" i="5"/>
  <c r="AL403" i="5"/>
  <c r="AP403" i="5"/>
  <c r="AL272" i="5"/>
  <c r="AK272" i="5"/>
  <c r="AP272" i="5"/>
  <c r="AL299" i="5"/>
  <c r="AK299" i="5"/>
  <c r="AK239" i="5"/>
  <c r="AL239" i="5"/>
  <c r="AM80" i="4"/>
  <c r="AN80" i="4" s="1"/>
  <c r="W80" i="4"/>
  <c r="Y80" i="4" s="1"/>
  <c r="Z80" i="4" s="1"/>
  <c r="AL291" i="5"/>
  <c r="AK291" i="5"/>
  <c r="AK487" i="5"/>
  <c r="AL487" i="5"/>
  <c r="AK515" i="5"/>
  <c r="AL515" i="5"/>
  <c r="AP515" i="5"/>
  <c r="X98" i="4"/>
  <c r="AP264" i="5"/>
  <c r="AM41" i="4"/>
  <c r="AN41" i="4" s="1"/>
  <c r="W41" i="4"/>
  <c r="Y41" i="4" s="1"/>
  <c r="Z41" i="4" s="1"/>
  <c r="AF41" i="4" s="1"/>
  <c r="AH36" i="4"/>
  <c r="AL163" i="5"/>
  <c r="AK163" i="5"/>
  <c r="AP163" i="5"/>
  <c r="AP97" i="5"/>
  <c r="AK507" i="5"/>
  <c r="AL507" i="5"/>
  <c r="AP507" i="5"/>
  <c r="AL524" i="5"/>
  <c r="AK524" i="5"/>
  <c r="AL210" i="5"/>
  <c r="AK210" i="5"/>
  <c r="AL522" i="5"/>
  <c r="AK522" i="5"/>
  <c r="AK410" i="5"/>
  <c r="AL410" i="5"/>
  <c r="AL302" i="5"/>
  <c r="AK302" i="5"/>
  <c r="AL67" i="5"/>
  <c r="AK67" i="5"/>
  <c r="AP67" i="5"/>
  <c r="AP425" i="5"/>
  <c r="AK425" i="5"/>
  <c r="AL425" i="5"/>
  <c r="AK426" i="5"/>
  <c r="AL426" i="5"/>
  <c r="AK142" i="5"/>
  <c r="AL142" i="5"/>
  <c r="AK529" i="5"/>
  <c r="AL529" i="5"/>
  <c r="AP529" i="5"/>
  <c r="AP537" i="5"/>
  <c r="AL537" i="5"/>
  <c r="AK537" i="5"/>
  <c r="AL190" i="5"/>
  <c r="AK190" i="5"/>
  <c r="AK161" i="5"/>
  <c r="AL161" i="5"/>
  <c r="AP161" i="5"/>
  <c r="AL544" i="5"/>
  <c r="AK544" i="5"/>
  <c r="AL259" i="5"/>
  <c r="AK259" i="5"/>
  <c r="AK206" i="5"/>
  <c r="AL206" i="5"/>
  <c r="AP206" i="5"/>
  <c r="AL53" i="5"/>
  <c r="AK53" i="5"/>
  <c r="AP53" i="5"/>
  <c r="AK499" i="5"/>
  <c r="AL499" i="5"/>
  <c r="AL337" i="5"/>
  <c r="AK337" i="5"/>
  <c r="AL139" i="5"/>
  <c r="AK139" i="5"/>
  <c r="AP139" i="5"/>
  <c r="AL551" i="5"/>
  <c r="AK551" i="5"/>
  <c r="AL440" i="5"/>
  <c r="AP440" i="5"/>
  <c r="AK440" i="5"/>
  <c r="AK331" i="5"/>
  <c r="AL331" i="5"/>
  <c r="AP331" i="5"/>
  <c r="AK94" i="5"/>
  <c r="AL94" i="5"/>
  <c r="AK93" i="5"/>
  <c r="AL93" i="5"/>
  <c r="AK404" i="5"/>
  <c r="AL404" i="5"/>
  <c r="AL372" i="5"/>
  <c r="AK372" i="5"/>
  <c r="AL232" i="5"/>
  <c r="AK232" i="5"/>
  <c r="AL57" i="5"/>
  <c r="AP57" i="5"/>
  <c r="AK57" i="5"/>
  <c r="AK436" i="5"/>
  <c r="AL436" i="5"/>
  <c r="AK274" i="5"/>
  <c r="AL274" i="5"/>
  <c r="AK278" i="5"/>
  <c r="AL278" i="5"/>
  <c r="AK158" i="5"/>
  <c r="AL158" i="5"/>
  <c r="AK22" i="5"/>
  <c r="AL22" i="5"/>
  <c r="AK484" i="5"/>
  <c r="AL484" i="5"/>
  <c r="AP484" i="5"/>
  <c r="AK282" i="5"/>
  <c r="AP282" i="5"/>
  <c r="AL282" i="5"/>
  <c r="AK170" i="5"/>
  <c r="AL170" i="5"/>
  <c r="AP170" i="5"/>
  <c r="AK45" i="5"/>
  <c r="AL45" i="5"/>
  <c r="AL417" i="5"/>
  <c r="AK417" i="5"/>
  <c r="AK349" i="5"/>
  <c r="AP349" i="5"/>
  <c r="AL349" i="5"/>
  <c r="AK257" i="5"/>
  <c r="AL257" i="5"/>
  <c r="AL186" i="5"/>
  <c r="AK186" i="5"/>
  <c r="AP186" i="5"/>
  <c r="AP50" i="5"/>
  <c r="AL50" i="5"/>
  <c r="AK50" i="5"/>
  <c r="AK517" i="5"/>
  <c r="AL517" i="5"/>
  <c r="AK342" i="5"/>
  <c r="AL342" i="5"/>
  <c r="AP342" i="5"/>
  <c r="AL218" i="5"/>
  <c r="AK218" i="5"/>
  <c r="AK101" i="5"/>
  <c r="AL101" i="5"/>
  <c r="AK213" i="5"/>
  <c r="AP213" i="5"/>
  <c r="AL213" i="5"/>
  <c r="AL188" i="5"/>
  <c r="AP188" i="5"/>
  <c r="AK188" i="5"/>
  <c r="AL33" i="5"/>
  <c r="AP33" i="5"/>
  <c r="AK33" i="5"/>
  <c r="AP31" i="5"/>
  <c r="AM32" i="4"/>
  <c r="AN32" i="4" s="1"/>
  <c r="W32" i="4"/>
  <c r="Y32" i="4" s="1"/>
  <c r="AP499" i="5"/>
  <c r="AK281" i="5"/>
  <c r="AL281" i="5"/>
  <c r="AK120" i="5"/>
  <c r="AL120" i="5"/>
  <c r="AP120" i="5"/>
  <c r="AK159" i="5"/>
  <c r="AL159" i="5"/>
  <c r="AK383" i="5"/>
  <c r="AL383" i="5"/>
  <c r="AK533" i="5"/>
  <c r="AL533" i="5"/>
  <c r="AM81" i="4"/>
  <c r="AN81" i="4" s="1"/>
  <c r="W81" i="4"/>
  <c r="Y81" i="4" s="1"/>
  <c r="Z81" i="4" s="1"/>
  <c r="AP299" i="5"/>
  <c r="AR465" i="5" l="1"/>
  <c r="AQ544" i="5"/>
  <c r="AR470" i="5"/>
  <c r="AR556" i="5"/>
  <c r="AR491" i="5"/>
  <c r="AR521" i="5"/>
  <c r="AQ539" i="5"/>
  <c r="AR335" i="5"/>
  <c r="AR383" i="5"/>
  <c r="AQ169" i="5"/>
  <c r="AQ450" i="5"/>
  <c r="AR65" i="5"/>
  <c r="AQ359" i="5"/>
  <c r="AR290" i="5"/>
  <c r="AQ25" i="5"/>
  <c r="AQ460" i="5"/>
  <c r="AR130" i="5"/>
  <c r="AQ355" i="5"/>
  <c r="AR281" i="5"/>
  <c r="AQ283" i="5"/>
  <c r="AR333" i="5"/>
  <c r="AR176" i="5"/>
  <c r="AR51" i="5"/>
  <c r="AQ192" i="5"/>
  <c r="AR119" i="5"/>
  <c r="AR437" i="5"/>
  <c r="AQ24" i="5"/>
  <c r="AQ129" i="5"/>
  <c r="AQ217" i="5"/>
  <c r="AR187" i="5"/>
  <c r="AR189" i="5"/>
  <c r="AQ69" i="5"/>
  <c r="AN12" i="5"/>
  <c r="AR398" i="5"/>
  <c r="AQ43" i="5"/>
  <c r="AQ340" i="5"/>
  <c r="AR212" i="5"/>
  <c r="AR244" i="5"/>
  <c r="X12" i="5"/>
  <c r="AQ157" i="5"/>
  <c r="AR348" i="5"/>
  <c r="AR451" i="5"/>
  <c r="AR314" i="5"/>
  <c r="AQ371" i="5"/>
  <c r="AQ560" i="5"/>
  <c r="AR492" i="5"/>
  <c r="AQ396" i="5"/>
  <c r="AQ64" i="5"/>
  <c r="AR354" i="5"/>
  <c r="AR558" i="5"/>
  <c r="AR557" i="5"/>
  <c r="AR238" i="5"/>
  <c r="AR485" i="5"/>
  <c r="AQ267" i="5"/>
  <c r="AQ109" i="5"/>
  <c r="AQ540" i="5"/>
  <c r="AR72" i="5"/>
  <c r="AQ405" i="5"/>
  <c r="AQ202" i="5"/>
  <c r="AR410" i="5"/>
  <c r="AR332" i="5"/>
  <c r="AQ434" i="5"/>
  <c r="AQ92" i="5"/>
  <c r="AR148" i="5"/>
  <c r="AR287" i="5"/>
  <c r="AR147" i="5"/>
  <c r="AR112" i="5"/>
  <c r="AQ512" i="5"/>
  <c r="AR516" i="5"/>
  <c r="AR47" i="5"/>
  <c r="AQ306" i="5"/>
  <c r="AR386" i="5"/>
  <c r="AR300" i="5"/>
  <c r="AR78" i="5"/>
  <c r="AR382" i="5"/>
  <c r="AQ346" i="5"/>
  <c r="AQ234" i="5"/>
  <c r="AR166" i="5"/>
  <c r="AQ48" i="5"/>
  <c r="AR222" i="5"/>
  <c r="AQ527" i="5"/>
  <c r="AQ273" i="5"/>
  <c r="AR536" i="5"/>
  <c r="AQ486" i="5"/>
  <c r="AR133" i="5"/>
  <c r="AR494" i="5"/>
  <c r="R12" i="5"/>
  <c r="AH12" i="5"/>
  <c r="AR379" i="5"/>
  <c r="AP12" i="5"/>
  <c r="AR12" i="5" s="1"/>
  <c r="AR390" i="5"/>
  <c r="AR313" i="5"/>
  <c r="AL12" i="5"/>
  <c r="AR270" i="5"/>
  <c r="AQ173" i="5"/>
  <c r="AQ520" i="5"/>
  <c r="AQ307" i="5"/>
  <c r="AK12" i="5"/>
  <c r="AQ110" i="5"/>
  <c r="AQ356" i="5"/>
  <c r="AQ214" i="5"/>
  <c r="AQ127" i="5"/>
  <c r="AR199" i="5"/>
  <c r="AQ250" i="5"/>
  <c r="AR182" i="5"/>
  <c r="AR365" i="5"/>
  <c r="AQ227" i="5"/>
  <c r="AR205" i="5"/>
  <c r="AR418" i="5"/>
  <c r="AR26" i="5"/>
  <c r="AQ153" i="5"/>
  <c r="AQ454" i="5"/>
  <c r="AQ93" i="5"/>
  <c r="AQ372" i="5"/>
  <c r="AR245" i="5"/>
  <c r="AQ135" i="5"/>
  <c r="AR225" i="5"/>
  <c r="AR387" i="5"/>
  <c r="AR483" i="5"/>
  <c r="AR496" i="5"/>
  <c r="AR510" i="5"/>
  <c r="AQ134" i="5"/>
  <c r="AR432" i="5"/>
  <c r="AQ380" i="5"/>
  <c r="AQ497" i="5"/>
  <c r="AQ404" i="5"/>
  <c r="AR262" i="5"/>
  <c r="AR394" i="5"/>
  <c r="AQ428" i="5"/>
  <c r="AQ58" i="5"/>
  <c r="AR528" i="5"/>
  <c r="AR175" i="5"/>
  <c r="AR304" i="5"/>
  <c r="AQ301" i="5"/>
  <c r="AR159" i="5"/>
  <c r="AQ252" i="5"/>
  <c r="AQ402" i="5"/>
  <c r="AR105" i="5"/>
  <c r="AR216" i="5"/>
  <c r="AR461" i="5"/>
  <c r="AQ178" i="5"/>
  <c r="AR324" i="5"/>
  <c r="AQ326" i="5"/>
  <c r="AR477" i="5"/>
  <c r="AQ350" i="5"/>
  <c r="AR506" i="5"/>
  <c r="AP10" i="5"/>
  <c r="AQ10" i="5" s="1"/>
  <c r="AM11" i="4"/>
  <c r="AN11" i="4" s="1"/>
  <c r="AM123" i="4"/>
  <c r="AN123" i="4" s="1"/>
  <c r="AM106" i="4"/>
  <c r="AN106" i="4" s="1"/>
  <c r="AM95" i="4"/>
  <c r="AN95" i="4" s="1"/>
  <c r="W151" i="4"/>
  <c r="Y151" i="4" s="1"/>
  <c r="Z151" i="4" s="1"/>
  <c r="AF151" i="4" s="1"/>
  <c r="W153" i="4"/>
  <c r="Y153" i="4" s="1"/>
  <c r="Z153" i="4" s="1"/>
  <c r="AM25" i="4"/>
  <c r="AN25" i="4" s="1"/>
  <c r="W27" i="4"/>
  <c r="Y27" i="4" s="1"/>
  <c r="Z27" i="4" s="1"/>
  <c r="AF27" i="4" s="1"/>
  <c r="AG27" i="4" s="1"/>
  <c r="AI27" i="4" s="1"/>
  <c r="W29" i="4"/>
  <c r="Y29" i="4" s="1"/>
  <c r="Z29" i="4" s="1"/>
  <c r="Z30" i="4"/>
  <c r="AF30" i="4" s="1"/>
  <c r="W154" i="4"/>
  <c r="Y154" i="4" s="1"/>
  <c r="W136" i="4"/>
  <c r="Y136" i="4" s="1"/>
  <c r="Z136" i="4" s="1"/>
  <c r="AF136" i="4" s="1"/>
  <c r="Z74" i="4"/>
  <c r="AF74" i="4" s="1"/>
  <c r="AJ54" i="4"/>
  <c r="AJ73" i="4"/>
  <c r="Z154" i="4"/>
  <c r="AF154" i="4" s="1"/>
  <c r="Z108" i="4"/>
  <c r="AJ126" i="4"/>
  <c r="Z106" i="4"/>
  <c r="AF106" i="4" s="1"/>
  <c r="AO106" i="4" s="1"/>
  <c r="AR237" i="5"/>
  <c r="AR312" i="5"/>
  <c r="AQ146" i="5"/>
  <c r="AR522" i="5"/>
  <c r="AQ38" i="5"/>
  <c r="AR524" i="5"/>
  <c r="Z70" i="4"/>
  <c r="AR118" i="5"/>
  <c r="AQ218" i="5"/>
  <c r="AR81" i="5"/>
  <c r="AQ345" i="5"/>
  <c r="AN77" i="4"/>
  <c r="Z16" i="4"/>
  <c r="AF16" i="4" s="1"/>
  <c r="Z102" i="4"/>
  <c r="AF102" i="4" s="1"/>
  <c r="W7" i="4"/>
  <c r="AE7" i="4" s="1"/>
  <c r="W76" i="4"/>
  <c r="X76" i="4" s="1"/>
  <c r="AJ76" i="4" s="1"/>
  <c r="W127" i="4"/>
  <c r="Z49" i="4"/>
  <c r="AF49" i="4" s="1"/>
  <c r="AO49" i="4" s="1"/>
  <c r="AM52" i="4"/>
  <c r="AN52" i="4" s="1"/>
  <c r="W18" i="4"/>
  <c r="Y18" i="4" s="1"/>
  <c r="Z18" i="4" s="1"/>
  <c r="AF18" i="4" s="1"/>
  <c r="Z75" i="4"/>
  <c r="AF75" i="4" s="1"/>
  <c r="AO75" i="4" s="1"/>
  <c r="Z97" i="4"/>
  <c r="AM70" i="4"/>
  <c r="AN70" i="4" s="1"/>
  <c r="W35" i="4"/>
  <c r="X35" i="4" s="1"/>
  <c r="AJ35" i="4" s="1"/>
  <c r="AR535" i="5"/>
  <c r="AQ476" i="5"/>
  <c r="AR517" i="5"/>
  <c r="AR406" i="5"/>
  <c r="AR498" i="5"/>
  <c r="AQ104" i="5"/>
  <c r="AR330" i="5"/>
  <c r="AQ79" i="5"/>
  <c r="AQ184" i="5"/>
  <c r="AR384" i="5"/>
  <c r="AR426" i="5"/>
  <c r="AQ30" i="5"/>
  <c r="AR165" i="5"/>
  <c r="AR34" i="5"/>
  <c r="AQ318" i="5"/>
  <c r="AQ87" i="5"/>
  <c r="AR260" i="5"/>
  <c r="AQ23" i="5"/>
  <c r="AR551" i="5"/>
  <c r="AQ444" i="5"/>
  <c r="AQ530" i="5"/>
  <c r="AR321" i="5"/>
  <c r="AQ158" i="5"/>
  <c r="AR417" i="5"/>
  <c r="AQ302" i="5"/>
  <c r="AR70" i="5"/>
  <c r="AQ211" i="5"/>
  <c r="AN105" i="4"/>
  <c r="AC546" i="5"/>
  <c r="AD546" i="5" s="1"/>
  <c r="AC523" i="5"/>
  <c r="AE523" i="5" s="1"/>
  <c r="AC459" i="5"/>
  <c r="AD459" i="5" s="1"/>
  <c r="AC206" i="5"/>
  <c r="AS206" i="5" s="1"/>
  <c r="AL9" i="5"/>
  <c r="Z87" i="4"/>
  <c r="AF87" i="4" s="1"/>
  <c r="AO87" i="4" s="1"/>
  <c r="AC379" i="5"/>
  <c r="AE379" i="5" s="1"/>
  <c r="AC392" i="5"/>
  <c r="AS392" i="5" s="1"/>
  <c r="AC371" i="5"/>
  <c r="AE371" i="5" s="1"/>
  <c r="AC522" i="5"/>
  <c r="AD522" i="5" s="1"/>
  <c r="AC512" i="5"/>
  <c r="AS512" i="5" s="1"/>
  <c r="AC429" i="5"/>
  <c r="AS429" i="5" s="1"/>
  <c r="Z117" i="4"/>
  <c r="AF117" i="4" s="1"/>
  <c r="AC160" i="5"/>
  <c r="AS160" i="5" s="1"/>
  <c r="AB288" i="5"/>
  <c r="AC234" i="5"/>
  <c r="AD234" i="5" s="1"/>
  <c r="AC525" i="5"/>
  <c r="AE525" i="5" s="1"/>
  <c r="AC426" i="5"/>
  <c r="AD426" i="5" s="1"/>
  <c r="AC534" i="5"/>
  <c r="AD534" i="5" s="1"/>
  <c r="AC432" i="5"/>
  <c r="AS432" i="5" s="1"/>
  <c r="AC221" i="5"/>
  <c r="AS221" i="5" s="1"/>
  <c r="AC121" i="5"/>
  <c r="AS121" i="5" s="1"/>
  <c r="AC537" i="5"/>
  <c r="AE537" i="5" s="1"/>
  <c r="V11" i="5"/>
  <c r="AC80" i="5"/>
  <c r="AS80" i="5" s="1"/>
  <c r="AC23" i="5"/>
  <c r="AD23" i="5" s="1"/>
  <c r="AC530" i="5"/>
  <c r="AD530" i="5" s="1"/>
  <c r="AC289" i="5"/>
  <c r="AD289" i="5" s="1"/>
  <c r="AC264" i="5"/>
  <c r="AE264" i="5" s="1"/>
  <c r="AC446" i="5"/>
  <c r="AD446" i="5" s="1"/>
  <c r="AC117" i="5"/>
  <c r="AS117" i="5" s="1"/>
  <c r="AC97" i="5"/>
  <c r="AD97" i="5" s="1"/>
  <c r="AC105" i="5"/>
  <c r="AE105" i="5" s="1"/>
  <c r="B35" i="2"/>
  <c r="AC376" i="5"/>
  <c r="AD376" i="5" s="1"/>
  <c r="AC508" i="5"/>
  <c r="AE508" i="5" s="1"/>
  <c r="AC184" i="5"/>
  <c r="AD184" i="5" s="1"/>
  <c r="AQ77" i="5"/>
  <c r="AQ457" i="5"/>
  <c r="AR493" i="5"/>
  <c r="AR117" i="5"/>
  <c r="AQ22" i="5"/>
  <c r="AR422" i="5"/>
  <c r="AR20" i="5"/>
  <c r="AR284" i="5"/>
  <c r="AQ360" i="5"/>
  <c r="AR138" i="5"/>
  <c r="AR447" i="5"/>
  <c r="AQ37" i="5"/>
  <c r="AQ142" i="5"/>
  <c r="AQ229" i="5"/>
  <c r="AR233" i="5"/>
  <c r="AR258" i="5"/>
  <c r="AQ525" i="5"/>
  <c r="AQ239" i="5"/>
  <c r="AQ276" i="5"/>
  <c r="AQ42" i="5"/>
  <c r="AQ54" i="5"/>
  <c r="AR144" i="5"/>
  <c r="AR364" i="5"/>
  <c r="AQ219" i="5"/>
  <c r="AR463" i="5"/>
  <c r="K29" i="2"/>
  <c r="K30" i="2" s="1"/>
  <c r="AC463" i="5"/>
  <c r="AE463" i="5" s="1"/>
  <c r="AA445" i="5"/>
  <c r="W37" i="4"/>
  <c r="X37" i="4" s="1"/>
  <c r="AJ37" i="4" s="1"/>
  <c r="AR462" i="5"/>
  <c r="AQ21" i="5"/>
  <c r="AR448" i="5"/>
  <c r="AQ488" i="5"/>
  <c r="AR126" i="5"/>
  <c r="AR495" i="5"/>
  <c r="AR131" i="5"/>
  <c r="R31" i="2"/>
  <c r="S31" i="2" s="1"/>
  <c r="Q31" i="2"/>
  <c r="P31" i="2" s="1"/>
  <c r="AR378" i="5"/>
  <c r="AR255" i="5"/>
  <c r="AQ542" i="5"/>
  <c r="AR194" i="5"/>
  <c r="AQ190" i="5"/>
  <c r="AQ370" i="5"/>
  <c r="AN98" i="4"/>
  <c r="AQ257" i="5"/>
  <c r="AA97" i="5"/>
  <c r="AR368" i="5"/>
  <c r="AR45" i="5"/>
  <c r="AR232" i="5"/>
  <c r="AQ545" i="5"/>
  <c r="AR82" i="5"/>
  <c r="AR56" i="5"/>
  <c r="AM117" i="4"/>
  <c r="AN117" i="4" s="1"/>
  <c r="W46" i="4"/>
  <c r="Y46" i="4" s="1"/>
  <c r="Z46" i="4" s="1"/>
  <c r="AF46" i="4" s="1"/>
  <c r="AG46" i="4" s="1"/>
  <c r="AI46" i="4" s="1"/>
  <c r="W145" i="4"/>
  <c r="Y145" i="4" s="1"/>
  <c r="Z145" i="4" s="1"/>
  <c r="AF145" i="4" s="1"/>
  <c r="AA297" i="5"/>
  <c r="AB261" i="5"/>
  <c r="AA363" i="5"/>
  <c r="AC520" i="5"/>
  <c r="AS520" i="5" s="1"/>
  <c r="AC359" i="5"/>
  <c r="AD359" i="5" s="1"/>
  <c r="AB80" i="5"/>
  <c r="AC386" i="5"/>
  <c r="AS386" i="5" s="1"/>
  <c r="AA265" i="5"/>
  <c r="AB447" i="5"/>
  <c r="AB19" i="5"/>
  <c r="AB247" i="5"/>
  <c r="AB208" i="5"/>
  <c r="AB532" i="5"/>
  <c r="AB217" i="5"/>
  <c r="AA27" i="5"/>
  <c r="W20" i="4"/>
  <c r="X20" i="4" s="1"/>
  <c r="AJ20" i="4" s="1"/>
  <c r="AA7" i="5"/>
  <c r="AC265" i="5"/>
  <c r="AE265" i="5" s="1"/>
  <c r="AC540" i="5"/>
  <c r="AE540" i="5" s="1"/>
  <c r="AB529" i="5"/>
  <c r="AA540" i="5"/>
  <c r="AB560" i="5"/>
  <c r="AC470" i="5"/>
  <c r="AE470" i="5" s="1"/>
  <c r="AC460" i="5"/>
  <c r="AS460" i="5" s="1"/>
  <c r="AC138" i="5"/>
  <c r="AE138" i="5" s="1"/>
  <c r="AA550" i="5"/>
  <c r="AB293" i="5"/>
  <c r="AA551" i="5"/>
  <c r="Z115" i="4"/>
  <c r="AF115" i="4" s="1"/>
  <c r="AC31" i="5"/>
  <c r="AE31" i="5" s="1"/>
  <c r="AA26" i="5"/>
  <c r="AM16" i="4"/>
  <c r="AN16" i="4" s="1"/>
  <c r="AB301" i="5"/>
  <c r="AA283" i="5"/>
  <c r="AB254" i="5"/>
  <c r="AA116" i="5"/>
  <c r="AA405" i="5"/>
  <c r="AA142" i="5"/>
  <c r="AB150" i="5"/>
  <c r="AJ157" i="4"/>
  <c r="AM128" i="4"/>
  <c r="AN128" i="4" s="1"/>
  <c r="Z43" i="4"/>
  <c r="AF43" i="4" s="1"/>
  <c r="AO43" i="4" s="1"/>
  <c r="AB169" i="5"/>
  <c r="AB379" i="5"/>
  <c r="AB42" i="5"/>
  <c r="AB196" i="5"/>
  <c r="AB403" i="5"/>
  <c r="AB487" i="5"/>
  <c r="AB189" i="5"/>
  <c r="AA36" i="5"/>
  <c r="AA502" i="5"/>
  <c r="AB537" i="5"/>
  <c r="AA514" i="5"/>
  <c r="AB121" i="5"/>
  <c r="AB151" i="5"/>
  <c r="AA106" i="5"/>
  <c r="AA48" i="5"/>
  <c r="AA53" i="5"/>
  <c r="AM134" i="4"/>
  <c r="AN134" i="4" s="1"/>
  <c r="AA523" i="5"/>
  <c r="AB335" i="5"/>
  <c r="AB390" i="5"/>
  <c r="AA63" i="5"/>
  <c r="AB93" i="5"/>
  <c r="W61" i="4"/>
  <c r="Y61" i="4" s="1"/>
  <c r="Z61" i="4" s="1"/>
  <c r="AF61" i="4" s="1"/>
  <c r="AG61" i="4" s="1"/>
  <c r="AI61" i="4" s="1"/>
  <c r="AB262" i="5"/>
  <c r="AA90" i="5"/>
  <c r="AC277" i="5"/>
  <c r="AE277" i="5" s="1"/>
  <c r="AC306" i="5"/>
  <c r="AE306" i="5" s="1"/>
  <c r="AC38" i="5"/>
  <c r="AS38" i="5" s="1"/>
  <c r="AA263" i="5"/>
  <c r="AB235" i="5"/>
  <c r="AA343" i="5"/>
  <c r="AM56" i="4"/>
  <c r="AN56" i="4" s="1"/>
  <c r="AB331" i="5"/>
  <c r="W15" i="4"/>
  <c r="Y15" i="4" s="1"/>
  <c r="Z15" i="4" s="1"/>
  <c r="AF15" i="4" s="1"/>
  <c r="AA256" i="5"/>
  <c r="AB498" i="5"/>
  <c r="AB298" i="5"/>
  <c r="AC208" i="5"/>
  <c r="AS208" i="5" s="1"/>
  <c r="AC365" i="5"/>
  <c r="AS365" i="5" s="1"/>
  <c r="AC280" i="5"/>
  <c r="AS280" i="5" s="1"/>
  <c r="AC353" i="5"/>
  <c r="AE353" i="5" s="1"/>
  <c r="AC213" i="5"/>
  <c r="AD213" i="5" s="1"/>
  <c r="AC194" i="5"/>
  <c r="AE194" i="5" s="1"/>
  <c r="AA289" i="5"/>
  <c r="AA462" i="5"/>
  <c r="AB202" i="5"/>
  <c r="AA213" i="5"/>
  <c r="AC42" i="5"/>
  <c r="AD42" i="5" s="1"/>
  <c r="AC216" i="5"/>
  <c r="AS216" i="5" s="1"/>
  <c r="AC325" i="5"/>
  <c r="AE325" i="5" s="1"/>
  <c r="AB179" i="5"/>
  <c r="AA495" i="5"/>
  <c r="AC417" i="5"/>
  <c r="AS417" i="5" s="1"/>
  <c r="AC451" i="5"/>
  <c r="AE451" i="5" s="1"/>
  <c r="AC332" i="5"/>
  <c r="AS332" i="5" s="1"/>
  <c r="AB356" i="5"/>
  <c r="AB371" i="5"/>
  <c r="AB359" i="5"/>
  <c r="AB522" i="5"/>
  <c r="AB161" i="5"/>
  <c r="AB309" i="5"/>
  <c r="AA424" i="5"/>
  <c r="AA244" i="5"/>
  <c r="AC361" i="5"/>
  <c r="AE361" i="5" s="1"/>
  <c r="AC425" i="5"/>
  <c r="AD425" i="5" s="1"/>
  <c r="AC297" i="5"/>
  <c r="AD297" i="5" s="1"/>
  <c r="AC333" i="5"/>
  <c r="AS333" i="5" s="1"/>
  <c r="AC244" i="5"/>
  <c r="AE244" i="5" s="1"/>
  <c r="AC532" i="5"/>
  <c r="AD532" i="5" s="1"/>
  <c r="AC552" i="5"/>
  <c r="AD552" i="5" s="1"/>
  <c r="AC294" i="5"/>
  <c r="AS294" i="5" s="1"/>
  <c r="AA442" i="5"/>
  <c r="AA194" i="5"/>
  <c r="AA428" i="5"/>
  <c r="AA333" i="5"/>
  <c r="AC76" i="5"/>
  <c r="AD76" i="5" s="1"/>
  <c r="AC500" i="5"/>
  <c r="AS500" i="5" s="1"/>
  <c r="AC298" i="5"/>
  <c r="AS298" i="5" s="1"/>
  <c r="AC197" i="5"/>
  <c r="AE197" i="5" s="1"/>
  <c r="AC261" i="5"/>
  <c r="AS261" i="5" s="1"/>
  <c r="AA494" i="5"/>
  <c r="AA251" i="5"/>
  <c r="AB25" i="5"/>
  <c r="AB417" i="5"/>
  <c r="AC483" i="5"/>
  <c r="AD483" i="5" s="1"/>
  <c r="AC517" i="5"/>
  <c r="AD517" i="5" s="1"/>
  <c r="AC148" i="5"/>
  <c r="AD148" i="5" s="1"/>
  <c r="AC363" i="5"/>
  <c r="AE363" i="5" s="1"/>
  <c r="AC462" i="5"/>
  <c r="AD462" i="5" s="1"/>
  <c r="AC46" i="5"/>
  <c r="AE46" i="5" s="1"/>
  <c r="AC54" i="5"/>
  <c r="AS54" i="5" s="1"/>
  <c r="AU54" i="5" s="1"/>
  <c r="AC356" i="5"/>
  <c r="AS356" i="5" s="1"/>
  <c r="AC279" i="5"/>
  <c r="AS279" i="5" s="1"/>
  <c r="AC25" i="5"/>
  <c r="AD25" i="5" s="1"/>
  <c r="AB332" i="5"/>
  <c r="AA276" i="5"/>
  <c r="AC495" i="5"/>
  <c r="AS495" i="5" s="1"/>
  <c r="AC309" i="5"/>
  <c r="AD309" i="5" s="1"/>
  <c r="AC494" i="5"/>
  <c r="AD494" i="5" s="1"/>
  <c r="AC314" i="5"/>
  <c r="AD314" i="5" s="1"/>
  <c r="AC422" i="5"/>
  <c r="AS422" i="5" s="1"/>
  <c r="AC202" i="5"/>
  <c r="AS202" i="5" s="1"/>
  <c r="AU202" i="5" s="1"/>
  <c r="AC518" i="5"/>
  <c r="AE518" i="5" s="1"/>
  <c r="AC248" i="5"/>
  <c r="AD248" i="5" s="1"/>
  <c r="AB469" i="5"/>
  <c r="AA221" i="5"/>
  <c r="AB421" i="5"/>
  <c r="AB327" i="5"/>
  <c r="AA475" i="5"/>
  <c r="AB220" i="5"/>
  <c r="AB463" i="5"/>
  <c r="AC478" i="5"/>
  <c r="AE478" i="5" s="1"/>
  <c r="AC366" i="5"/>
  <c r="AE366" i="5" s="1"/>
  <c r="AC327" i="5"/>
  <c r="AE327" i="5" s="1"/>
  <c r="AM43" i="4"/>
  <c r="AN43" i="4" s="1"/>
  <c r="AC180" i="5"/>
  <c r="AS180" i="5" s="1"/>
  <c r="AA149" i="5"/>
  <c r="AB426" i="5"/>
  <c r="AB274" i="5"/>
  <c r="W142" i="4"/>
  <c r="Y142" i="4" s="1"/>
  <c r="Z142" i="4" s="1"/>
  <c r="AB366" i="5"/>
  <c r="AA304" i="5"/>
  <c r="AB94" i="5"/>
  <c r="W57" i="4"/>
  <c r="Y57" i="4" s="1"/>
  <c r="Z57" i="4" s="1"/>
  <c r="AF57" i="4" s="1"/>
  <c r="AC469" i="5"/>
  <c r="AE469" i="5" s="1"/>
  <c r="AC241" i="5"/>
  <c r="AS241" i="5" s="1"/>
  <c r="AC142" i="5"/>
  <c r="AS142" i="5" s="1"/>
  <c r="AC237" i="5"/>
  <c r="AS237" i="5" s="1"/>
  <c r="AC283" i="5"/>
  <c r="AE283" i="5" s="1"/>
  <c r="AC304" i="5"/>
  <c r="AS304" i="5" s="1"/>
  <c r="AC477" i="5"/>
  <c r="AD477" i="5" s="1"/>
  <c r="AB416" i="5"/>
  <c r="AA539" i="5"/>
  <c r="AC267" i="5"/>
  <c r="AE267" i="5" s="1"/>
  <c r="AC220" i="5"/>
  <c r="AD220" i="5" s="1"/>
  <c r="AC482" i="5"/>
  <c r="AS482" i="5" s="1"/>
  <c r="AC122" i="5"/>
  <c r="AD122" i="5" s="1"/>
  <c r="AC22" i="5"/>
  <c r="AD22" i="5" s="1"/>
  <c r="AB133" i="5"/>
  <c r="AA59" i="5"/>
  <c r="AB429" i="5"/>
  <c r="AC341" i="5"/>
  <c r="AS341" i="5" s="1"/>
  <c r="AC101" i="5"/>
  <c r="AS101" i="5" s="1"/>
  <c r="AC374" i="5"/>
  <c r="AE374" i="5" s="1"/>
  <c r="AC165" i="5"/>
  <c r="AS165" i="5" s="1"/>
  <c r="AC504" i="5"/>
  <c r="AE504" i="5" s="1"/>
  <c r="AB351" i="5"/>
  <c r="AC405" i="5"/>
  <c r="AD405" i="5" s="1"/>
  <c r="AC26" i="5"/>
  <c r="AE26" i="5" s="1"/>
  <c r="AC416" i="5"/>
  <c r="AD416" i="5" s="1"/>
  <c r="AC150" i="5"/>
  <c r="AE150" i="5" s="1"/>
  <c r="AA241" i="5"/>
  <c r="AC351" i="5"/>
  <c r="AD351" i="5" s="1"/>
  <c r="AC551" i="5"/>
  <c r="AD551" i="5" s="1"/>
  <c r="AC94" i="5"/>
  <c r="AE94" i="5" s="1"/>
  <c r="AC476" i="5"/>
  <c r="AD476" i="5" s="1"/>
  <c r="AC254" i="5"/>
  <c r="AS254" i="5" s="1"/>
  <c r="AC133" i="5"/>
  <c r="AS133" i="5" s="1"/>
  <c r="AC274" i="5"/>
  <c r="AS274" i="5" s="1"/>
  <c r="AC301" i="5"/>
  <c r="AE301" i="5" s="1"/>
  <c r="AC421" i="5"/>
  <c r="AE421" i="5" s="1"/>
  <c r="AC116" i="5"/>
  <c r="AE116" i="5" s="1"/>
  <c r="AC475" i="5"/>
  <c r="AE475" i="5" s="1"/>
  <c r="AC438" i="5"/>
  <c r="AE438" i="5" s="1"/>
  <c r="AA260" i="5"/>
  <c r="AB546" i="5"/>
  <c r="AB545" i="5"/>
  <c r="AC222" i="5"/>
  <c r="AD222" i="5" s="1"/>
  <c r="AC434" i="5"/>
  <c r="AS434" i="5" s="1"/>
  <c r="AC158" i="5"/>
  <c r="AE158" i="5" s="1"/>
  <c r="AC360" i="5"/>
  <c r="AE360" i="5" s="1"/>
  <c r="AC496" i="5"/>
  <c r="AD496" i="5" s="1"/>
  <c r="AC232" i="5"/>
  <c r="AS232" i="5" s="1"/>
  <c r="AA222" i="5"/>
  <c r="AB132" i="5"/>
  <c r="AB360" i="5"/>
  <c r="AA137" i="5"/>
  <c r="AB368" i="5"/>
  <c r="AB174" i="5"/>
  <c r="AC50" i="5"/>
  <c r="AE50" i="5" s="1"/>
  <c r="AC200" i="5"/>
  <c r="AD200" i="5" s="1"/>
  <c r="AC132" i="5"/>
  <c r="AE132" i="5" s="1"/>
  <c r="AB278" i="5"/>
  <c r="AC59" i="5"/>
  <c r="AS59" i="5" s="1"/>
  <c r="AA376" i="5"/>
  <c r="AB31" i="5"/>
  <c r="AA499" i="5"/>
  <c r="W125" i="4"/>
  <c r="Y125" i="4" s="1"/>
  <c r="Z125" i="4" s="1"/>
  <c r="W14" i="4"/>
  <c r="Y14" i="4" s="1"/>
  <c r="Z14" i="4" s="1"/>
  <c r="AC174" i="5"/>
  <c r="AE174" i="5" s="1"/>
  <c r="AC238" i="5"/>
  <c r="AE238" i="5" s="1"/>
  <c r="AC137" i="5"/>
  <c r="AD137" i="5" s="1"/>
  <c r="AC114" i="5"/>
  <c r="AE114" i="5" s="1"/>
  <c r="AC354" i="5"/>
  <c r="AD354" i="5" s="1"/>
  <c r="AC168" i="5"/>
  <c r="AE168" i="5" s="1"/>
  <c r="AA168" i="5"/>
  <c r="AA50" i="5"/>
  <c r="AA114" i="5"/>
  <c r="AA438" i="5"/>
  <c r="AC58" i="5"/>
  <c r="AD58" i="5" s="1"/>
  <c r="AC120" i="5"/>
  <c r="AD120" i="5" s="1"/>
  <c r="AC140" i="5"/>
  <c r="AD140" i="5" s="1"/>
  <c r="AA543" i="5"/>
  <c r="AB354" i="5"/>
  <c r="AA160" i="5"/>
  <c r="AB452" i="5"/>
  <c r="AB259" i="5"/>
  <c r="AA140" i="5"/>
  <c r="AC278" i="5"/>
  <c r="AS278" i="5" s="1"/>
  <c r="AU278" i="5" s="1"/>
  <c r="AC556" i="5"/>
  <c r="AE556" i="5" s="1"/>
  <c r="AC259" i="5"/>
  <c r="AE259" i="5" s="1"/>
  <c r="AC295" i="5"/>
  <c r="AE295" i="5" s="1"/>
  <c r="AC479" i="5"/>
  <c r="AS479" i="5" s="1"/>
  <c r="AC68" i="5"/>
  <c r="AD68" i="5" s="1"/>
  <c r="AC262" i="5"/>
  <c r="AS262" i="5" s="1"/>
  <c r="AC21" i="5"/>
  <c r="AE21" i="5" s="1"/>
  <c r="AC260" i="5"/>
  <c r="AS260" i="5" s="1"/>
  <c r="AC511" i="5"/>
  <c r="AE511" i="5" s="1"/>
  <c r="AC65" i="5"/>
  <c r="AD65" i="5" s="1"/>
  <c r="AC343" i="5"/>
  <c r="AS343" i="5" s="1"/>
  <c r="AC243" i="5"/>
  <c r="AD243" i="5" s="1"/>
  <c r="AC73" i="5"/>
  <c r="AE73" i="5" s="1"/>
  <c r="AC502" i="5"/>
  <c r="AD502" i="5" s="1"/>
  <c r="AC543" i="5"/>
  <c r="AS543" i="5" s="1"/>
  <c r="AC440" i="5"/>
  <c r="AE440" i="5" s="1"/>
  <c r="AC452" i="5"/>
  <c r="AE452" i="5" s="1"/>
  <c r="AC499" i="5"/>
  <c r="AS499" i="5" s="1"/>
  <c r="AC36" i="5"/>
  <c r="AD36" i="5" s="1"/>
  <c r="AB49" i="5"/>
  <c r="AC155" i="5"/>
  <c r="AE155" i="5" s="1"/>
  <c r="AC217" i="5"/>
  <c r="AE217" i="5" s="1"/>
  <c r="AC188" i="5"/>
  <c r="AD188" i="5" s="1"/>
  <c r="AC390" i="5"/>
  <c r="AD390" i="5" s="1"/>
  <c r="AC226" i="5"/>
  <c r="AE226" i="5" s="1"/>
  <c r="AC173" i="5"/>
  <c r="AS173" i="5" s="1"/>
  <c r="AC106" i="5"/>
  <c r="AD106" i="5" s="1"/>
  <c r="AC514" i="5"/>
  <c r="AE514" i="5" s="1"/>
  <c r="AC27" i="5"/>
  <c r="AE27" i="5" s="1"/>
  <c r="AC40" i="5"/>
  <c r="AS40" i="5" s="1"/>
  <c r="AC223" i="5"/>
  <c r="AS223" i="5" s="1"/>
  <c r="AC181" i="5"/>
  <c r="AS181" i="5" s="1"/>
  <c r="AC151" i="5"/>
  <c r="AS151" i="5" s="1"/>
  <c r="AC399" i="5"/>
  <c r="AS399" i="5" s="1"/>
  <c r="AC310" i="5"/>
  <c r="AE310" i="5" s="1"/>
  <c r="AC345" i="5"/>
  <c r="AE345" i="5" s="1"/>
  <c r="AC505" i="5"/>
  <c r="AD505" i="5" s="1"/>
  <c r="AA223" i="5"/>
  <c r="AA188" i="5"/>
  <c r="AB431" i="5"/>
  <c r="AB181" i="5"/>
  <c r="AA275" i="5"/>
  <c r="AC127" i="5"/>
  <c r="AS127" i="5" s="1"/>
  <c r="AU127" i="5" s="1"/>
  <c r="AC136" i="5"/>
  <c r="AS136" i="5" s="1"/>
  <c r="AC126" i="5"/>
  <c r="AE126" i="5" s="1"/>
  <c r="AC544" i="5"/>
  <c r="AS544" i="5" s="1"/>
  <c r="AC48" i="5"/>
  <c r="AE48" i="5" s="1"/>
  <c r="AC275" i="5"/>
  <c r="AS275" i="5" s="1"/>
  <c r="AC112" i="5"/>
  <c r="AS112" i="5" s="1"/>
  <c r="AC473" i="5"/>
  <c r="AD473" i="5" s="1"/>
  <c r="AC143" i="5"/>
  <c r="AD143" i="5" s="1"/>
  <c r="AC104" i="5"/>
  <c r="AE104" i="5" s="1"/>
  <c r="AA544" i="5"/>
  <c r="AA119" i="5"/>
  <c r="AB166" i="5"/>
  <c r="AC335" i="5"/>
  <c r="AE335" i="5" s="1"/>
  <c r="AC245" i="5"/>
  <c r="AE245" i="5" s="1"/>
  <c r="AC214" i="5"/>
  <c r="AD214" i="5" s="1"/>
  <c r="AC342" i="5"/>
  <c r="AS342" i="5" s="1"/>
  <c r="AB226" i="5"/>
  <c r="AB112" i="5"/>
  <c r="AB430" i="5"/>
  <c r="AC349" i="5"/>
  <c r="AD349" i="5" s="1"/>
  <c r="AC383" i="5"/>
  <c r="AE383" i="5" s="1"/>
  <c r="AC466" i="5"/>
  <c r="AE466" i="5" s="1"/>
  <c r="AC119" i="5"/>
  <c r="AE119" i="5" s="1"/>
  <c r="AC12" i="5"/>
  <c r="AD12" i="5" s="1"/>
  <c r="AB103" i="5"/>
  <c r="AC350" i="5"/>
  <c r="AE350" i="5" s="1"/>
  <c r="AC24" i="5"/>
  <c r="AD24" i="5" s="1"/>
  <c r="AC378" i="5"/>
  <c r="AD378" i="5" s="1"/>
  <c r="AC492" i="5"/>
  <c r="AE492" i="5" s="1"/>
  <c r="AC210" i="5"/>
  <c r="AD210" i="5" s="1"/>
  <c r="AA303" i="5"/>
  <c r="AB91" i="5"/>
  <c r="W66" i="4"/>
  <c r="Y66" i="4" s="1"/>
  <c r="Z66" i="4" s="1"/>
  <c r="AC111" i="5"/>
  <c r="AD111" i="5" s="1"/>
  <c r="AC239" i="5"/>
  <c r="AE239" i="5" s="1"/>
  <c r="AC32" i="5"/>
  <c r="AE32" i="5" s="1"/>
  <c r="AA64" i="5"/>
  <c r="AA387" i="5"/>
  <c r="AC55" i="5"/>
  <c r="AE55" i="5" s="1"/>
  <c r="AC77" i="5"/>
  <c r="AE77" i="5" s="1"/>
  <c r="AC113" i="5"/>
  <c r="AD113" i="5" s="1"/>
  <c r="AC369" i="5"/>
  <c r="AE369" i="5" s="1"/>
  <c r="AA404" i="5"/>
  <c r="AB86" i="5"/>
  <c r="AA55" i="5"/>
  <c r="AB203" i="5"/>
  <c r="AC269" i="5"/>
  <c r="AS269" i="5" s="1"/>
  <c r="AC468" i="5"/>
  <c r="AD468" i="5" s="1"/>
  <c r="AB436" i="5"/>
  <c r="AA32" i="5"/>
  <c r="AA111" i="5"/>
  <c r="AC303" i="5"/>
  <c r="AS303" i="5" s="1"/>
  <c r="AC49" i="5"/>
  <c r="AD49" i="5" s="1"/>
  <c r="AC103" i="5"/>
  <c r="AD103" i="5" s="1"/>
  <c r="AC404" i="5"/>
  <c r="AD404" i="5" s="1"/>
  <c r="AA321" i="5"/>
  <c r="AC166" i="5"/>
  <c r="AD166" i="5" s="1"/>
  <c r="AB105" i="5"/>
  <c r="AA296" i="5"/>
  <c r="AA175" i="5"/>
  <c r="AC441" i="5"/>
  <c r="AE441" i="5" s="1"/>
  <c r="AC62" i="5"/>
  <c r="AD62" i="5" s="1"/>
  <c r="AC536" i="5"/>
  <c r="AS536" i="5" s="1"/>
  <c r="AC83" i="5"/>
  <c r="AS83" i="5" s="1"/>
  <c r="AC75" i="5"/>
  <c r="AD75" i="5" s="1"/>
  <c r="AC385" i="5"/>
  <c r="AE385" i="5" s="1"/>
  <c r="AA375" i="5"/>
  <c r="AA329" i="5"/>
  <c r="AA336" i="5"/>
  <c r="AA402" i="5"/>
  <c r="AB401" i="5"/>
  <c r="AA441" i="5"/>
  <c r="AB525" i="5"/>
  <c r="AC515" i="5"/>
  <c r="AS515" i="5" s="1"/>
  <c r="AC189" i="5"/>
  <c r="AS189" i="5" s="1"/>
  <c r="AC313" i="5"/>
  <c r="AD313" i="5" s="1"/>
  <c r="AC203" i="5"/>
  <c r="AS203" i="5" s="1"/>
  <c r="AC472" i="5"/>
  <c r="AE472" i="5" s="1"/>
  <c r="AC186" i="5"/>
  <c r="AD186" i="5" s="1"/>
  <c r="AC134" i="5"/>
  <c r="AE134" i="5" s="1"/>
  <c r="AB396" i="5"/>
  <c r="AA236" i="5"/>
  <c r="AA313" i="5"/>
  <c r="AA205" i="5"/>
  <c r="AB472" i="5"/>
  <c r="AB453" i="5"/>
  <c r="AC403" i="5"/>
  <c r="AD403" i="5" s="1"/>
  <c r="AC541" i="5"/>
  <c r="AD541" i="5" s="1"/>
  <c r="AC300" i="5"/>
  <c r="AD300" i="5" s="1"/>
  <c r="AC34" i="5"/>
  <c r="AS34" i="5" s="1"/>
  <c r="AC44" i="5"/>
  <c r="AD44" i="5" s="1"/>
  <c r="AA62" i="5"/>
  <c r="AA392" i="5"/>
  <c r="AC401" i="5"/>
  <c r="AE401" i="5" s="1"/>
  <c r="AC229" i="5"/>
  <c r="AD229" i="5" s="1"/>
  <c r="AC427" i="5"/>
  <c r="AS427" i="5" s="1"/>
  <c r="AB456" i="5"/>
  <c r="AB171" i="5"/>
  <c r="Y73" i="4"/>
  <c r="Z73" i="4" s="1"/>
  <c r="AA73" i="4" s="1"/>
  <c r="AC73" i="4" s="1"/>
  <c r="AD73" i="4" s="1"/>
  <c r="AC455" i="5"/>
  <c r="AD455" i="5" s="1"/>
  <c r="AC456" i="5"/>
  <c r="AS456" i="5" s="1"/>
  <c r="AC205" i="5"/>
  <c r="AD205" i="5" s="1"/>
  <c r="AC218" i="5"/>
  <c r="AE218" i="5" s="1"/>
  <c r="AC395" i="5"/>
  <c r="AS395" i="5" s="1"/>
  <c r="AC128" i="5"/>
  <c r="AD128" i="5" s="1"/>
  <c r="AC375" i="5"/>
  <c r="AD375" i="5" s="1"/>
  <c r="AE73" i="4"/>
  <c r="AA455" i="5"/>
  <c r="AA60" i="5"/>
  <c r="AB8" i="5"/>
  <c r="AA382" i="5"/>
  <c r="AC329" i="5"/>
  <c r="AS329" i="5" s="1"/>
  <c r="AC302" i="5"/>
  <c r="AE302" i="5" s="1"/>
  <c r="AC171" i="5"/>
  <c r="AS171" i="5" s="1"/>
  <c r="AC450" i="5"/>
  <c r="AS450" i="5" s="1"/>
  <c r="AC336" i="5"/>
  <c r="AD336" i="5" s="1"/>
  <c r="AC60" i="5"/>
  <c r="AD60" i="5" s="1"/>
  <c r="AC381" i="5"/>
  <c r="AS381" i="5" s="1"/>
  <c r="AC236" i="5"/>
  <c r="AE236" i="5" s="1"/>
  <c r="AC402" i="5"/>
  <c r="AD402" i="5" s="1"/>
  <c r="AC145" i="5"/>
  <c r="AD145" i="5" s="1"/>
  <c r="AC433" i="5"/>
  <c r="AS433" i="5" s="1"/>
  <c r="AC453" i="5"/>
  <c r="AE453" i="5" s="1"/>
  <c r="AC382" i="5"/>
  <c r="AD382" i="5" s="1"/>
  <c r="W135" i="4"/>
  <c r="Y135" i="4" s="1"/>
  <c r="Z135" i="4" s="1"/>
  <c r="AN11" i="5"/>
  <c r="AC125" i="5"/>
  <c r="AS125" i="5" s="1"/>
  <c r="AC513" i="5"/>
  <c r="AE513" i="5" s="1"/>
  <c r="AC377" i="5"/>
  <c r="AD377" i="5" s="1"/>
  <c r="AC29" i="5"/>
  <c r="AE29" i="5" s="1"/>
  <c r="AC129" i="5"/>
  <c r="AD129" i="5" s="1"/>
  <c r="AC69" i="5"/>
  <c r="AS69" i="5" s="1"/>
  <c r="AC193" i="5"/>
  <c r="AE193" i="5" s="1"/>
  <c r="AC486" i="5"/>
  <c r="AE486" i="5" s="1"/>
  <c r="AC398" i="5"/>
  <c r="AE398" i="5" s="1"/>
  <c r="AA294" i="5"/>
  <c r="AA69" i="5"/>
  <c r="AA486" i="5"/>
  <c r="AA70" i="5"/>
  <c r="AA548" i="5"/>
  <c r="AC70" i="5"/>
  <c r="AS70" i="5" s="1"/>
  <c r="AC251" i="5"/>
  <c r="AS251" i="5" s="1"/>
  <c r="AC228" i="5"/>
  <c r="AE228" i="5" s="1"/>
  <c r="AC285" i="5"/>
  <c r="AD285" i="5" s="1"/>
  <c r="AC110" i="5"/>
  <c r="AE110" i="5" s="1"/>
  <c r="AC43" i="5"/>
  <c r="AS43" i="5" s="1"/>
  <c r="AB400" i="5"/>
  <c r="AB533" i="5"/>
  <c r="AB513" i="5"/>
  <c r="AB509" i="5"/>
  <c r="AB228" i="5"/>
  <c r="AA29" i="5"/>
  <c r="AM33" i="4"/>
  <c r="AN33" i="4" s="1"/>
  <c r="AC179" i="5"/>
  <c r="AE179" i="5" s="1"/>
  <c r="AC394" i="5"/>
  <c r="AD394" i="5" s="1"/>
  <c r="AC481" i="5"/>
  <c r="AS481" i="5" s="1"/>
  <c r="AC533" i="5"/>
  <c r="AD533" i="5" s="1"/>
  <c r="AC424" i="5"/>
  <c r="AS424" i="5" s="1"/>
  <c r="AC268" i="5"/>
  <c r="AS268" i="5" s="1"/>
  <c r="AC270" i="5"/>
  <c r="AE270" i="5" s="1"/>
  <c r="AB255" i="5"/>
  <c r="AA129" i="5"/>
  <c r="AA394" i="5"/>
  <c r="AB270" i="5"/>
  <c r="AB425" i="5"/>
  <c r="AB491" i="5"/>
  <c r="AH18" i="4"/>
  <c r="AC444" i="5"/>
  <c r="AE444" i="5" s="1"/>
  <c r="AC555" i="5"/>
  <c r="AD555" i="5" s="1"/>
  <c r="AC338" i="5"/>
  <c r="AS338" i="5" s="1"/>
  <c r="AC163" i="5"/>
  <c r="AD163" i="5" s="1"/>
  <c r="AB163" i="5"/>
  <c r="AA157" i="5"/>
  <c r="AC99" i="5"/>
  <c r="AD99" i="5" s="1"/>
  <c r="AC255" i="5"/>
  <c r="AE255" i="5" s="1"/>
  <c r="AC553" i="5"/>
  <c r="AS553" i="5" s="1"/>
  <c r="AC388" i="5"/>
  <c r="AE388" i="5" s="1"/>
  <c r="AC247" i="5"/>
  <c r="AD247" i="5" s="1"/>
  <c r="AC93" i="5"/>
  <c r="AE93" i="5" s="1"/>
  <c r="W12" i="4"/>
  <c r="AE12" i="4" s="1"/>
  <c r="AC509" i="5"/>
  <c r="AD509" i="5" s="1"/>
  <c r="AC157" i="5"/>
  <c r="AD157" i="5" s="1"/>
  <c r="AC90" i="5"/>
  <c r="AE90" i="5" s="1"/>
  <c r="AC153" i="5"/>
  <c r="AD153" i="5" s="1"/>
  <c r="AC35" i="5"/>
  <c r="AD35" i="5" s="1"/>
  <c r="AC548" i="5"/>
  <c r="AE548" i="5" s="1"/>
  <c r="AC53" i="5"/>
  <c r="AE53" i="5" s="1"/>
  <c r="AA43" i="5"/>
  <c r="AA125" i="5"/>
  <c r="AC257" i="5"/>
  <c r="AS257" i="5" s="1"/>
  <c r="AT257" i="5" s="1"/>
  <c r="AC331" i="5"/>
  <c r="AS331" i="5" s="1"/>
  <c r="AC178" i="5"/>
  <c r="AD178" i="5" s="1"/>
  <c r="AC498" i="5"/>
  <c r="AS498" i="5" s="1"/>
  <c r="AC491" i="5"/>
  <c r="AS491" i="5" s="1"/>
  <c r="AC362" i="5"/>
  <c r="AS362" i="5" s="1"/>
  <c r="AC400" i="5"/>
  <c r="AE400" i="5" s="1"/>
  <c r="AC67" i="5"/>
  <c r="AE67" i="5" s="1"/>
  <c r="AC33" i="5"/>
  <c r="AS33" i="5" s="1"/>
  <c r="AC428" i="5"/>
  <c r="AE428" i="5" s="1"/>
  <c r="AC263" i="5"/>
  <c r="AD263" i="5" s="1"/>
  <c r="AB380" i="5"/>
  <c r="AA501" i="5"/>
  <c r="AB471" i="5"/>
  <c r="AB320" i="5"/>
  <c r="AA306" i="5"/>
  <c r="AC141" i="5"/>
  <c r="AD141" i="5" s="1"/>
  <c r="AC198" i="5"/>
  <c r="AD198" i="5" s="1"/>
  <c r="AC183" i="5"/>
  <c r="AS183" i="5" s="1"/>
  <c r="AC465" i="5"/>
  <c r="AS465" i="5" s="1"/>
  <c r="AA118" i="5"/>
  <c r="AB209" i="5"/>
  <c r="AA435" i="5"/>
  <c r="AC82" i="5"/>
  <c r="AE82" i="5" s="1"/>
  <c r="AC253" i="5"/>
  <c r="AS253" i="5" s="1"/>
  <c r="AC380" i="5"/>
  <c r="AS380" i="5" s="1"/>
  <c r="AC291" i="5"/>
  <c r="AE291" i="5" s="1"/>
  <c r="AC209" i="5"/>
  <c r="AD209" i="5" s="1"/>
  <c r="AC293" i="5"/>
  <c r="AE293" i="5" s="1"/>
  <c r="AC560" i="5"/>
  <c r="AE560" i="5" s="1"/>
  <c r="AC384" i="5"/>
  <c r="AD384" i="5" s="1"/>
  <c r="AC175" i="5"/>
  <c r="AS175" i="5" s="1"/>
  <c r="AT175" i="5" s="1"/>
  <c r="AC296" i="5"/>
  <c r="AS296" i="5" s="1"/>
  <c r="AC318" i="5"/>
  <c r="AD318" i="5" s="1"/>
  <c r="AC413" i="5"/>
  <c r="AS413" i="5" s="1"/>
  <c r="AB348" i="5"/>
  <c r="AA108" i="5"/>
  <c r="AC199" i="5"/>
  <c r="AD199" i="5" s="1"/>
  <c r="AA100" i="5"/>
  <c r="AC7" i="5"/>
  <c r="AS7" i="5" s="1"/>
  <c r="AC147" i="5"/>
  <c r="AS147" i="5" s="1"/>
  <c r="AU147" i="5" s="1"/>
  <c r="AC471" i="5"/>
  <c r="AS471" i="5" s="1"/>
  <c r="AC348" i="5"/>
  <c r="AS348" i="5" s="1"/>
  <c r="AC339" i="5"/>
  <c r="AS339" i="5" s="1"/>
  <c r="AC19" i="5"/>
  <c r="AD19" i="5" s="1"/>
  <c r="AC219" i="5"/>
  <c r="AE219" i="5" s="1"/>
  <c r="AC501" i="5"/>
  <c r="AD501" i="5" s="1"/>
  <c r="AC316" i="5"/>
  <c r="AE316" i="5" s="1"/>
  <c r="AB291" i="5"/>
  <c r="AA231" i="5"/>
  <c r="AB460" i="5"/>
  <c r="AA82" i="5"/>
  <c r="AA199" i="5"/>
  <c r="AB521" i="5"/>
  <c r="AA470" i="5"/>
  <c r="AC437" i="5"/>
  <c r="AD437" i="5" s="1"/>
  <c r="AC108" i="5"/>
  <c r="AD108" i="5" s="1"/>
  <c r="AC308" i="5"/>
  <c r="AD308" i="5" s="1"/>
  <c r="AC406" i="5"/>
  <c r="AD406" i="5" s="1"/>
  <c r="AC447" i="5"/>
  <c r="AD447" i="5" s="1"/>
  <c r="AC344" i="5"/>
  <c r="AD344" i="5" s="1"/>
  <c r="AC231" i="5"/>
  <c r="AD231" i="5" s="1"/>
  <c r="AC78" i="5"/>
  <c r="AS78" i="5" s="1"/>
  <c r="AT78" i="5" s="1"/>
  <c r="AB92" i="5"/>
  <c r="AC529" i="5"/>
  <c r="AE529" i="5" s="1"/>
  <c r="AC521" i="5"/>
  <c r="AS521" i="5" s="1"/>
  <c r="AC320" i="5"/>
  <c r="AE320" i="5" s="1"/>
  <c r="AC411" i="5"/>
  <c r="AE411" i="5" s="1"/>
  <c r="AC115" i="5"/>
  <c r="AD115" i="5" s="1"/>
  <c r="AM115" i="4"/>
  <c r="AN115" i="4" s="1"/>
  <c r="AM26" i="4"/>
  <c r="AN26" i="4" s="1"/>
  <c r="W26" i="4"/>
  <c r="AA409" i="5"/>
  <c r="AA414" i="5"/>
  <c r="AC321" i="5"/>
  <c r="AD321" i="5" s="1"/>
  <c r="AC410" i="5"/>
  <c r="AE410" i="5" s="1"/>
  <c r="AC480" i="5"/>
  <c r="AD480" i="5" s="1"/>
  <c r="AC135" i="5"/>
  <c r="AS135" i="5" s="1"/>
  <c r="AC420" i="5"/>
  <c r="AD420" i="5" s="1"/>
  <c r="AC559" i="5"/>
  <c r="AD559" i="5" s="1"/>
  <c r="AC436" i="5"/>
  <c r="AS436" i="5" s="1"/>
  <c r="AA66" i="5"/>
  <c r="AC182" i="5"/>
  <c r="AS182" i="5" s="1"/>
  <c r="AT182" i="5" s="1"/>
  <c r="AC20" i="5"/>
  <c r="AD20" i="5" s="1"/>
  <c r="AC45" i="5"/>
  <c r="AE45" i="5" s="1"/>
  <c r="AC201" i="5"/>
  <c r="AD201" i="5" s="1"/>
  <c r="AC102" i="5"/>
  <c r="AD102" i="5" s="1"/>
  <c r="AC323" i="5"/>
  <c r="AD323" i="5" s="1"/>
  <c r="AC66" i="5"/>
  <c r="AE66" i="5" s="1"/>
  <c r="AC528" i="5"/>
  <c r="AE528" i="5" s="1"/>
  <c r="AA369" i="5"/>
  <c r="AA317" i="5"/>
  <c r="AA410" i="5"/>
  <c r="AC204" i="5"/>
  <c r="AE204" i="5" s="1"/>
  <c r="AC506" i="5"/>
  <c r="AS506" i="5" s="1"/>
  <c r="AC409" i="5"/>
  <c r="AE409" i="5" s="1"/>
  <c r="AA282" i="5"/>
  <c r="AA506" i="5"/>
  <c r="AB135" i="5"/>
  <c r="AA201" i="5"/>
  <c r="AC272" i="5"/>
  <c r="AE272" i="5" s="1"/>
  <c r="AC414" i="5"/>
  <c r="AE414" i="5" s="1"/>
  <c r="AC81" i="5"/>
  <c r="AS81" i="5" s="1"/>
  <c r="AU81" i="5" s="1"/>
  <c r="AC387" i="5"/>
  <c r="AD387" i="5" s="1"/>
  <c r="AC266" i="5"/>
  <c r="AS266" i="5" s="1"/>
  <c r="AC282" i="5"/>
  <c r="AS282" i="5" s="1"/>
  <c r="AC72" i="5"/>
  <c r="AS72" i="5" s="1"/>
  <c r="AU72" i="5" s="1"/>
  <c r="AC558" i="5"/>
  <c r="AD558" i="5" s="1"/>
  <c r="AC317" i="5"/>
  <c r="AS317" i="5" s="1"/>
  <c r="AC240" i="5"/>
  <c r="AD240" i="5" s="1"/>
  <c r="AE118" i="4"/>
  <c r="AF118" i="4"/>
  <c r="AG118" i="4" s="1"/>
  <c r="AI118" i="4" s="1"/>
  <c r="X118" i="4"/>
  <c r="AA118" i="4" s="1"/>
  <c r="AC118" i="4" s="1"/>
  <c r="AD118" i="4" s="1"/>
  <c r="AJ91" i="4"/>
  <c r="AL11" i="5"/>
  <c r="AE96" i="4"/>
  <c r="X96" i="4"/>
  <c r="AJ96" i="4" s="1"/>
  <c r="AJ77" i="4"/>
  <c r="AO9" i="5"/>
  <c r="W39" i="4"/>
  <c r="X39" i="4" s="1"/>
  <c r="AJ39" i="4" s="1"/>
  <c r="W72" i="4"/>
  <c r="Y72" i="4" s="1"/>
  <c r="Z72" i="4" s="1"/>
  <c r="AF72" i="4" s="1"/>
  <c r="AG72" i="4" s="1"/>
  <c r="AI72" i="4" s="1"/>
  <c r="AG96" i="4"/>
  <c r="AI96" i="4" s="1"/>
  <c r="Z149" i="4"/>
  <c r="AF149" i="4" s="1"/>
  <c r="AO149" i="4" s="1"/>
  <c r="W22" i="4"/>
  <c r="X22" i="4" s="1"/>
  <c r="AJ22" i="4" s="1"/>
  <c r="AE140" i="4"/>
  <c r="X140" i="4"/>
  <c r="AJ140" i="4" s="1"/>
  <c r="W109" i="4"/>
  <c r="X109" i="4" s="1"/>
  <c r="AJ109" i="4" s="1"/>
  <c r="Z42" i="4"/>
  <c r="AF42" i="4" s="1"/>
  <c r="W129" i="4"/>
  <c r="Y129" i="4" s="1"/>
  <c r="Z129" i="4" s="1"/>
  <c r="AF129" i="4" s="1"/>
  <c r="AP9" i="5"/>
  <c r="AR9" i="5" s="1"/>
  <c r="W148" i="4"/>
  <c r="X148" i="4" s="1"/>
  <c r="AJ148" i="4" s="1"/>
  <c r="AP11" i="5"/>
  <c r="AQ11" i="5" s="1"/>
  <c r="AM121" i="4"/>
  <c r="AN121" i="4" s="1"/>
  <c r="W67" i="4"/>
  <c r="Y67" i="4" s="1"/>
  <c r="Z67" i="4" s="1"/>
  <c r="AM59" i="4"/>
  <c r="AN59" i="4" s="1"/>
  <c r="W59" i="4"/>
  <c r="X59" i="4" s="1"/>
  <c r="AJ59" i="4" s="1"/>
  <c r="AM132" i="4"/>
  <c r="AN132" i="4" s="1"/>
  <c r="W132" i="4"/>
  <c r="AM83" i="4"/>
  <c r="AN83" i="4" s="1"/>
  <c r="W83" i="4"/>
  <c r="AM141" i="4"/>
  <c r="AN141" i="4" s="1"/>
  <c r="W141" i="4"/>
  <c r="AM62" i="4"/>
  <c r="AN62" i="4" s="1"/>
  <c r="W62" i="4"/>
  <c r="AM21" i="4"/>
  <c r="AN21" i="4" s="1"/>
  <c r="W21" i="4"/>
  <c r="AN84" i="4"/>
  <c r="AM79" i="4"/>
  <c r="AN79" i="4" s="1"/>
  <c r="W79" i="4"/>
  <c r="Y79" i="4" s="1"/>
  <c r="Z79" i="4" s="1"/>
  <c r="W24" i="4"/>
  <c r="AM24" i="4"/>
  <c r="AN24" i="4" s="1"/>
  <c r="X105" i="4"/>
  <c r="AJ105" i="4" s="1"/>
  <c r="Y105" i="4"/>
  <c r="Z105" i="4" s="1"/>
  <c r="AE105" i="4"/>
  <c r="AH105" i="4"/>
  <c r="AM133" i="4"/>
  <c r="AN133" i="4" s="1"/>
  <c r="W133" i="4"/>
  <c r="W155" i="4"/>
  <c r="AE155" i="4" s="1"/>
  <c r="AM155" i="4"/>
  <c r="AN155" i="4" s="1"/>
  <c r="AM101" i="4"/>
  <c r="AN101" i="4" s="1"/>
  <c r="W101" i="4"/>
  <c r="AM34" i="4"/>
  <c r="AN34" i="4" s="1"/>
  <c r="W34" i="4"/>
  <c r="AM130" i="4"/>
  <c r="AN130" i="4" s="1"/>
  <c r="W130" i="4"/>
  <c r="Z140" i="4"/>
  <c r="AN143" i="4"/>
  <c r="AM144" i="4"/>
  <c r="AN144" i="4" s="1"/>
  <c r="W144" i="4"/>
  <c r="AN140" i="4"/>
  <c r="W152" i="4"/>
  <c r="Y152" i="4" s="1"/>
  <c r="Z152" i="4" s="1"/>
  <c r="W94" i="4"/>
  <c r="AE94" i="4" s="1"/>
  <c r="AM94" i="4"/>
  <c r="AN94" i="4" s="1"/>
  <c r="AM58" i="4"/>
  <c r="AN58" i="4" s="1"/>
  <c r="W58" i="4"/>
  <c r="AH155" i="4"/>
  <c r="AM10" i="4"/>
  <c r="AN10" i="4" s="1"/>
  <c r="W10" i="4"/>
  <c r="Y91" i="4"/>
  <c r="Z91" i="4" s="1"/>
  <c r="AA91" i="4" s="1"/>
  <c r="AC91" i="4" s="1"/>
  <c r="AD91" i="4" s="1"/>
  <c r="AE143" i="4"/>
  <c r="AE91" i="4"/>
  <c r="AE76" i="4"/>
  <c r="Y76" i="4"/>
  <c r="Z76" i="4" s="1"/>
  <c r="R9" i="5"/>
  <c r="S9" i="5"/>
  <c r="X84" i="4"/>
  <c r="AJ84" i="4" s="1"/>
  <c r="AE84" i="4"/>
  <c r="Y84" i="4"/>
  <c r="Z84" i="4" s="1"/>
  <c r="AI9" i="5"/>
  <c r="AH9" i="5"/>
  <c r="V9" i="5"/>
  <c r="U9" i="5"/>
  <c r="Y9" i="5"/>
  <c r="X9" i="5"/>
  <c r="AF143" i="4"/>
  <c r="X143" i="4"/>
  <c r="AJ143" i="4" s="1"/>
  <c r="AE40" i="4"/>
  <c r="AA11" i="5"/>
  <c r="AI11" i="5"/>
  <c r="AH11" i="5"/>
  <c r="S11" i="5"/>
  <c r="R11" i="5"/>
  <c r="X11" i="5"/>
  <c r="Y11" i="5"/>
  <c r="AR327" i="5"/>
  <c r="AR436" i="5"/>
  <c r="AQ438" i="5"/>
  <c r="AQ420" i="5"/>
  <c r="AR381" i="5"/>
  <c r="AQ392" i="5"/>
  <c r="AR261" i="5"/>
  <c r="AR531" i="5"/>
  <c r="AQ259" i="5"/>
  <c r="AR103" i="5"/>
  <c r="AR533" i="5"/>
  <c r="AR274" i="5"/>
  <c r="AQ66" i="5"/>
  <c r="AR474" i="5"/>
  <c r="AQ140" i="5"/>
  <c r="AQ101" i="5"/>
  <c r="AQ487" i="5"/>
  <c r="AR278" i="5"/>
  <c r="AR337" i="5"/>
  <c r="AQ143" i="5"/>
  <c r="AR397" i="5"/>
  <c r="AR226" i="5"/>
  <c r="AR296" i="5"/>
  <c r="AE122" i="4"/>
  <c r="AB128" i="5"/>
  <c r="AA180" i="5"/>
  <c r="AA361" i="5"/>
  <c r="AA338" i="5"/>
  <c r="AB353" i="5"/>
  <c r="AC315" i="5"/>
  <c r="AE315" i="5" s="1"/>
  <c r="AA267" i="5"/>
  <c r="AA253" i="5"/>
  <c r="AB362" i="5"/>
  <c r="AC396" i="5"/>
  <c r="AE396" i="5" s="1"/>
  <c r="AA318" i="5"/>
  <c r="AB511" i="5"/>
  <c r="AC539" i="5"/>
  <c r="AD539" i="5" s="1"/>
  <c r="AB465" i="5"/>
  <c r="AC430" i="5"/>
  <c r="AD430" i="5" s="1"/>
  <c r="AA346" i="5"/>
  <c r="AA281" i="5"/>
  <c r="AC8" i="5"/>
  <c r="AE8" i="5" s="1"/>
  <c r="AA158" i="5"/>
  <c r="AB357" i="5"/>
  <c r="AC290" i="5"/>
  <c r="AS290" i="5" s="1"/>
  <c r="AC305" i="5"/>
  <c r="AS305" i="5" s="1"/>
  <c r="AB206" i="5"/>
  <c r="AB440" i="5"/>
  <c r="AC292" i="5"/>
  <c r="AD292" i="5" s="1"/>
  <c r="AB65" i="5"/>
  <c r="AB214" i="5"/>
  <c r="AB101" i="5"/>
  <c r="AB326" i="5"/>
  <c r="AB253" i="5"/>
  <c r="AB287" i="5"/>
  <c r="AA465" i="5"/>
  <c r="AA295" i="5"/>
  <c r="AC346" i="5"/>
  <c r="AD346" i="5" s="1"/>
  <c r="AA186" i="5"/>
  <c r="AB158" i="5"/>
  <c r="AC407" i="5"/>
  <c r="AD407" i="5" s="1"/>
  <c r="AC357" i="5"/>
  <c r="AE357" i="5" s="1"/>
  <c r="AA290" i="5"/>
  <c r="AA305" i="5"/>
  <c r="AA440" i="5"/>
  <c r="AB292" i="5"/>
  <c r="AA65" i="5"/>
  <c r="AB230" i="5"/>
  <c r="AC326" i="5"/>
  <c r="AD326" i="5" s="1"/>
  <c r="AA353" i="5"/>
  <c r="AB339" i="5"/>
  <c r="AC95" i="5"/>
  <c r="AE95" i="5" s="1"/>
  <c r="AB295" i="5"/>
  <c r="AB186" i="5"/>
  <c r="AA488" i="5"/>
  <c r="AA407" i="5"/>
  <c r="AA427" i="5"/>
  <c r="AA323" i="5"/>
  <c r="AC227" i="5"/>
  <c r="AD227" i="5" s="1"/>
  <c r="AC230" i="5"/>
  <c r="AD230" i="5" s="1"/>
  <c r="AA315" i="5"/>
  <c r="AA245" i="5"/>
  <c r="AC284" i="5"/>
  <c r="AS284" i="5" s="1"/>
  <c r="AC287" i="5"/>
  <c r="AE287" i="5" s="1"/>
  <c r="AC311" i="5"/>
  <c r="AS311" i="5" s="1"/>
  <c r="AC124" i="5"/>
  <c r="AD124" i="5" s="1"/>
  <c r="AA496" i="5"/>
  <c r="AB377" i="5"/>
  <c r="AB245" i="5"/>
  <c r="AC224" i="5"/>
  <c r="AD224" i="5" s="1"/>
  <c r="AA339" i="5"/>
  <c r="AA284" i="5"/>
  <c r="AA95" i="5"/>
  <c r="AA311" i="5"/>
  <c r="AA365" i="5"/>
  <c r="AA391" i="5"/>
  <c r="AC172" i="5"/>
  <c r="AD172" i="5" s="1"/>
  <c r="AB20" i="5"/>
  <c r="AB458" i="5"/>
  <c r="AA127" i="5"/>
  <c r="AA122" i="5"/>
  <c r="AB323" i="5"/>
  <c r="AB496" i="5"/>
  <c r="AA377" i="5"/>
  <c r="AA172" i="5"/>
  <c r="AA197" i="5"/>
  <c r="AB399" i="5"/>
  <c r="AA224" i="5"/>
  <c r="AB365" i="5"/>
  <c r="AC176" i="5"/>
  <c r="AS176" i="5" s="1"/>
  <c r="AE146" i="4"/>
  <c r="AC391" i="5"/>
  <c r="AD391" i="5" s="1"/>
  <c r="AC458" i="5"/>
  <c r="AE458" i="5" s="1"/>
  <c r="AB127" i="5"/>
  <c r="AB122" i="5"/>
  <c r="AC435" i="5"/>
  <c r="AE435" i="5" s="1"/>
  <c r="AA176" i="5"/>
  <c r="AA504" i="5"/>
  <c r="AB117" i="5"/>
  <c r="AB124" i="5"/>
  <c r="AA239" i="5"/>
  <c r="AB197" i="5"/>
  <c r="AB45" i="5"/>
  <c r="AC196" i="5"/>
  <c r="AD196" i="5" s="1"/>
  <c r="AA450" i="5"/>
  <c r="AA20" i="5"/>
  <c r="AC442" i="5"/>
  <c r="AD442" i="5" s="1"/>
  <c r="AA269" i="5"/>
  <c r="AB473" i="5"/>
  <c r="AB450" i="5"/>
  <c r="AB165" i="5"/>
  <c r="AB120" i="5"/>
  <c r="AA45" i="5"/>
  <c r="AC423" i="5"/>
  <c r="AD423" i="5" s="1"/>
  <c r="AC490" i="5"/>
  <c r="AD490" i="5" s="1"/>
  <c r="AC355" i="5"/>
  <c r="AD355" i="5" s="1"/>
  <c r="AF108" i="4"/>
  <c r="AG108" i="4" s="1"/>
  <c r="AI108" i="4" s="1"/>
  <c r="AA300" i="5"/>
  <c r="AE123" i="4"/>
  <c r="AB433" i="5"/>
  <c r="AA248" i="5"/>
  <c r="AA252" i="5"/>
  <c r="AA84" i="5"/>
  <c r="AA23" i="5"/>
  <c r="AB427" i="5"/>
  <c r="AA28" i="5"/>
  <c r="AA399" i="5"/>
  <c r="AA87" i="5"/>
  <c r="AA381" i="5"/>
  <c r="AA178" i="5"/>
  <c r="AC28" i="5"/>
  <c r="AE28" i="5" s="1"/>
  <c r="AB178" i="5"/>
  <c r="AA334" i="5"/>
  <c r="AC524" i="5"/>
  <c r="AS524" i="5" s="1"/>
  <c r="AB54" i="5"/>
  <c r="AB143" i="5"/>
  <c r="AB61" i="5"/>
  <c r="AB246" i="5"/>
  <c r="AA21" i="5"/>
  <c r="AA225" i="5"/>
  <c r="AA10" i="5"/>
  <c r="AB341" i="5"/>
  <c r="AB268" i="5"/>
  <c r="AA480" i="5"/>
  <c r="AA434" i="5"/>
  <c r="AA104" i="5"/>
  <c r="AB434" i="5"/>
  <c r="AB280" i="5"/>
  <c r="AB182" i="5"/>
  <c r="AA530" i="5"/>
  <c r="AB542" i="5"/>
  <c r="X40" i="4"/>
  <c r="AJ40" i="4" s="1"/>
  <c r="AE82" i="4"/>
  <c r="AB302" i="5"/>
  <c r="AA310" i="5"/>
  <c r="AB307" i="5"/>
  <c r="AB30" i="5"/>
  <c r="AC187" i="5"/>
  <c r="AS187" i="5" s="1"/>
  <c r="AC167" i="5"/>
  <c r="AS167" i="5" s="1"/>
  <c r="AB508" i="5"/>
  <c r="AC449" i="5"/>
  <c r="AS449" i="5" s="1"/>
  <c r="AB44" i="5"/>
  <c r="AB449" i="5"/>
  <c r="AE71" i="4"/>
  <c r="AB210" i="5"/>
  <c r="AB73" i="5"/>
  <c r="AB279" i="5"/>
  <c r="AB159" i="5"/>
  <c r="AE31" i="4"/>
  <c r="AB411" i="5"/>
  <c r="AA383" i="5"/>
  <c r="AA183" i="5"/>
  <c r="AC322" i="5"/>
  <c r="AE322" i="5" s="1"/>
  <c r="AB237" i="5"/>
  <c r="AA73" i="5"/>
  <c r="AA337" i="5"/>
  <c r="AC37" i="5"/>
  <c r="AS37" i="5" s="1"/>
  <c r="AA510" i="5"/>
  <c r="AA152" i="5"/>
  <c r="AC86" i="5"/>
  <c r="AE86" i="5" s="1"/>
  <c r="AA508" i="5"/>
  <c r="AA78" i="5"/>
  <c r="AC79" i="5"/>
  <c r="AD79" i="5" s="1"/>
  <c r="AA162" i="5"/>
  <c r="AB240" i="5"/>
  <c r="AA79" i="5"/>
  <c r="AB378" i="5"/>
  <c r="AB233" i="5"/>
  <c r="AC249" i="5"/>
  <c r="AE249" i="5" s="1"/>
  <c r="AB68" i="5"/>
  <c r="AA190" i="5"/>
  <c r="AA52" i="5"/>
  <c r="AA12" i="5"/>
  <c r="AC177" i="5"/>
  <c r="AD177" i="5" s="1"/>
  <c r="AC211" i="5"/>
  <c r="AE211" i="5" s="1"/>
  <c r="AA227" i="5"/>
  <c r="AA237" i="5"/>
  <c r="AA352" i="5"/>
  <c r="AC233" i="5"/>
  <c r="AE233" i="5" s="1"/>
  <c r="AB249" i="5"/>
  <c r="AA68" i="5"/>
  <c r="AA234" i="5"/>
  <c r="AA177" i="5"/>
  <c r="AB156" i="5"/>
  <c r="AB198" i="5"/>
  <c r="AC419" i="5"/>
  <c r="AD419" i="5" s="1"/>
  <c r="AB211" i="5"/>
  <c r="AB195" i="5"/>
  <c r="AB345" i="5"/>
  <c r="AA378" i="5"/>
  <c r="AC246" i="5"/>
  <c r="AD246" i="5" s="1"/>
  <c r="AB123" i="5"/>
  <c r="AB271" i="5"/>
  <c r="AA56" i="5"/>
  <c r="AC352" i="5"/>
  <c r="AD352" i="5" s="1"/>
  <c r="AC393" i="5"/>
  <c r="AE393" i="5" s="1"/>
  <c r="AB234" i="5"/>
  <c r="AA556" i="5"/>
  <c r="AC330" i="5"/>
  <c r="AE330" i="5" s="1"/>
  <c r="AC156" i="5"/>
  <c r="AD156" i="5" s="1"/>
  <c r="AA164" i="5"/>
  <c r="AB141" i="5"/>
  <c r="AB386" i="5"/>
  <c r="AC195" i="5"/>
  <c r="AE195" i="5" s="1"/>
  <c r="AA552" i="5"/>
  <c r="AA115" i="5"/>
  <c r="AA280" i="5"/>
  <c r="AC123" i="5"/>
  <c r="AS123" i="5" s="1"/>
  <c r="AC271" i="5"/>
  <c r="AD271" i="5" s="1"/>
  <c r="AC56" i="5"/>
  <c r="AE56" i="5" s="1"/>
  <c r="AC159" i="5"/>
  <c r="AS159" i="5" s="1"/>
  <c r="AB393" i="5"/>
  <c r="AA187" i="5"/>
  <c r="AC337" i="5"/>
  <c r="AS337" i="5" s="1"/>
  <c r="AB556" i="5"/>
  <c r="AA44" i="5"/>
  <c r="AB37" i="5"/>
  <c r="AA330" i="5"/>
  <c r="AA218" i="5"/>
  <c r="AB102" i="5"/>
  <c r="AA141" i="5"/>
  <c r="AA167" i="5"/>
  <c r="AA229" i="5"/>
  <c r="AB115" i="5"/>
  <c r="AB77" i="5"/>
  <c r="AB21" i="5"/>
  <c r="AB310" i="5"/>
  <c r="AB218" i="5"/>
  <c r="AA102" i="5"/>
  <c r="AB183" i="5"/>
  <c r="AC30" i="5"/>
  <c r="AD30" i="5" s="1"/>
  <c r="AB322" i="5"/>
  <c r="AC542" i="5"/>
  <c r="AE542" i="5" s="1"/>
  <c r="AB229" i="5"/>
  <c r="AE108" i="4"/>
  <c r="X123" i="4"/>
  <c r="AJ123" i="4" s="1"/>
  <c r="AC162" i="5"/>
  <c r="AD162" i="5" s="1"/>
  <c r="AC52" i="5"/>
  <c r="AD52" i="5" s="1"/>
  <c r="AC307" i="5"/>
  <c r="AE307" i="5" s="1"/>
  <c r="AA182" i="5"/>
  <c r="AC152" i="5"/>
  <c r="AD152" i="5" s="1"/>
  <c r="AA210" i="5"/>
  <c r="AC10" i="5"/>
  <c r="AD10" i="5" s="1"/>
  <c r="AA279" i="5"/>
  <c r="AC190" i="5"/>
  <c r="AD190" i="5" s="1"/>
  <c r="AC225" i="5"/>
  <c r="AE225" i="5" s="1"/>
  <c r="AC96" i="5"/>
  <c r="AE96" i="5" s="1"/>
  <c r="AA240" i="5"/>
  <c r="AC164" i="5"/>
  <c r="AE164" i="5" s="1"/>
  <c r="AB12" i="5"/>
  <c r="AB78" i="5"/>
  <c r="AC299" i="5"/>
  <c r="AD299" i="5" s="1"/>
  <c r="AE70" i="4"/>
  <c r="AA243" i="5"/>
  <c r="AB38" i="5"/>
  <c r="AC63" i="5"/>
  <c r="AS63" i="5" s="1"/>
  <c r="AB154" i="5"/>
  <c r="AB272" i="5"/>
  <c r="AA385" i="5"/>
  <c r="AA492" i="5"/>
  <c r="AA72" i="5"/>
  <c r="AB559" i="5"/>
  <c r="AC250" i="5"/>
  <c r="AD250" i="5" s="1"/>
  <c r="AC131" i="5"/>
  <c r="AD131" i="5" s="1"/>
  <c r="AC64" i="5"/>
  <c r="AD64" i="5" s="1"/>
  <c r="AB67" i="5"/>
  <c r="AB477" i="5"/>
  <c r="AB204" i="5"/>
  <c r="AC516" i="5"/>
  <c r="AE516" i="5" s="1"/>
  <c r="AC347" i="5"/>
  <c r="AS347" i="5" s="1"/>
  <c r="AB99" i="5"/>
  <c r="AC74" i="5"/>
  <c r="AS74" i="5" s="1"/>
  <c r="AC169" i="5"/>
  <c r="AE169" i="5" s="1"/>
  <c r="AB83" i="5"/>
  <c r="AC281" i="5"/>
  <c r="AE281" i="5" s="1"/>
  <c r="AC154" i="5"/>
  <c r="AD154" i="5" s="1"/>
  <c r="AA107" i="5"/>
  <c r="AC146" i="5"/>
  <c r="AS146" i="5" s="1"/>
  <c r="AC98" i="5"/>
  <c r="AD98" i="5" s="1"/>
  <c r="AA559" i="5"/>
  <c r="AB131" i="5"/>
  <c r="AA266" i="5"/>
  <c r="AA204" i="5"/>
  <c r="AC550" i="5"/>
  <c r="AD550" i="5" s="1"/>
  <c r="AA478" i="5"/>
  <c r="AA374" i="5"/>
  <c r="AC11" i="5"/>
  <c r="AA328" i="5"/>
  <c r="AC328" i="5"/>
  <c r="AD328" i="5" s="1"/>
  <c r="AC526" i="5"/>
  <c r="AD526" i="5" s="1"/>
  <c r="AA113" i="5"/>
  <c r="AA500" i="5"/>
  <c r="AA516" i="5"/>
  <c r="AA457" i="5"/>
  <c r="AA541" i="5"/>
  <c r="AB347" i="5"/>
  <c r="AA99" i="5"/>
  <c r="AC273" i="5"/>
  <c r="AE273" i="5" s="1"/>
  <c r="AB74" i="5"/>
  <c r="AA344" i="5"/>
  <c r="AA319" i="5"/>
  <c r="AC107" i="5"/>
  <c r="AD107" i="5" s="1"/>
  <c r="AA146" i="5"/>
  <c r="AB98" i="5"/>
  <c r="AB534" i="5"/>
  <c r="AC139" i="5"/>
  <c r="AE139" i="5" s="1"/>
  <c r="AB419" i="5"/>
  <c r="AC170" i="5"/>
  <c r="AS170" i="5" s="1"/>
  <c r="AB266" i="5"/>
  <c r="AA173" i="5"/>
  <c r="AB96" i="5"/>
  <c r="X102" i="4"/>
  <c r="AJ102" i="4" s="1"/>
  <c r="AC288" i="5"/>
  <c r="AS288" i="5" s="1"/>
  <c r="AB413" i="5"/>
  <c r="AC488" i="5"/>
  <c r="AS488" i="5" s="1"/>
  <c r="AB526" i="5"/>
  <c r="AB113" i="5"/>
  <c r="AB500" i="5"/>
  <c r="AA134" i="5"/>
  <c r="AC457" i="5"/>
  <c r="AD457" i="5" s="1"/>
  <c r="AC71" i="5"/>
  <c r="AE71" i="5" s="1"/>
  <c r="AB541" i="5"/>
  <c r="AE51" i="4"/>
  <c r="AA273" i="5"/>
  <c r="AB344" i="5"/>
  <c r="AC258" i="5"/>
  <c r="AS258" i="5" s="1"/>
  <c r="AC319" i="5"/>
  <c r="AS319" i="5" s="1"/>
  <c r="AB39" i="5"/>
  <c r="AA534" i="5"/>
  <c r="AA198" i="5"/>
  <c r="AB139" i="5"/>
  <c r="AA170" i="5"/>
  <c r="AA345" i="5"/>
  <c r="X9" i="4"/>
  <c r="AJ9" i="4" s="1"/>
  <c r="AC370" i="5"/>
  <c r="AS370" i="5" s="1"/>
  <c r="AB71" i="5"/>
  <c r="AE28" i="4"/>
  <c r="AC39" i="5"/>
  <c r="AE39" i="5" s="1"/>
  <c r="AA519" i="5"/>
  <c r="AB134" i="5"/>
  <c r="AB432" i="5"/>
  <c r="AC100" i="5"/>
  <c r="AS100" i="5" s="1"/>
  <c r="AA238" i="5"/>
  <c r="AA22" i="5"/>
  <c r="AE75" i="4"/>
  <c r="AC85" i="5"/>
  <c r="AS85" i="5" s="1"/>
  <c r="AC235" i="5"/>
  <c r="AE235" i="5" s="1"/>
  <c r="AA444" i="5"/>
  <c r="AC92" i="5"/>
  <c r="AE92" i="5" s="1"/>
  <c r="AC185" i="5"/>
  <c r="AD185" i="5" s="1"/>
  <c r="AA517" i="5"/>
  <c r="AA258" i="5"/>
  <c r="AB370" i="5"/>
  <c r="AC161" i="5"/>
  <c r="AS161" i="5" s="1"/>
  <c r="AA432" i="5"/>
  <c r="AB299" i="5"/>
  <c r="AB22" i="5"/>
  <c r="AB85" i="5"/>
  <c r="AA185" i="5"/>
  <c r="AB238" i="5"/>
  <c r="AA277" i="5"/>
  <c r="AB481" i="5"/>
  <c r="AE9" i="4"/>
  <c r="AO27" i="4"/>
  <c r="AG102" i="4"/>
  <c r="AI102" i="4" s="1"/>
  <c r="AO102" i="4"/>
  <c r="AO19" i="4"/>
  <c r="AG19" i="4"/>
  <c r="AI19" i="4" s="1"/>
  <c r="AF111" i="4"/>
  <c r="AO30" i="4"/>
  <c r="AG30" i="4"/>
  <c r="AI30" i="4" s="1"/>
  <c r="AB466" i="5"/>
  <c r="AC412" i="5"/>
  <c r="AD412" i="5" s="1"/>
  <c r="AB381" i="5"/>
  <c r="AA47" i="5"/>
  <c r="AC464" i="5"/>
  <c r="AS464" i="5" s="1"/>
  <c r="AB248" i="5"/>
  <c r="AA408" i="5"/>
  <c r="AA433" i="5"/>
  <c r="AA349" i="5"/>
  <c r="AB312" i="5"/>
  <c r="AB555" i="5"/>
  <c r="AB443" i="5"/>
  <c r="AA505" i="5"/>
  <c r="AA155" i="5"/>
  <c r="AA512" i="5"/>
  <c r="AC334" i="5"/>
  <c r="AE334" i="5" s="1"/>
  <c r="AA355" i="5"/>
  <c r="AA547" i="5"/>
  <c r="AB451" i="5"/>
  <c r="AB232" i="5"/>
  <c r="AA46" i="5"/>
  <c r="AA420" i="5"/>
  <c r="AB536" i="5"/>
  <c r="AA481" i="5"/>
  <c r="AR210" i="5"/>
  <c r="AQ291" i="5"/>
  <c r="AE63" i="4"/>
  <c r="Y63" i="4"/>
  <c r="Z63" i="4" s="1"/>
  <c r="X23" i="4"/>
  <c r="AJ23" i="4" s="1"/>
  <c r="Y23" i="4"/>
  <c r="Z23" i="4" s="1"/>
  <c r="AE23" i="4"/>
  <c r="AN10" i="5"/>
  <c r="AO10" i="5"/>
  <c r="AE52" i="4"/>
  <c r="X52" i="4"/>
  <c r="AJ52" i="4" s="1"/>
  <c r="Y52" i="4"/>
  <c r="Z52" i="4" s="1"/>
  <c r="AG71" i="4"/>
  <c r="AI71" i="4" s="1"/>
  <c r="AO71" i="4"/>
  <c r="AA466" i="5"/>
  <c r="AA483" i="5"/>
  <c r="AB483" i="5"/>
  <c r="AC84" i="5"/>
  <c r="AD84" i="5" s="1"/>
  <c r="AB412" i="5"/>
  <c r="AC252" i="5"/>
  <c r="AS252" i="5" s="1"/>
  <c r="AB349" i="5"/>
  <c r="AA555" i="5"/>
  <c r="AB505" i="5"/>
  <c r="AB512" i="5"/>
  <c r="AA490" i="5"/>
  <c r="AA451" i="5"/>
  <c r="AA232" i="5"/>
  <c r="AB46" i="5"/>
  <c r="AA520" i="5"/>
  <c r="AA536" i="5"/>
  <c r="Y103" i="4"/>
  <c r="Z103" i="4" s="1"/>
  <c r="AF103" i="4" s="1"/>
  <c r="AO103" i="4" s="1"/>
  <c r="AE103" i="4"/>
  <c r="X103" i="4"/>
  <c r="AJ103" i="4" s="1"/>
  <c r="Y95" i="4"/>
  <c r="Z95" i="4" s="1"/>
  <c r="AE95" i="4"/>
  <c r="X95" i="4"/>
  <c r="AJ95" i="4" s="1"/>
  <c r="U10" i="5"/>
  <c r="V10" i="5"/>
  <c r="AO9" i="4"/>
  <c r="AG9" i="4"/>
  <c r="AI9" i="4" s="1"/>
  <c r="AE126" i="4"/>
  <c r="Y126" i="4"/>
  <c r="Z126" i="4" s="1"/>
  <c r="AE64" i="4"/>
  <c r="Y64" i="4"/>
  <c r="Z64" i="4" s="1"/>
  <c r="AE27" i="4"/>
  <c r="X128" i="4"/>
  <c r="AJ128" i="4" s="1"/>
  <c r="Y128" i="4"/>
  <c r="Z128" i="4" s="1"/>
  <c r="AE128" i="4"/>
  <c r="Y69" i="4"/>
  <c r="Z69" i="4" s="1"/>
  <c r="X69" i="4"/>
  <c r="AJ69" i="4" s="1"/>
  <c r="AE69" i="4"/>
  <c r="X93" i="4"/>
  <c r="AJ93" i="4" s="1"/>
  <c r="AE93" i="4"/>
  <c r="Y93" i="4"/>
  <c r="Z93" i="4" s="1"/>
  <c r="X45" i="4"/>
  <c r="AJ45" i="4" s="1"/>
  <c r="Y45" i="4"/>
  <c r="Z45" i="4" s="1"/>
  <c r="AF45" i="4" s="1"/>
  <c r="AG45" i="4" s="1"/>
  <c r="AI45" i="4" s="1"/>
  <c r="AE45" i="4"/>
  <c r="AE150" i="4"/>
  <c r="Y150" i="4"/>
  <c r="Z150" i="4" s="1"/>
  <c r="X68" i="4"/>
  <c r="AJ68" i="4" s="1"/>
  <c r="AE68" i="4"/>
  <c r="Y68" i="4"/>
  <c r="Z68" i="4" s="1"/>
  <c r="AF68" i="4" s="1"/>
  <c r="AG68" i="4" s="1"/>
  <c r="AI68" i="4" s="1"/>
  <c r="AH10" i="5"/>
  <c r="AI10" i="5"/>
  <c r="AA89" i="5"/>
  <c r="AA308" i="5"/>
  <c r="AA58" i="5"/>
  <c r="AB493" i="5"/>
  <c r="AA423" i="5"/>
  <c r="AA454" i="5"/>
  <c r="AC358" i="5"/>
  <c r="AE358" i="5" s="1"/>
  <c r="AA418" i="5"/>
  <c r="AA395" i="5"/>
  <c r="AB474" i="5"/>
  <c r="AB524" i="5"/>
  <c r="AC527" i="5"/>
  <c r="AE527" i="5" s="1"/>
  <c r="AA489" i="5"/>
  <c r="AA193" i="5"/>
  <c r="AQ181" i="5"/>
  <c r="X38" i="4"/>
  <c r="AJ38" i="4" s="1"/>
  <c r="Y38" i="4"/>
  <c r="Z38" i="4" s="1"/>
  <c r="AE38" i="4"/>
  <c r="X134" i="4"/>
  <c r="AJ134" i="4" s="1"/>
  <c r="Y134" i="4"/>
  <c r="Z134" i="4" s="1"/>
  <c r="AE134" i="4"/>
  <c r="R10" i="5"/>
  <c r="S10" i="5"/>
  <c r="Y137" i="4"/>
  <c r="Z137" i="4" s="1"/>
  <c r="X137" i="4"/>
  <c r="AJ137" i="4" s="1"/>
  <c r="AE137" i="4"/>
  <c r="X44" i="4"/>
  <c r="AK44" i="4" s="1"/>
  <c r="AF70" i="4"/>
  <c r="AE44" i="4"/>
  <c r="AE111" i="4"/>
  <c r="X111" i="4"/>
  <c r="AJ111" i="4" s="1"/>
  <c r="X7" i="4"/>
  <c r="AJ7" i="4" s="1"/>
  <c r="Y7" i="4"/>
  <c r="Z7" i="4" s="1"/>
  <c r="AA286" i="5"/>
  <c r="AB300" i="5"/>
  <c r="AC286" i="5"/>
  <c r="AS286" i="5" s="1"/>
  <c r="AC467" i="5"/>
  <c r="AS467" i="5" s="1"/>
  <c r="AB342" i="5"/>
  <c r="AC89" i="5"/>
  <c r="AD89" i="5" s="1"/>
  <c r="AB439" i="5"/>
  <c r="AB308" i="5"/>
  <c r="AC535" i="5"/>
  <c r="AD535" i="5" s="1"/>
  <c r="AC144" i="5"/>
  <c r="AS144" i="5" s="1"/>
  <c r="AB58" i="5"/>
  <c r="AC397" i="5"/>
  <c r="AS397" i="5" s="1"/>
  <c r="AC493" i="5"/>
  <c r="AD493" i="5" s="1"/>
  <c r="AC454" i="5"/>
  <c r="AS454" i="5" s="1"/>
  <c r="AA324" i="5"/>
  <c r="AA358" i="5"/>
  <c r="AB147" i="5"/>
  <c r="AC418" i="5"/>
  <c r="AD418" i="5" s="1"/>
  <c r="AB395" i="5"/>
  <c r="AB558" i="5"/>
  <c r="AC474" i="5"/>
  <c r="AD474" i="5" s="1"/>
  <c r="AC373" i="5"/>
  <c r="AS373" i="5" s="1"/>
  <c r="AB527" i="5"/>
  <c r="AC489" i="5"/>
  <c r="AS489" i="5" s="1"/>
  <c r="AB446" i="5"/>
  <c r="AC448" i="5"/>
  <c r="AS448" i="5" s="1"/>
  <c r="AC340" i="5"/>
  <c r="AD340" i="5" s="1"/>
  <c r="AB144" i="5"/>
  <c r="AE54" i="4"/>
  <c r="Y54" i="4"/>
  <c r="Z54" i="4" s="1"/>
  <c r="X108" i="4"/>
  <c r="AE35" i="4"/>
  <c r="Y35" i="4"/>
  <c r="Z35" i="4" s="1"/>
  <c r="Y8" i="4"/>
  <c r="Z8" i="4" s="1"/>
  <c r="AE8" i="4"/>
  <c r="X8" i="4"/>
  <c r="AJ8" i="4" s="1"/>
  <c r="X27" i="4"/>
  <c r="AF44" i="4"/>
  <c r="X30" i="4"/>
  <c r="AJ30" i="4" s="1"/>
  <c r="X70" i="4"/>
  <c r="AK70" i="4" s="1"/>
  <c r="AE30" i="4"/>
  <c r="AB34" i="5"/>
  <c r="AA467" i="5"/>
  <c r="AA342" i="5"/>
  <c r="AB485" i="5"/>
  <c r="AC439" i="5"/>
  <c r="AE439" i="5" s="1"/>
  <c r="AB325" i="5"/>
  <c r="AB535" i="5"/>
  <c r="AC367" i="5"/>
  <c r="AE367" i="5" s="1"/>
  <c r="AA415" i="5"/>
  <c r="AA397" i="5"/>
  <c r="AC324" i="5"/>
  <c r="AS324" i="5" s="1"/>
  <c r="AA147" i="5"/>
  <c r="AA558" i="5"/>
  <c r="AB109" i="5"/>
  <c r="AA373" i="5"/>
  <c r="AA446" i="5"/>
  <c r="AB448" i="5"/>
  <c r="AA340" i="5"/>
  <c r="AR94" i="5"/>
  <c r="Y157" i="4"/>
  <c r="Z157" i="4" s="1"/>
  <c r="AE157" i="4"/>
  <c r="AE102" i="4"/>
  <c r="X19" i="4"/>
  <c r="AJ19" i="4" s="1"/>
  <c r="AE127" i="4"/>
  <c r="Y127" i="4"/>
  <c r="Z127" i="4" s="1"/>
  <c r="X127" i="4"/>
  <c r="AJ127" i="4" s="1"/>
  <c r="AA184" i="5"/>
  <c r="AC485" i="5"/>
  <c r="AS485" i="5" s="1"/>
  <c r="AA325" i="5"/>
  <c r="AC47" i="5"/>
  <c r="AE47" i="5" s="1"/>
  <c r="AB367" i="5"/>
  <c r="AC415" i="5"/>
  <c r="AE415" i="5" s="1"/>
  <c r="AB464" i="5"/>
  <c r="AC408" i="5"/>
  <c r="AS408" i="5" s="1"/>
  <c r="AC312" i="5"/>
  <c r="AS312" i="5" s="1"/>
  <c r="AC443" i="5"/>
  <c r="AE443" i="5" s="1"/>
  <c r="AC109" i="5"/>
  <c r="AS109" i="5" s="1"/>
  <c r="AC547" i="5"/>
  <c r="AE547" i="5" s="1"/>
  <c r="AE43" i="4"/>
  <c r="AA81" i="5"/>
  <c r="Y77" i="4"/>
  <c r="Z77" i="4" s="1"/>
  <c r="AE77" i="4"/>
  <c r="AE86" i="4"/>
  <c r="X86" i="4"/>
  <c r="AJ86" i="4" s="1"/>
  <c r="Y86" i="4"/>
  <c r="Z86" i="4" s="1"/>
  <c r="AE19" i="4"/>
  <c r="AB184" i="5"/>
  <c r="AB81" i="5"/>
  <c r="X63" i="4"/>
  <c r="AJ63" i="4" s="1"/>
  <c r="AF123" i="4"/>
  <c r="X10" i="5"/>
  <c r="Y10" i="5"/>
  <c r="Y116" i="4"/>
  <c r="Z116" i="4" s="1"/>
  <c r="AE116" i="4"/>
  <c r="X100" i="4"/>
  <c r="AJ100" i="4" s="1"/>
  <c r="AE100" i="4"/>
  <c r="Y100" i="4"/>
  <c r="Z100" i="4" s="1"/>
  <c r="X71" i="4"/>
  <c r="AJ71" i="4" s="1"/>
  <c r="AG40" i="4"/>
  <c r="AI40" i="4" s="1"/>
  <c r="AO40" i="4"/>
  <c r="X47" i="4"/>
  <c r="AJ47" i="4" s="1"/>
  <c r="Y47" i="4"/>
  <c r="Z47" i="4" s="1"/>
  <c r="AE47" i="4"/>
  <c r="X116" i="4"/>
  <c r="AC192" i="5"/>
  <c r="AS192" i="5" s="1"/>
  <c r="AB242" i="5"/>
  <c r="AC549" i="5"/>
  <c r="AD549" i="5" s="1"/>
  <c r="AA145" i="5"/>
  <c r="AB145" i="5"/>
  <c r="AC149" i="5"/>
  <c r="AS149" i="5" s="1"/>
  <c r="AA264" i="5"/>
  <c r="AA528" i="5"/>
  <c r="AB51" i="5"/>
  <c r="AA476" i="5"/>
  <c r="AA33" i="5"/>
  <c r="AC445" i="5"/>
  <c r="AS445" i="5" s="1"/>
  <c r="AA553" i="5"/>
  <c r="AB24" i="5"/>
  <c r="AA398" i="5"/>
  <c r="AC88" i="5"/>
  <c r="AE88" i="5" s="1"/>
  <c r="AC368" i="5"/>
  <c r="AD368" i="5" s="1"/>
  <c r="AB406" i="5"/>
  <c r="AA497" i="5"/>
  <c r="AA136" i="5"/>
  <c r="AC431" i="5"/>
  <c r="AD431" i="5" s="1"/>
  <c r="AC519" i="5"/>
  <c r="AD519" i="5" s="1"/>
  <c r="AB191" i="5"/>
  <c r="AC484" i="5"/>
  <c r="AS484" i="5" s="1"/>
  <c r="AC461" i="5"/>
  <c r="AS461" i="5" s="1"/>
  <c r="AC207" i="5"/>
  <c r="AD207" i="5" s="1"/>
  <c r="AB41" i="5"/>
  <c r="AC538" i="5"/>
  <c r="AS538" i="5" s="1"/>
  <c r="AB200" i="5"/>
  <c r="AA314" i="5"/>
  <c r="AC61" i="5"/>
  <c r="AD61" i="5" s="1"/>
  <c r="AB215" i="5"/>
  <c r="AC87" i="5"/>
  <c r="AS87" i="5" s="1"/>
  <c r="AA67" i="5"/>
  <c r="AA126" i="5"/>
  <c r="AB384" i="5"/>
  <c r="AC503" i="5"/>
  <c r="AE503" i="5" s="1"/>
  <c r="AB264" i="5"/>
  <c r="AA153" i="5"/>
  <c r="AB110" i="5"/>
  <c r="AB316" i="5"/>
  <c r="AB437" i="5"/>
  <c r="AA148" i="5"/>
  <c r="AB476" i="5"/>
  <c r="AB33" i="5"/>
  <c r="AA138" i="5"/>
  <c r="AB76" i="5"/>
  <c r="AA24" i="5"/>
  <c r="AB88" i="5"/>
  <c r="AC510" i="5"/>
  <c r="AD510" i="5" s="1"/>
  <c r="AC545" i="5"/>
  <c r="AD545" i="5" s="1"/>
  <c r="AB459" i="5"/>
  <c r="AB40" i="5"/>
  <c r="AC91" i="5"/>
  <c r="AS91" i="5" s="1"/>
  <c r="AB136" i="5"/>
  <c r="AC191" i="5"/>
  <c r="AE191" i="5" s="1"/>
  <c r="AA484" i="5"/>
  <c r="AA461" i="5"/>
  <c r="AA207" i="5"/>
  <c r="AC276" i="5"/>
  <c r="AD276" i="5" s="1"/>
  <c r="AA538" i="5"/>
  <c r="AB173" i="5"/>
  <c r="AB388" i="5"/>
  <c r="AB126" i="5"/>
  <c r="B112" i="2"/>
  <c r="B154" i="2" s="1"/>
  <c r="H40" i="1" s="1"/>
  <c r="AB9" i="5"/>
  <c r="AA9" i="5"/>
  <c r="AC9" i="5"/>
  <c r="AC118" i="5"/>
  <c r="AS118" i="5" s="1"/>
  <c r="AB219" i="5"/>
  <c r="AC212" i="5"/>
  <c r="AS212" i="5" s="1"/>
  <c r="AA503" i="5"/>
  <c r="AA549" i="5"/>
  <c r="AC531" i="5"/>
  <c r="AD531" i="5" s="1"/>
  <c r="AB350" i="5"/>
  <c r="AC487" i="5"/>
  <c r="AD487" i="5" s="1"/>
  <c r="AA422" i="5"/>
  <c r="AA482" i="5"/>
  <c r="AA468" i="5"/>
  <c r="AA479" i="5"/>
  <c r="AA518" i="5"/>
  <c r="AB530" i="5"/>
  <c r="AA515" i="5"/>
  <c r="AC256" i="5"/>
  <c r="AS256" i="5" s="1"/>
  <c r="AA531" i="5"/>
  <c r="AC557" i="5"/>
  <c r="AS557" i="5" s="1"/>
  <c r="AA364" i="5"/>
  <c r="AC372" i="5"/>
  <c r="AE372" i="5" s="1"/>
  <c r="AB479" i="5"/>
  <c r="AA192" i="5"/>
  <c r="AC242" i="5"/>
  <c r="AD242" i="5" s="1"/>
  <c r="AB507" i="5"/>
  <c r="AA75" i="5"/>
  <c r="AC130" i="5"/>
  <c r="AS130" i="5" s="1"/>
  <c r="AB557" i="5"/>
  <c r="AC554" i="5"/>
  <c r="AS554" i="5" s="1"/>
  <c r="AB216" i="5"/>
  <c r="AA35" i="5"/>
  <c r="AB482" i="5"/>
  <c r="AA250" i="5"/>
  <c r="AC364" i="5"/>
  <c r="AE364" i="5" s="1"/>
  <c r="AA57" i="5"/>
  <c r="AA372" i="5"/>
  <c r="AC389" i="5"/>
  <c r="AE389" i="5" s="1"/>
  <c r="AA212" i="5"/>
  <c r="AB285" i="5"/>
  <c r="AB389" i="5"/>
  <c r="AA285" i="5"/>
  <c r="AA257" i="5"/>
  <c r="AB528" i="5"/>
  <c r="AC507" i="5"/>
  <c r="AD507" i="5" s="1"/>
  <c r="AB75" i="5"/>
  <c r="AB130" i="5"/>
  <c r="AC51" i="5"/>
  <c r="AE51" i="5" s="1"/>
  <c r="AB554" i="5"/>
  <c r="AA216" i="5"/>
  <c r="AB398" i="5"/>
  <c r="B118" i="2"/>
  <c r="B99" i="2" s="1"/>
  <c r="B119" i="2" s="1"/>
  <c r="AB35" i="5"/>
  <c r="AC497" i="5"/>
  <c r="AE497" i="5" s="1"/>
  <c r="AC41" i="5"/>
  <c r="AD41" i="5" s="1"/>
  <c r="AC57" i="5"/>
  <c r="AD57" i="5" s="1"/>
  <c r="AC215" i="5"/>
  <c r="AS215" i="5" s="1"/>
  <c r="AB257" i="5"/>
  <c r="AA200" i="5"/>
  <c r="AE92" i="4"/>
  <c r="AE136" i="4"/>
  <c r="AE49" i="4"/>
  <c r="X99" i="4"/>
  <c r="AJ99" i="4" s="1"/>
  <c r="X74" i="4"/>
  <c r="AJ74" i="4" s="1"/>
  <c r="AE55" i="4"/>
  <c r="X151" i="4"/>
  <c r="AJ151" i="4" s="1"/>
  <c r="AE106" i="4"/>
  <c r="AE53" i="4"/>
  <c r="B115" i="2"/>
  <c r="B96" i="2" s="1"/>
  <c r="B116" i="2" s="1"/>
  <c r="X81" i="4"/>
  <c r="AJ81" i="4" s="1"/>
  <c r="AE87" i="4"/>
  <c r="X117" i="4"/>
  <c r="AJ117" i="4" s="1"/>
  <c r="X75" i="4"/>
  <c r="AJ75" i="4" s="1"/>
  <c r="AE147" i="4"/>
  <c r="X80" i="4"/>
  <c r="AJ80" i="4" s="1"/>
  <c r="X124" i="4"/>
  <c r="AJ124" i="4" s="1"/>
  <c r="X122" i="4"/>
  <c r="AJ122" i="4" s="1"/>
  <c r="AE114" i="4"/>
  <c r="AF85" i="4"/>
  <c r="AG85" i="4" s="1"/>
  <c r="AI85" i="4" s="1"/>
  <c r="AE50" i="4"/>
  <c r="AE13" i="4"/>
  <c r="X65" i="4"/>
  <c r="AJ65" i="4" s="1"/>
  <c r="X82" i="4"/>
  <c r="AJ82" i="4" s="1"/>
  <c r="X13" i="4"/>
  <c r="AJ13" i="4" s="1"/>
  <c r="AE36" i="4"/>
  <c r="AE89" i="4"/>
  <c r="X85" i="4"/>
  <c r="AJ85" i="4" s="1"/>
  <c r="X89" i="4"/>
  <c r="AJ89" i="4" s="1"/>
  <c r="AE120" i="4"/>
  <c r="X51" i="4"/>
  <c r="AJ51" i="4" s="1"/>
  <c r="AF17" i="4"/>
  <c r="AG17" i="4" s="1"/>
  <c r="AI17" i="4" s="1"/>
  <c r="AF139" i="4"/>
  <c r="AO139" i="4" s="1"/>
  <c r="AF97" i="4"/>
  <c r="AO97" i="4" s="1"/>
  <c r="AF81" i="4"/>
  <c r="AG81" i="4" s="1"/>
  <c r="AI81" i="4" s="1"/>
  <c r="AF114" i="4"/>
  <c r="AO114" i="4" s="1"/>
  <c r="X41" i="4"/>
  <c r="AK41" i="4" s="1"/>
  <c r="AE97" i="4"/>
  <c r="X153" i="4"/>
  <c r="AJ153" i="4" s="1"/>
  <c r="X92" i="4"/>
  <c r="AJ92" i="4" s="1"/>
  <c r="X114" i="4"/>
  <c r="AJ114" i="4" s="1"/>
  <c r="AE117" i="4"/>
  <c r="AE41" i="4"/>
  <c r="AE17" i="4"/>
  <c r="AE33" i="4"/>
  <c r="AE60" i="4"/>
  <c r="AE113" i="4"/>
  <c r="X104" i="4"/>
  <c r="AK104" i="4" s="1"/>
  <c r="X25" i="4"/>
  <c r="AK25" i="4" s="1"/>
  <c r="X138" i="4"/>
  <c r="AJ138" i="4" s="1"/>
  <c r="X55" i="4"/>
  <c r="AJ55" i="4" s="1"/>
  <c r="AE80" i="4"/>
  <c r="X97" i="4"/>
  <c r="AJ97" i="4" s="1"/>
  <c r="X120" i="4"/>
  <c r="AJ120" i="4" s="1"/>
  <c r="AA98" i="4"/>
  <c r="AC98" i="4" s="1"/>
  <c r="AD98" i="4" s="1"/>
  <c r="AE151" i="4"/>
  <c r="X136" i="4"/>
  <c r="AJ136" i="4" s="1"/>
  <c r="Z120" i="4"/>
  <c r="Z60" i="4"/>
  <c r="AF60" i="4" s="1"/>
  <c r="X17" i="4"/>
  <c r="AJ17" i="4" s="1"/>
  <c r="B76" i="2"/>
  <c r="X113" i="4"/>
  <c r="AJ113" i="4" s="1"/>
  <c r="AG98" i="4"/>
  <c r="AI98" i="4" s="1"/>
  <c r="AO98" i="4"/>
  <c r="AG151" i="4"/>
  <c r="AI151" i="4" s="1"/>
  <c r="AO151" i="4"/>
  <c r="AG74" i="4"/>
  <c r="AI74" i="4" s="1"/>
  <c r="AO74" i="4"/>
  <c r="AG89" i="4"/>
  <c r="AI89" i="4" s="1"/>
  <c r="AO89" i="4"/>
  <c r="AG25" i="4"/>
  <c r="AI25" i="4" s="1"/>
  <c r="AO25" i="4"/>
  <c r="AG82" i="4"/>
  <c r="AI82" i="4" s="1"/>
  <c r="AO82" i="4"/>
  <c r="AF80" i="4"/>
  <c r="AF11" i="4"/>
  <c r="AG78" i="4"/>
  <c r="AI78" i="4" s="1"/>
  <c r="AO78" i="4"/>
  <c r="AQ484" i="5"/>
  <c r="AR484" i="5"/>
  <c r="AQ500" i="5"/>
  <c r="AR500" i="5"/>
  <c r="AR347" i="5"/>
  <c r="AQ347" i="5"/>
  <c r="AQ341" i="5"/>
  <c r="AR341" i="5"/>
  <c r="AG106" i="4"/>
  <c r="AI106" i="4" s="1"/>
  <c r="AQ409" i="5"/>
  <c r="AR409" i="5"/>
  <c r="AR61" i="5"/>
  <c r="AQ61" i="5"/>
  <c r="B81" i="2"/>
  <c r="B82" i="2" s="1"/>
  <c r="H22" i="1" s="1"/>
  <c r="AR102" i="5"/>
  <c r="AQ102" i="5"/>
  <c r="AR120" i="5"/>
  <c r="AQ120" i="5"/>
  <c r="X32" i="4"/>
  <c r="AQ53" i="5"/>
  <c r="AR53" i="5"/>
  <c r="AR515" i="5"/>
  <c r="AQ515" i="5"/>
  <c r="AQ293" i="5"/>
  <c r="AR293" i="5"/>
  <c r="AR559" i="5"/>
  <c r="AQ559" i="5"/>
  <c r="AE131" i="4"/>
  <c r="AR8" i="5"/>
  <c r="AQ8" i="5"/>
  <c r="AQ223" i="5"/>
  <c r="AR223" i="5"/>
  <c r="AF156" i="4"/>
  <c r="AQ200" i="5"/>
  <c r="AR200" i="5"/>
  <c r="AQ519" i="5"/>
  <c r="AR519" i="5"/>
  <c r="AQ106" i="5"/>
  <c r="AR106" i="5"/>
  <c r="AQ289" i="5"/>
  <c r="AR289" i="5"/>
  <c r="AR235" i="5"/>
  <c r="AQ235" i="5"/>
  <c r="AQ343" i="5"/>
  <c r="AR343" i="5"/>
  <c r="AR456" i="5"/>
  <c r="AQ456" i="5"/>
  <c r="AQ96" i="5"/>
  <c r="AR96" i="5"/>
  <c r="X106" i="4"/>
  <c r="AA106" i="4" s="1"/>
  <c r="AC106" i="4" s="1"/>
  <c r="AD106" i="4" s="1"/>
  <c r="AE85" i="4"/>
  <c r="AQ203" i="5"/>
  <c r="AR203" i="5"/>
  <c r="AR553" i="5"/>
  <c r="AQ553" i="5"/>
  <c r="AR151" i="5"/>
  <c r="AQ151" i="5"/>
  <c r="AQ424" i="5"/>
  <c r="AR424" i="5"/>
  <c r="AQ464" i="5"/>
  <c r="AR464" i="5"/>
  <c r="AQ320" i="5"/>
  <c r="AR320" i="5"/>
  <c r="AQ504" i="5"/>
  <c r="AR504" i="5"/>
  <c r="AQ137" i="5"/>
  <c r="AR137" i="5"/>
  <c r="AQ393" i="5"/>
  <c r="AR393" i="5"/>
  <c r="AR391" i="5"/>
  <c r="AQ391" i="5"/>
  <c r="AR268" i="5"/>
  <c r="AQ268" i="5"/>
  <c r="AQ400" i="5"/>
  <c r="AR400" i="5"/>
  <c r="AE48" i="4"/>
  <c r="AR303" i="5"/>
  <c r="AQ303" i="5"/>
  <c r="AQ32" i="5"/>
  <c r="AR32" i="5"/>
  <c r="AR523" i="5"/>
  <c r="AQ523" i="5"/>
  <c r="AF13" i="4"/>
  <c r="AR242" i="5"/>
  <c r="AQ242" i="5"/>
  <c r="AE459" i="5"/>
  <c r="AS459" i="5"/>
  <c r="X119" i="4"/>
  <c r="AA119" i="4" s="1"/>
  <c r="AC119" i="4" s="1"/>
  <c r="AD119" i="4" s="1"/>
  <c r="X48" i="4"/>
  <c r="X49" i="4"/>
  <c r="AA49" i="4" s="1"/>
  <c r="AC49" i="4" s="1"/>
  <c r="AD49" i="4" s="1"/>
  <c r="AQ538" i="5"/>
  <c r="AR538" i="5"/>
  <c r="AQ505" i="5"/>
  <c r="AR505" i="5"/>
  <c r="AQ408" i="5"/>
  <c r="AR408" i="5"/>
  <c r="AQ468" i="5"/>
  <c r="AR468" i="5"/>
  <c r="AQ208" i="5"/>
  <c r="AR208" i="5"/>
  <c r="AE11" i="4"/>
  <c r="AR508" i="5"/>
  <c r="AQ508" i="5"/>
  <c r="AR532" i="5"/>
  <c r="AQ532" i="5"/>
  <c r="AR443" i="5"/>
  <c r="AQ443" i="5"/>
  <c r="AE153" i="4"/>
  <c r="AF33" i="4"/>
  <c r="AQ480" i="5"/>
  <c r="AR480" i="5"/>
  <c r="AR111" i="5"/>
  <c r="AQ111" i="5"/>
  <c r="AQ180" i="5"/>
  <c r="AR180" i="5"/>
  <c r="AR503" i="5"/>
  <c r="AQ503" i="5"/>
  <c r="AQ156" i="5"/>
  <c r="AR156" i="5"/>
  <c r="AR99" i="5"/>
  <c r="AQ99" i="5"/>
  <c r="AQ358" i="5"/>
  <c r="AR358" i="5"/>
  <c r="AQ439" i="5"/>
  <c r="AR439" i="5"/>
  <c r="AQ509" i="5"/>
  <c r="AR509" i="5"/>
  <c r="AQ230" i="5"/>
  <c r="AR230" i="5"/>
  <c r="AR115" i="5"/>
  <c r="AQ115" i="5"/>
  <c r="AQ256" i="5"/>
  <c r="AR256" i="5"/>
  <c r="AR546" i="5"/>
  <c r="AQ546" i="5"/>
  <c r="AQ207" i="5"/>
  <c r="AR207" i="5"/>
  <c r="AE90" i="4"/>
  <c r="AQ466" i="5"/>
  <c r="AR466" i="5"/>
  <c r="Y13" i="5"/>
  <c r="X13" i="5"/>
  <c r="AO112" i="4"/>
  <c r="AG112" i="4"/>
  <c r="AI112" i="4" s="1"/>
  <c r="AR265" i="5"/>
  <c r="AQ265" i="5"/>
  <c r="AR107" i="5"/>
  <c r="AQ107" i="5"/>
  <c r="AQ367" i="5"/>
  <c r="AR367" i="5"/>
  <c r="AR286" i="5"/>
  <c r="AQ286" i="5"/>
  <c r="AQ228" i="5"/>
  <c r="AR228" i="5"/>
  <c r="AR266" i="5"/>
  <c r="AQ266" i="5"/>
  <c r="AR248" i="5"/>
  <c r="AQ248" i="5"/>
  <c r="AR168" i="5"/>
  <c r="AQ168" i="5"/>
  <c r="AR427" i="5"/>
  <c r="AQ427" i="5"/>
  <c r="AG36" i="4"/>
  <c r="AI36" i="4" s="1"/>
  <c r="AO36" i="4"/>
  <c r="AQ399" i="5"/>
  <c r="AR399" i="5"/>
  <c r="AR164" i="5"/>
  <c r="AQ164" i="5"/>
  <c r="AQ329" i="5"/>
  <c r="AR329" i="5"/>
  <c r="AR63" i="5"/>
  <c r="AQ63" i="5"/>
  <c r="AR123" i="5"/>
  <c r="AQ123" i="5"/>
  <c r="AQ534" i="5"/>
  <c r="AR534" i="5"/>
  <c r="AR376" i="5"/>
  <c r="AQ376" i="5"/>
  <c r="AR28" i="5"/>
  <c r="AQ28" i="5"/>
  <c r="AQ526" i="5"/>
  <c r="AR526" i="5"/>
  <c r="AQ472" i="5"/>
  <c r="AR472" i="5"/>
  <c r="AR275" i="5"/>
  <c r="AQ275" i="5"/>
  <c r="AR198" i="5"/>
  <c r="AQ198" i="5"/>
  <c r="AG136" i="4"/>
  <c r="AI136" i="4" s="1"/>
  <c r="AO136" i="4"/>
  <c r="AQ482" i="5"/>
  <c r="AR482" i="5"/>
  <c r="AQ75" i="5"/>
  <c r="AR75" i="5"/>
  <c r="AQ170" i="5"/>
  <c r="AR170" i="5"/>
  <c r="AQ139" i="5"/>
  <c r="AR139" i="5"/>
  <c r="AG41" i="4"/>
  <c r="AI41" i="4" s="1"/>
  <c r="AO41" i="4"/>
  <c r="AQ529" i="5"/>
  <c r="AR529" i="5"/>
  <c r="AE115" i="4"/>
  <c r="AQ403" i="5"/>
  <c r="AR403" i="5"/>
  <c r="AR389" i="5"/>
  <c r="AQ389" i="5"/>
  <c r="AR352" i="5"/>
  <c r="AQ352" i="5"/>
  <c r="AR555" i="5"/>
  <c r="AQ555" i="5"/>
  <c r="AR366" i="5"/>
  <c r="AQ366" i="5"/>
  <c r="AF29" i="4"/>
  <c r="X156" i="4"/>
  <c r="AA156" i="4" s="1"/>
  <c r="AC156" i="4" s="1"/>
  <c r="AD156" i="4" s="1"/>
  <c r="AQ458" i="5"/>
  <c r="AR458" i="5"/>
  <c r="AQ297" i="5"/>
  <c r="AR297" i="5"/>
  <c r="AQ84" i="5"/>
  <c r="AR84" i="5"/>
  <c r="AQ249" i="5"/>
  <c r="AR249" i="5"/>
  <c r="AR27" i="5"/>
  <c r="AQ27" i="5"/>
  <c r="AQ271" i="5"/>
  <c r="AR271" i="5"/>
  <c r="X16" i="4"/>
  <c r="AJ16" i="4" s="1"/>
  <c r="AQ294" i="5"/>
  <c r="AR294" i="5"/>
  <c r="AE81" i="4"/>
  <c r="AR149" i="5"/>
  <c r="AQ149" i="5"/>
  <c r="AR197" i="5"/>
  <c r="AQ197" i="5"/>
  <c r="AR52" i="5"/>
  <c r="AQ52" i="5"/>
  <c r="AQ373" i="5"/>
  <c r="AR373" i="5"/>
  <c r="AQ469" i="5"/>
  <c r="AR469" i="5"/>
  <c r="AG87" i="4"/>
  <c r="AI87" i="4" s="1"/>
  <c r="AE29" i="4"/>
  <c r="AR253" i="5"/>
  <c r="AQ253" i="5"/>
  <c r="AR100" i="5"/>
  <c r="AQ100" i="5"/>
  <c r="AL13" i="5"/>
  <c r="AK13" i="5"/>
  <c r="AQ76" i="5"/>
  <c r="AR76" i="5"/>
  <c r="AF153" i="4"/>
  <c r="AR224" i="5"/>
  <c r="AQ224" i="5"/>
  <c r="AQ55" i="5"/>
  <c r="AR55" i="5"/>
  <c r="AQ336" i="5"/>
  <c r="AR336" i="5"/>
  <c r="AR288" i="5"/>
  <c r="AQ288" i="5"/>
  <c r="AF50" i="4"/>
  <c r="AE107" i="4"/>
  <c r="AR85" i="5"/>
  <c r="AQ85" i="5"/>
  <c r="AR501" i="5"/>
  <c r="AQ501" i="5"/>
  <c r="X53" i="4"/>
  <c r="AA53" i="4" s="1"/>
  <c r="AC53" i="4" s="1"/>
  <c r="AD53" i="4" s="1"/>
  <c r="AQ251" i="5"/>
  <c r="AR251" i="5"/>
  <c r="AQ236" i="5"/>
  <c r="AR236" i="5"/>
  <c r="AR243" i="5"/>
  <c r="AQ243" i="5"/>
  <c r="AR471" i="5"/>
  <c r="AQ471" i="5"/>
  <c r="AQ435" i="5"/>
  <c r="AR435" i="5"/>
  <c r="AQ213" i="5"/>
  <c r="AR213" i="5"/>
  <c r="AQ513" i="5"/>
  <c r="AR513" i="5"/>
  <c r="AE32" i="4"/>
  <c r="AR334" i="5"/>
  <c r="AQ334" i="5"/>
  <c r="AQ395" i="5"/>
  <c r="AR395" i="5"/>
  <c r="AO13" i="5"/>
  <c r="AN13" i="5"/>
  <c r="AQ323" i="5"/>
  <c r="AR323" i="5"/>
  <c r="AO53" i="4"/>
  <c r="AG53" i="4"/>
  <c r="AI53" i="4" s="1"/>
  <c r="AR292" i="5"/>
  <c r="AQ292" i="5"/>
  <c r="AQ499" i="5"/>
  <c r="AR499" i="5"/>
  <c r="Z32" i="4"/>
  <c r="AQ33" i="5"/>
  <c r="AR33" i="5"/>
  <c r="AR331" i="5"/>
  <c r="AQ331" i="5"/>
  <c r="AQ537" i="5"/>
  <c r="AR537" i="5"/>
  <c r="AQ91" i="5"/>
  <c r="AR91" i="5"/>
  <c r="AQ161" i="5"/>
  <c r="AR161" i="5"/>
  <c r="AQ163" i="5"/>
  <c r="AR163" i="5"/>
  <c r="AQ272" i="5"/>
  <c r="AR272" i="5"/>
  <c r="AR31" i="5"/>
  <c r="AQ31" i="5"/>
  <c r="AQ349" i="5"/>
  <c r="AR349" i="5"/>
  <c r="AQ206" i="5"/>
  <c r="AR206" i="5"/>
  <c r="AR425" i="5"/>
  <c r="AQ425" i="5"/>
  <c r="AS264" i="5"/>
  <c r="AQ195" i="5"/>
  <c r="AR195" i="5"/>
  <c r="AQ29" i="5"/>
  <c r="AR29" i="5"/>
  <c r="AR108" i="5"/>
  <c r="AQ108" i="5"/>
  <c r="AR41" i="5"/>
  <c r="AQ41" i="5"/>
  <c r="AF56" i="4"/>
  <c r="X110" i="4"/>
  <c r="AA110" i="4" s="1"/>
  <c r="AC110" i="4" s="1"/>
  <c r="AD110" i="4" s="1"/>
  <c r="X121" i="4"/>
  <c r="AA121" i="4" s="1"/>
  <c r="AC121" i="4" s="1"/>
  <c r="AD121" i="4" s="1"/>
  <c r="X115" i="4"/>
  <c r="AF107" i="4"/>
  <c r="AR449" i="5"/>
  <c r="AQ449" i="5"/>
  <c r="AQ473" i="5"/>
  <c r="AR473" i="5"/>
  <c r="AQ136" i="5"/>
  <c r="AR136" i="5"/>
  <c r="AQ441" i="5"/>
  <c r="AR441" i="5"/>
  <c r="AQ361" i="5"/>
  <c r="AR361" i="5"/>
  <c r="AQ430" i="5"/>
  <c r="AR430" i="5"/>
  <c r="AR113" i="5"/>
  <c r="AQ113" i="5"/>
  <c r="AR240" i="5"/>
  <c r="AQ240" i="5"/>
  <c r="AQ285" i="5"/>
  <c r="AR285" i="5"/>
  <c r="AQ263" i="5"/>
  <c r="AR263" i="5"/>
  <c r="AR154" i="5"/>
  <c r="AQ154" i="5"/>
  <c r="AQ124" i="5"/>
  <c r="AR124" i="5"/>
  <c r="X11" i="4"/>
  <c r="AJ11" i="4" s="1"/>
  <c r="AR40" i="5"/>
  <c r="AQ40" i="5"/>
  <c r="Z131" i="4"/>
  <c r="AF131" i="4" s="1"/>
  <c r="AR363" i="5"/>
  <c r="AQ363" i="5"/>
  <c r="AB13" i="5"/>
  <c r="AA13" i="5"/>
  <c r="AQ549" i="5"/>
  <c r="AR549" i="5"/>
  <c r="X146" i="4"/>
  <c r="AA146" i="4" s="1"/>
  <c r="AC146" i="4" s="1"/>
  <c r="AD146" i="4" s="1"/>
  <c r="AE104" i="4"/>
  <c r="AQ446" i="5"/>
  <c r="AR446" i="5"/>
  <c r="AR543" i="5"/>
  <c r="AQ543" i="5"/>
  <c r="AF138" i="4"/>
  <c r="AF122" i="4"/>
  <c r="AE124" i="4"/>
  <c r="AQ414" i="5"/>
  <c r="AR414" i="5"/>
  <c r="AQ407" i="5"/>
  <c r="AR407" i="5"/>
  <c r="AR215" i="5"/>
  <c r="AQ215" i="5"/>
  <c r="AE154" i="4"/>
  <c r="AQ431" i="5"/>
  <c r="AR431" i="5"/>
  <c r="AR7" i="5"/>
  <c r="AQ7" i="5"/>
  <c r="Z90" i="4"/>
  <c r="AF90" i="4" s="1"/>
  <c r="AR369" i="5"/>
  <c r="AQ369" i="5"/>
  <c r="AR177" i="5"/>
  <c r="AQ177" i="5"/>
  <c r="AR46" i="5"/>
  <c r="AQ46" i="5"/>
  <c r="AR80" i="5"/>
  <c r="AQ80" i="5"/>
  <c r="AQ362" i="5"/>
  <c r="AR362" i="5"/>
  <c r="AE65" i="4"/>
  <c r="AR411" i="5"/>
  <c r="AQ411" i="5"/>
  <c r="AQ97" i="5"/>
  <c r="AR97" i="5"/>
  <c r="AQ90" i="5"/>
  <c r="AR90" i="5"/>
  <c r="AQ19" i="5"/>
  <c r="AR19" i="5"/>
  <c r="AR308" i="5"/>
  <c r="AQ308" i="5"/>
  <c r="AQ188" i="5"/>
  <c r="AR188" i="5"/>
  <c r="AE110" i="4"/>
  <c r="AR121" i="5"/>
  <c r="AQ121" i="5"/>
  <c r="AQ241" i="5"/>
  <c r="AR241" i="5"/>
  <c r="X42" i="4"/>
  <c r="AQ311" i="5"/>
  <c r="AR311" i="5"/>
  <c r="AR193" i="5"/>
  <c r="AQ193" i="5"/>
  <c r="AQ445" i="5"/>
  <c r="AR445" i="5"/>
  <c r="S13" i="5"/>
  <c r="R13" i="5"/>
  <c r="AQ269" i="5"/>
  <c r="AR269" i="5"/>
  <c r="AQ209" i="5"/>
  <c r="AR209" i="5"/>
  <c r="AQ433" i="5"/>
  <c r="AR433" i="5"/>
  <c r="AQ412" i="5"/>
  <c r="AR412" i="5"/>
  <c r="Z48" i="4"/>
  <c r="AF48" i="4" s="1"/>
  <c r="AQ12" i="5"/>
  <c r="AQ322" i="5"/>
  <c r="AR322" i="5"/>
  <c r="AR514" i="5"/>
  <c r="AQ514" i="5"/>
  <c r="AE112" i="4"/>
  <c r="AE78" i="4"/>
  <c r="AF55" i="4"/>
  <c r="Z113" i="4"/>
  <c r="AF113" i="4" s="1"/>
  <c r="AR152" i="5"/>
  <c r="AQ152" i="5"/>
  <c r="AQ95" i="5"/>
  <c r="AR95" i="5"/>
  <c r="AR479" i="5"/>
  <c r="AQ479" i="5"/>
  <c r="AQ502" i="5"/>
  <c r="AR502" i="5"/>
  <c r="AQ518" i="5"/>
  <c r="AR518" i="5"/>
  <c r="AQ167" i="5"/>
  <c r="AR167" i="5"/>
  <c r="AE42" i="4"/>
  <c r="AF28" i="4"/>
  <c r="AQ442" i="5"/>
  <c r="AR442" i="5"/>
  <c r="AQ59" i="5"/>
  <c r="AR59" i="5"/>
  <c r="AR277" i="5"/>
  <c r="AQ277" i="5"/>
  <c r="AQ221" i="5"/>
  <c r="AR221" i="5"/>
  <c r="AQ310" i="5"/>
  <c r="AR310" i="5"/>
  <c r="AQ204" i="5"/>
  <c r="AR204" i="5"/>
  <c r="AR375" i="5"/>
  <c r="AQ375" i="5"/>
  <c r="AR507" i="5"/>
  <c r="AQ507" i="5"/>
  <c r="AQ191" i="5"/>
  <c r="AR191" i="5"/>
  <c r="AR298" i="5"/>
  <c r="AQ298" i="5"/>
  <c r="AQ357" i="5"/>
  <c r="AR357" i="5"/>
  <c r="AR309" i="5"/>
  <c r="AQ309" i="5"/>
  <c r="AQ478" i="5"/>
  <c r="AR478" i="5"/>
  <c r="AR89" i="5"/>
  <c r="AQ89" i="5"/>
  <c r="AR174" i="5"/>
  <c r="AQ174" i="5"/>
  <c r="AE56" i="4"/>
  <c r="AR385" i="5"/>
  <c r="AQ385" i="5"/>
  <c r="AR342" i="5"/>
  <c r="AQ342" i="5"/>
  <c r="AR186" i="5"/>
  <c r="AQ186" i="5"/>
  <c r="AQ282" i="5"/>
  <c r="AR282" i="5"/>
  <c r="AR57" i="5"/>
  <c r="AQ57" i="5"/>
  <c r="AQ440" i="5"/>
  <c r="AR440" i="5"/>
  <c r="AE88" i="4"/>
  <c r="AQ264" i="5"/>
  <c r="AR264" i="5"/>
  <c r="AQ467" i="5"/>
  <c r="AR467" i="5"/>
  <c r="AR162" i="5"/>
  <c r="AQ162" i="5"/>
  <c r="AQ419" i="5"/>
  <c r="AR419" i="5"/>
  <c r="AF121" i="4"/>
  <c r="AF88" i="4"/>
  <c r="AE16" i="4"/>
  <c r="AR295" i="5"/>
  <c r="AQ295" i="5"/>
  <c r="X139" i="4"/>
  <c r="AA139" i="4" s="1"/>
  <c r="AC139" i="4" s="1"/>
  <c r="AD139" i="4" s="1"/>
  <c r="X107" i="4"/>
  <c r="AA107" i="4" s="1"/>
  <c r="AC107" i="4" s="1"/>
  <c r="AD107" i="4" s="1"/>
  <c r="X29" i="4"/>
  <c r="AA29" i="4" s="1"/>
  <c r="AC29" i="4" s="1"/>
  <c r="AD29" i="4" s="1"/>
  <c r="X60" i="4"/>
  <c r="AR116" i="5"/>
  <c r="AQ116" i="5"/>
  <c r="AR145" i="5"/>
  <c r="AQ145" i="5"/>
  <c r="AQ453" i="5"/>
  <c r="AR453" i="5"/>
  <c r="AQ220" i="5"/>
  <c r="AR220" i="5"/>
  <c r="AQ279" i="5"/>
  <c r="AR279" i="5"/>
  <c r="X147" i="4"/>
  <c r="AA147" i="4" s="1"/>
  <c r="AC147" i="4" s="1"/>
  <c r="AD147" i="4" s="1"/>
  <c r="AR128" i="5"/>
  <c r="AQ128" i="5"/>
  <c r="AQ415" i="5"/>
  <c r="AR415" i="5"/>
  <c r="X87" i="4"/>
  <c r="AA87" i="4" s="1"/>
  <c r="AC87" i="4" s="1"/>
  <c r="AD87" i="4" s="1"/>
  <c r="AQ328" i="5"/>
  <c r="AR328" i="5"/>
  <c r="AQ160" i="5"/>
  <c r="AR160" i="5"/>
  <c r="AH13" i="5"/>
  <c r="AP13" i="5"/>
  <c r="AI13" i="5"/>
  <c r="AQ475" i="5"/>
  <c r="AR475" i="5"/>
  <c r="AE119" i="4"/>
  <c r="AQ423" i="5"/>
  <c r="AR423" i="5"/>
  <c r="X154" i="4"/>
  <c r="AF146" i="4"/>
  <c r="X149" i="4"/>
  <c r="AQ35" i="5"/>
  <c r="AR35" i="5"/>
  <c r="AR155" i="5"/>
  <c r="AQ155" i="5"/>
  <c r="AQ351" i="5"/>
  <c r="AR351" i="5"/>
  <c r="AR114" i="5"/>
  <c r="AQ114" i="5"/>
  <c r="AR179" i="5"/>
  <c r="AQ179" i="5"/>
  <c r="AQ344" i="5"/>
  <c r="AR344" i="5"/>
  <c r="X78" i="4"/>
  <c r="AA78" i="4" s="1"/>
  <c r="AC78" i="4" s="1"/>
  <c r="AD78" i="4" s="1"/>
  <c r="X50" i="4"/>
  <c r="AA50" i="4" s="1"/>
  <c r="AC50" i="4" s="1"/>
  <c r="AD50" i="4" s="1"/>
  <c r="AE149" i="4"/>
  <c r="AQ459" i="5"/>
  <c r="AR459" i="5"/>
  <c r="AR172" i="5"/>
  <c r="AQ172" i="5"/>
  <c r="AR315" i="5"/>
  <c r="AQ315" i="5"/>
  <c r="AR196" i="5"/>
  <c r="AQ196" i="5"/>
  <c r="AQ325" i="5"/>
  <c r="AR325" i="5"/>
  <c r="AQ452" i="5"/>
  <c r="AR452" i="5"/>
  <c r="AR353" i="5"/>
  <c r="AQ353" i="5"/>
  <c r="AE139" i="4"/>
  <c r="AR68" i="5"/>
  <c r="AQ68" i="5"/>
  <c r="AQ62" i="5"/>
  <c r="AR62" i="5"/>
  <c r="AE99" i="4"/>
  <c r="X33" i="4"/>
  <c r="AA33" i="4" s="1"/>
  <c r="AC33" i="4" s="1"/>
  <c r="AD33" i="4" s="1"/>
  <c r="AQ299" i="5"/>
  <c r="AR299" i="5"/>
  <c r="AQ171" i="5"/>
  <c r="AR171" i="5"/>
  <c r="AG31" i="4"/>
  <c r="AI31" i="4" s="1"/>
  <c r="AO31" i="4"/>
  <c r="AR246" i="5"/>
  <c r="AQ246" i="5"/>
  <c r="AQ183" i="5"/>
  <c r="AR183" i="5"/>
  <c r="AR125" i="5"/>
  <c r="AQ125" i="5"/>
  <c r="AQ50" i="5"/>
  <c r="AR50" i="5"/>
  <c r="AQ67" i="5"/>
  <c r="AR67" i="5"/>
  <c r="AQ74" i="5"/>
  <c r="AR74" i="5"/>
  <c r="AQ132" i="5"/>
  <c r="AR132" i="5"/>
  <c r="AF110" i="4"/>
  <c r="AQ455" i="5"/>
  <c r="AR455" i="5"/>
  <c r="AR83" i="5"/>
  <c r="AQ83" i="5"/>
  <c r="AQ316" i="5"/>
  <c r="AR316" i="5"/>
  <c r="AQ490" i="5"/>
  <c r="AR490" i="5"/>
  <c r="AJ98" i="4"/>
  <c r="AK98" i="4"/>
  <c r="AE121" i="4"/>
  <c r="AR421" i="5"/>
  <c r="AQ421" i="5"/>
  <c r="AQ231" i="5"/>
  <c r="AR231" i="5"/>
  <c r="AR317" i="5"/>
  <c r="AQ317" i="5"/>
  <c r="AR319" i="5"/>
  <c r="AQ319" i="5"/>
  <c r="X56" i="4"/>
  <c r="AA56" i="4" s="1"/>
  <c r="AC56" i="4" s="1"/>
  <c r="AD56" i="4" s="1"/>
  <c r="X88" i="4"/>
  <c r="AA88" i="4" s="1"/>
  <c r="AC88" i="4" s="1"/>
  <c r="AD88" i="4" s="1"/>
  <c r="AQ280" i="5"/>
  <c r="AR280" i="5"/>
  <c r="AF104" i="4"/>
  <c r="AQ36" i="5"/>
  <c r="AR36" i="5"/>
  <c r="AR550" i="5"/>
  <c r="AQ550" i="5"/>
  <c r="AQ401" i="5"/>
  <c r="AR401" i="5"/>
  <c r="AR150" i="5"/>
  <c r="AQ150" i="5"/>
  <c r="AQ122" i="5"/>
  <c r="AR122" i="5"/>
  <c r="X31" i="4"/>
  <c r="AA31" i="4" s="1"/>
  <c r="AC31" i="4" s="1"/>
  <c r="AD31" i="4" s="1"/>
  <c r="AF147" i="4"/>
  <c r="AQ339" i="5"/>
  <c r="AR339" i="5"/>
  <c r="AQ254" i="5"/>
  <c r="AR254" i="5"/>
  <c r="AR547" i="5"/>
  <c r="AQ547" i="5"/>
  <c r="AR413" i="5"/>
  <c r="AQ413" i="5"/>
  <c r="AQ511" i="5"/>
  <c r="AR511" i="5"/>
  <c r="AF124" i="4"/>
  <c r="X131" i="4"/>
  <c r="AQ481" i="5"/>
  <c r="AR481" i="5"/>
  <c r="U13" i="5"/>
  <c r="V13" i="5"/>
  <c r="AC13" i="5"/>
  <c r="AR247" i="5"/>
  <c r="AQ247" i="5"/>
  <c r="AR86" i="5"/>
  <c r="AQ86" i="5"/>
  <c r="AR98" i="5"/>
  <c r="AQ98" i="5"/>
  <c r="AQ201" i="5"/>
  <c r="AR201" i="5"/>
  <c r="AE138" i="4"/>
  <c r="AF65" i="4"/>
  <c r="X112" i="4"/>
  <c r="AA112" i="4" s="1"/>
  <c r="AC112" i="4" s="1"/>
  <c r="AD112" i="4" s="1"/>
  <c r="AF99" i="4"/>
  <c r="AE156" i="4"/>
  <c r="H34" i="1"/>
  <c r="B145" i="2"/>
  <c r="H35" i="1" s="1"/>
  <c r="AQ60" i="5"/>
  <c r="AR60" i="5"/>
  <c r="AQ429" i="5"/>
  <c r="AR429" i="5"/>
  <c r="AR377" i="5"/>
  <c r="AQ377" i="5"/>
  <c r="AQ554" i="5"/>
  <c r="AR554" i="5"/>
  <c r="X36" i="4"/>
  <c r="AA36" i="4" s="1"/>
  <c r="AC36" i="4" s="1"/>
  <c r="AD36" i="4" s="1"/>
  <c r="AF119" i="4"/>
  <c r="AQ489" i="5"/>
  <c r="AR489" i="5"/>
  <c r="AQ541" i="5"/>
  <c r="AR541" i="5"/>
  <c r="AR88" i="5"/>
  <c r="AQ88" i="5"/>
  <c r="AQ305" i="5"/>
  <c r="AR305" i="5"/>
  <c r="AF92" i="4"/>
  <c r="AR44" i="5"/>
  <c r="AQ44" i="5"/>
  <c r="AR39" i="5"/>
  <c r="AQ39" i="5"/>
  <c r="AQ73" i="5"/>
  <c r="AR73" i="5"/>
  <c r="AQ374" i="5"/>
  <c r="AR374" i="5"/>
  <c r="AE25" i="4"/>
  <c r="AE74" i="4"/>
  <c r="AQ416" i="5"/>
  <c r="AR416" i="5"/>
  <c r="X90" i="4"/>
  <c r="X43" i="4"/>
  <c r="AQ388" i="5"/>
  <c r="AR388" i="5"/>
  <c r="AR185" i="5"/>
  <c r="AQ185" i="5"/>
  <c r="AR49" i="5"/>
  <c r="AQ49" i="5"/>
  <c r="AR71" i="5"/>
  <c r="AQ71" i="5"/>
  <c r="X28" i="4"/>
  <c r="AA28" i="4" s="1"/>
  <c r="AC28" i="4" s="1"/>
  <c r="AD28" i="4" s="1"/>
  <c r="AF51" i="4"/>
  <c r="AD265" i="5" l="1"/>
  <c r="AR10" i="5"/>
  <c r="AE206" i="5"/>
  <c r="AE512" i="5"/>
  <c r="AD206" i="5"/>
  <c r="AD523" i="5"/>
  <c r="AE522" i="5"/>
  <c r="AD512" i="5"/>
  <c r="AS522" i="5"/>
  <c r="AU522" i="5" s="1"/>
  <c r="AE221" i="5"/>
  <c r="AD221" i="5"/>
  <c r="AS525" i="5"/>
  <c r="AU525" i="5" s="1"/>
  <c r="AS371" i="5"/>
  <c r="AT371" i="5" s="1"/>
  <c r="AA154" i="4"/>
  <c r="AC154" i="4" s="1"/>
  <c r="AD154" i="4" s="1"/>
  <c r="X18" i="4"/>
  <c r="AJ18" i="4" s="1"/>
  <c r="AD371" i="5"/>
  <c r="AE18" i="4"/>
  <c r="AG18" i="4"/>
  <c r="AO18" i="4"/>
  <c r="AS523" i="5"/>
  <c r="AT523" i="5" s="1"/>
  <c r="AD80" i="5"/>
  <c r="AD525" i="5"/>
  <c r="AE80" i="5"/>
  <c r="AD105" i="5"/>
  <c r="AE546" i="5"/>
  <c r="AS546" i="5"/>
  <c r="AU546" i="5" s="1"/>
  <c r="AD537" i="5"/>
  <c r="AS379" i="5"/>
  <c r="AT379" i="5" s="1"/>
  <c r="AS537" i="5"/>
  <c r="AU537" i="5" s="1"/>
  <c r="AD379" i="5"/>
  <c r="AE117" i="5"/>
  <c r="AE234" i="5"/>
  <c r="AS234" i="5"/>
  <c r="AU234" i="5" s="1"/>
  <c r="AD392" i="5"/>
  <c r="AS446" i="5"/>
  <c r="AU446" i="5" s="1"/>
  <c r="AD26" i="5"/>
  <c r="AD121" i="5"/>
  <c r="AD254" i="5"/>
  <c r="AD160" i="5"/>
  <c r="AE121" i="5"/>
  <c r="AE446" i="5"/>
  <c r="AE392" i="5"/>
  <c r="AE160" i="5"/>
  <c r="AS376" i="5"/>
  <c r="AU376" i="5" s="1"/>
  <c r="AD429" i="5"/>
  <c r="AE432" i="5"/>
  <c r="AE429" i="5"/>
  <c r="AD432" i="5"/>
  <c r="AE426" i="5"/>
  <c r="AS23" i="5"/>
  <c r="AT23" i="5" s="1"/>
  <c r="AS426" i="5"/>
  <c r="AT426" i="5" s="1"/>
  <c r="Y37" i="4"/>
  <c r="Z37" i="4" s="1"/>
  <c r="AA37" i="4" s="1"/>
  <c r="AC37" i="4" s="1"/>
  <c r="AD37" i="4" s="1"/>
  <c r="AE23" i="5"/>
  <c r="AE534" i="5"/>
  <c r="AS534" i="5"/>
  <c r="AT534" i="5" s="1"/>
  <c r="AS530" i="5"/>
  <c r="AU530" i="5" s="1"/>
  <c r="AE530" i="5"/>
  <c r="X145" i="4"/>
  <c r="AJ145" i="4" s="1"/>
  <c r="AE145" i="4"/>
  <c r="AE376" i="5"/>
  <c r="AS105" i="5"/>
  <c r="AU105" i="5" s="1"/>
  <c r="AD264" i="5"/>
  <c r="AD508" i="5"/>
  <c r="AD417" i="5"/>
  <c r="AD422" i="5"/>
  <c r="AS483" i="5"/>
  <c r="AU483" i="5" s="1"/>
  <c r="AS508" i="5"/>
  <c r="AU508" i="5" s="1"/>
  <c r="AE289" i="5"/>
  <c r="AD232" i="5"/>
  <c r="AE483" i="5"/>
  <c r="AE279" i="5"/>
  <c r="AE254" i="5"/>
  <c r="AE232" i="5"/>
  <c r="AD500" i="5"/>
  <c r="AD279" i="5"/>
  <c r="X66" i="4"/>
  <c r="AJ66" i="4" s="1"/>
  <c r="AE422" i="5"/>
  <c r="AS532" i="5"/>
  <c r="AT532" i="5" s="1"/>
  <c r="AS200" i="5"/>
  <c r="AT200" i="5" s="1"/>
  <c r="AE500" i="5"/>
  <c r="AS26" i="5"/>
  <c r="AT26" i="5" s="1"/>
  <c r="AE532" i="5"/>
  <c r="AD479" i="5"/>
  <c r="AS289" i="5"/>
  <c r="AT289" i="5" s="1"/>
  <c r="AE14" i="4"/>
  <c r="AS469" i="5"/>
  <c r="AU469" i="5" s="1"/>
  <c r="AD469" i="5"/>
  <c r="AE417" i="5"/>
  <c r="AS243" i="5"/>
  <c r="AU243" i="5" s="1"/>
  <c r="AS345" i="5"/>
  <c r="AT345" i="5" s="1"/>
  <c r="AD117" i="5"/>
  <c r="AS97" i="5"/>
  <c r="AT97" i="5" s="1"/>
  <c r="AS463" i="5"/>
  <c r="AU463" i="5" s="1"/>
  <c r="AE97" i="5"/>
  <c r="K36" i="2"/>
  <c r="L36" i="2"/>
  <c r="X46" i="4"/>
  <c r="AK46" i="4" s="1"/>
  <c r="AE15" i="4"/>
  <c r="AO46" i="4"/>
  <c r="AE37" i="4"/>
  <c r="AS265" i="5"/>
  <c r="AT265" i="5" s="1"/>
  <c r="AE520" i="5"/>
  <c r="AD520" i="5"/>
  <c r="AS184" i="5"/>
  <c r="AT184" i="5" s="1"/>
  <c r="AE184" i="5"/>
  <c r="AD463" i="5"/>
  <c r="AE205" i="5"/>
  <c r="AD470" i="5"/>
  <c r="AS470" i="5"/>
  <c r="AU470" i="5" s="1"/>
  <c r="AD556" i="5"/>
  <c r="AS327" i="5"/>
  <c r="AT327" i="5" s="1"/>
  <c r="AS509" i="5"/>
  <c r="AT509" i="5" s="1"/>
  <c r="AD511" i="5"/>
  <c r="AE140" i="5"/>
  <c r="AD452" i="5"/>
  <c r="AS226" i="5"/>
  <c r="AT226" i="5" s="1"/>
  <c r="AE354" i="5"/>
  <c r="AS22" i="5"/>
  <c r="AT22" i="5" s="1"/>
  <c r="AE213" i="5"/>
  <c r="AS511" i="5"/>
  <c r="AT511" i="5" s="1"/>
  <c r="AS297" i="5"/>
  <c r="AT297" i="5" s="1"/>
  <c r="AS466" i="5"/>
  <c r="AU466" i="5" s="1"/>
  <c r="AE297" i="5"/>
  <c r="AS213" i="5"/>
  <c r="AU213" i="5" s="1"/>
  <c r="AS540" i="5"/>
  <c r="AU540" i="5" s="1"/>
  <c r="AE359" i="5"/>
  <c r="Y20" i="4"/>
  <c r="Z20" i="4" s="1"/>
  <c r="AF20" i="4" s="1"/>
  <c r="AE20" i="4"/>
  <c r="AD444" i="5"/>
  <c r="AD183" i="5"/>
  <c r="AS49" i="5"/>
  <c r="AT49" i="5" s="1"/>
  <c r="AE46" i="4"/>
  <c r="AA43" i="4"/>
  <c r="AC43" i="4" s="1"/>
  <c r="AD43" i="4" s="1"/>
  <c r="AD540" i="5"/>
  <c r="AS359" i="5"/>
  <c r="AT359" i="5" s="1"/>
  <c r="AE365" i="5"/>
  <c r="AS514" i="5"/>
  <c r="AT514" i="5" s="1"/>
  <c r="AE479" i="5"/>
  <c r="X14" i="4"/>
  <c r="AJ14" i="4" s="1"/>
  <c r="AE24" i="5"/>
  <c r="AS166" i="5"/>
  <c r="AT166" i="5" s="1"/>
  <c r="AD136" i="5"/>
  <c r="X61" i="4"/>
  <c r="AJ61" i="4" s="1"/>
  <c r="AE66" i="4"/>
  <c r="AF66" i="4"/>
  <c r="AO66" i="4" s="1"/>
  <c r="AD302" i="5"/>
  <c r="AA149" i="4"/>
  <c r="AC149" i="4" s="1"/>
  <c r="AD149" i="4" s="1"/>
  <c r="AO61" i="4"/>
  <c r="AK18" i="4"/>
  <c r="AA115" i="4"/>
  <c r="AC115" i="4" s="1"/>
  <c r="AD115" i="4" s="1"/>
  <c r="AE61" i="4"/>
  <c r="AE40" i="5"/>
  <c r="AE237" i="5"/>
  <c r="AE42" i="5"/>
  <c r="AD386" i="5"/>
  <c r="AE261" i="5"/>
  <c r="AS188" i="5"/>
  <c r="AT188" i="5" s="1"/>
  <c r="AA18" i="4"/>
  <c r="AC18" i="4" s="1"/>
  <c r="AD18" i="4" s="1"/>
  <c r="AE386" i="5"/>
  <c r="AS42" i="5"/>
  <c r="AU42" i="5" s="1"/>
  <c r="AF142" i="4"/>
  <c r="AG142" i="4" s="1"/>
  <c r="AI142" i="4" s="1"/>
  <c r="AS248" i="5"/>
  <c r="AU248" i="5" s="1"/>
  <c r="AD261" i="5"/>
  <c r="AE142" i="4"/>
  <c r="AS361" i="5"/>
  <c r="AU361" i="5" s="1"/>
  <c r="AD361" i="5"/>
  <c r="AD543" i="5"/>
  <c r="AD280" i="5"/>
  <c r="AS313" i="5"/>
  <c r="AU313" i="5" s="1"/>
  <c r="X142" i="4"/>
  <c r="AJ142" i="4" s="1"/>
  <c r="AE280" i="5"/>
  <c r="AD301" i="5"/>
  <c r="AE303" i="5"/>
  <c r="AE482" i="5"/>
  <c r="AE382" i="5"/>
  <c r="AS351" i="5"/>
  <c r="AT351" i="5" s="1"/>
  <c r="AS518" i="5"/>
  <c r="AU518" i="5" s="1"/>
  <c r="AS31" i="5"/>
  <c r="AT31" i="5" s="1"/>
  <c r="AE491" i="5"/>
  <c r="AT278" i="5"/>
  <c r="AD365" i="5"/>
  <c r="AE501" i="5"/>
  <c r="AS353" i="5"/>
  <c r="AT353" i="5" s="1"/>
  <c r="AS421" i="5"/>
  <c r="AT421" i="5" s="1"/>
  <c r="AD332" i="5"/>
  <c r="AE332" i="5"/>
  <c r="AD518" i="5"/>
  <c r="AD203" i="5"/>
  <c r="AE166" i="5"/>
  <c r="AS302" i="5"/>
  <c r="AU302" i="5" s="1"/>
  <c r="AE70" i="5"/>
  <c r="AS145" i="5"/>
  <c r="AU145" i="5" s="1"/>
  <c r="AD514" i="5"/>
  <c r="AS300" i="5"/>
  <c r="AT300" i="5" s="1"/>
  <c r="AS444" i="5"/>
  <c r="AU444" i="5" s="1"/>
  <c r="AD345" i="5"/>
  <c r="AE136" i="5"/>
  <c r="AE243" i="5"/>
  <c r="AS113" i="5"/>
  <c r="AU113" i="5" s="1"/>
  <c r="AE300" i="5"/>
  <c r="AS382" i="5"/>
  <c r="AT382" i="5" s="1"/>
  <c r="AD482" i="5"/>
  <c r="AS58" i="5"/>
  <c r="AU58" i="5" s="1"/>
  <c r="AE58" i="5"/>
  <c r="AD48" i="5"/>
  <c r="AD363" i="5"/>
  <c r="AS201" i="5"/>
  <c r="AU201" i="5" s="1"/>
  <c r="AS349" i="5"/>
  <c r="AT349" i="5" s="1"/>
  <c r="AE336" i="5"/>
  <c r="AS137" i="5"/>
  <c r="AT137" i="5" s="1"/>
  <c r="AE59" i="5"/>
  <c r="AE349" i="5"/>
  <c r="AE378" i="5"/>
  <c r="AS222" i="5"/>
  <c r="AU222" i="5" s="1"/>
  <c r="AS336" i="5"/>
  <c r="AT336" i="5" s="1"/>
  <c r="AS21" i="5"/>
  <c r="AT21" i="5" s="1"/>
  <c r="AD21" i="5"/>
  <c r="AS148" i="5"/>
  <c r="AT148" i="5" s="1"/>
  <c r="AE248" i="5"/>
  <c r="AE188" i="5"/>
  <c r="AE137" i="5"/>
  <c r="AD59" i="5"/>
  <c r="AD374" i="5"/>
  <c r="AD32" i="5"/>
  <c r="AS478" i="5"/>
  <c r="AU478" i="5" s="1"/>
  <c r="AE223" i="5"/>
  <c r="AS374" i="5"/>
  <c r="AU374" i="5" s="1"/>
  <c r="AE455" i="5"/>
  <c r="AS32" i="5"/>
  <c r="AT32" i="5" s="1"/>
  <c r="AD478" i="5"/>
  <c r="AD223" i="5"/>
  <c r="AE199" i="5"/>
  <c r="AD303" i="5"/>
  <c r="AE313" i="5"/>
  <c r="AD481" i="5"/>
  <c r="AD237" i="5"/>
  <c r="AS363" i="5"/>
  <c r="AT363" i="5" s="1"/>
  <c r="AS378" i="5"/>
  <c r="AU378" i="5" s="1"/>
  <c r="AE222" i="5"/>
  <c r="AE69" i="5"/>
  <c r="AE543" i="5"/>
  <c r="AS301" i="5"/>
  <c r="AU301" i="5" s="1"/>
  <c r="AS455" i="5"/>
  <c r="AU455" i="5" s="1"/>
  <c r="AD453" i="5"/>
  <c r="AS48" i="5"/>
  <c r="AU48" i="5" s="1"/>
  <c r="AD138" i="5"/>
  <c r="AS138" i="5"/>
  <c r="AT138" i="5" s="1"/>
  <c r="AD360" i="5"/>
  <c r="AS477" i="5"/>
  <c r="AT477" i="5" s="1"/>
  <c r="AE333" i="5"/>
  <c r="AE477" i="5"/>
  <c r="AS94" i="5"/>
  <c r="AU94" i="5" s="1"/>
  <c r="AD194" i="5"/>
  <c r="AS306" i="5"/>
  <c r="AU306" i="5" s="1"/>
  <c r="AS494" i="5"/>
  <c r="AU494" i="5" s="1"/>
  <c r="AA96" i="4"/>
  <c r="AC96" i="4" s="1"/>
  <c r="AD96" i="4" s="1"/>
  <c r="AD94" i="5"/>
  <c r="AD333" i="5"/>
  <c r="AS360" i="5"/>
  <c r="AU360" i="5" s="1"/>
  <c r="AS259" i="5"/>
  <c r="AU259" i="5" s="1"/>
  <c r="AD460" i="5"/>
  <c r="AT147" i="5"/>
  <c r="AS194" i="5"/>
  <c r="AU194" i="5" s="1"/>
  <c r="AD306" i="5"/>
  <c r="AE494" i="5"/>
  <c r="AT54" i="5"/>
  <c r="AS158" i="5"/>
  <c r="AU158" i="5" s="1"/>
  <c r="AD54" i="5"/>
  <c r="AE173" i="5"/>
  <c r="AD269" i="5"/>
  <c r="AS119" i="5"/>
  <c r="AU119" i="5" s="1"/>
  <c r="AE186" i="5"/>
  <c r="AE460" i="5"/>
  <c r="AD475" i="5"/>
  <c r="AE399" i="5"/>
  <c r="AD398" i="5"/>
  <c r="AS475" i="5"/>
  <c r="AU475" i="5" s="1"/>
  <c r="AD536" i="5"/>
  <c r="AE165" i="5"/>
  <c r="AE125" i="5"/>
  <c r="AS186" i="5"/>
  <c r="AU186" i="5" s="1"/>
  <c r="AD399" i="5"/>
  <c r="AD456" i="5"/>
  <c r="AE54" i="5"/>
  <c r="AS425" i="5"/>
  <c r="AT425" i="5" s="1"/>
  <c r="AS55" i="5"/>
  <c r="AT55" i="5" s="1"/>
  <c r="AE135" i="4"/>
  <c r="AE533" i="5"/>
  <c r="AD31" i="5"/>
  <c r="AS440" i="5"/>
  <c r="AT440" i="5" s="1"/>
  <c r="AD366" i="5"/>
  <c r="AS462" i="5"/>
  <c r="AU462" i="5" s="1"/>
  <c r="AE65" i="5"/>
  <c r="AD436" i="5"/>
  <c r="AD400" i="5"/>
  <c r="AD296" i="5"/>
  <c r="AS283" i="5"/>
  <c r="AT283" i="5" s="1"/>
  <c r="AE269" i="5"/>
  <c r="AE241" i="5"/>
  <c r="AS517" i="5"/>
  <c r="AT517" i="5" s="1"/>
  <c r="AE208" i="5"/>
  <c r="AS140" i="5"/>
  <c r="AU140" i="5" s="1"/>
  <c r="AS556" i="5"/>
  <c r="AU556" i="5" s="1"/>
  <c r="AE22" i="5"/>
  <c r="AD151" i="5"/>
  <c r="AD226" i="5"/>
  <c r="AD466" i="5"/>
  <c r="AS62" i="5"/>
  <c r="AT62" i="5" s="1"/>
  <c r="AS354" i="5"/>
  <c r="AU354" i="5" s="1"/>
  <c r="AS309" i="5"/>
  <c r="AT309" i="5" s="1"/>
  <c r="AD401" i="5"/>
  <c r="AS325" i="5"/>
  <c r="AU325" i="5" s="1"/>
  <c r="X15" i="4"/>
  <c r="AJ15" i="4" s="1"/>
  <c r="AE210" i="5"/>
  <c r="AE151" i="5"/>
  <c r="AD472" i="5"/>
  <c r="AD112" i="5"/>
  <c r="AE551" i="5"/>
  <c r="AE309" i="5"/>
  <c r="AD486" i="5"/>
  <c r="AE112" i="5"/>
  <c r="AS551" i="5"/>
  <c r="AU551" i="5" s="1"/>
  <c r="AD245" i="5"/>
  <c r="AD277" i="5"/>
  <c r="AS116" i="5"/>
  <c r="AT116" i="5" s="1"/>
  <c r="AD325" i="5"/>
  <c r="AS504" i="5"/>
  <c r="AT504" i="5" s="1"/>
  <c r="AS210" i="5"/>
  <c r="AU210" i="5" s="1"/>
  <c r="AE304" i="5"/>
  <c r="AD327" i="5"/>
  <c r="AS452" i="5"/>
  <c r="AU452" i="5" s="1"/>
  <c r="AD504" i="5"/>
  <c r="AD304" i="5"/>
  <c r="AS245" i="5"/>
  <c r="AT245" i="5" s="1"/>
  <c r="AS46" i="5"/>
  <c r="AT46" i="5" s="1"/>
  <c r="AS277" i="5"/>
  <c r="AU277" i="5" s="1"/>
  <c r="AD158" i="5"/>
  <c r="AD46" i="5"/>
  <c r="AD116" i="5"/>
  <c r="AS438" i="5"/>
  <c r="AT438" i="5" s="1"/>
  <c r="AS244" i="5"/>
  <c r="AU244" i="5" s="1"/>
  <c r="AD189" i="5"/>
  <c r="AD40" i="5"/>
  <c r="AE502" i="5"/>
  <c r="AD38" i="5"/>
  <c r="AD180" i="5"/>
  <c r="AE101" i="5"/>
  <c r="AE480" i="5"/>
  <c r="AS548" i="5"/>
  <c r="AT548" i="5" s="1"/>
  <c r="AS36" i="5"/>
  <c r="AU36" i="5" s="1"/>
  <c r="AS502" i="5"/>
  <c r="AT502" i="5" s="1"/>
  <c r="AS310" i="5"/>
  <c r="AU310" i="5" s="1"/>
  <c r="AD142" i="5"/>
  <c r="AE76" i="5"/>
  <c r="AS308" i="5"/>
  <c r="AU308" i="5" s="1"/>
  <c r="AD338" i="5"/>
  <c r="AE142" i="5"/>
  <c r="AD274" i="5"/>
  <c r="AD238" i="5"/>
  <c r="AE19" i="5"/>
  <c r="AD150" i="5"/>
  <c r="AI18" i="4"/>
  <c r="AE544" i="5"/>
  <c r="AD450" i="5"/>
  <c r="AS115" i="5"/>
  <c r="AT115" i="5" s="1"/>
  <c r="AD295" i="5"/>
  <c r="AE115" i="5"/>
  <c r="AD491" i="5"/>
  <c r="AS150" i="5"/>
  <c r="AU150" i="5" s="1"/>
  <c r="AE552" i="5"/>
  <c r="AE517" i="5"/>
  <c r="AE341" i="5"/>
  <c r="AE25" i="5"/>
  <c r="AS552" i="5"/>
  <c r="AT552" i="5" s="1"/>
  <c r="AD241" i="5"/>
  <c r="AD298" i="5"/>
  <c r="AS25" i="5"/>
  <c r="AT25" i="5" s="1"/>
  <c r="AE298" i="5"/>
  <c r="AD451" i="5"/>
  <c r="AT202" i="5"/>
  <c r="AE202" i="5"/>
  <c r="AD202" i="5"/>
  <c r="AD208" i="5"/>
  <c r="AS451" i="5"/>
  <c r="AU451" i="5" s="1"/>
  <c r="AS267" i="5"/>
  <c r="AU267" i="5" s="1"/>
  <c r="AS174" i="5"/>
  <c r="AU174" i="5" s="1"/>
  <c r="AS104" i="5"/>
  <c r="AU104" i="5" s="1"/>
  <c r="AE145" i="5"/>
  <c r="AD104" i="5"/>
  <c r="AS178" i="5"/>
  <c r="AU178" i="5" s="1"/>
  <c r="AE113" i="5"/>
  <c r="AE200" i="5"/>
  <c r="AS533" i="5"/>
  <c r="AT533" i="5" s="1"/>
  <c r="AE216" i="5"/>
  <c r="AS120" i="5"/>
  <c r="AU120" i="5" s="1"/>
  <c r="AS501" i="5"/>
  <c r="AU501" i="5" s="1"/>
  <c r="AE456" i="5"/>
  <c r="AD421" i="5"/>
  <c r="AE120" i="5"/>
  <c r="AU78" i="5"/>
  <c r="AE351" i="5"/>
  <c r="AD275" i="5"/>
  <c r="AD440" i="5"/>
  <c r="AS400" i="5"/>
  <c r="AT400" i="5" s="1"/>
  <c r="AE203" i="5"/>
  <c r="AS366" i="5"/>
  <c r="AU366" i="5" s="1"/>
  <c r="AD216" i="5"/>
  <c r="AE434" i="5"/>
  <c r="AS390" i="5"/>
  <c r="AU390" i="5" s="1"/>
  <c r="AD383" i="5"/>
  <c r="AE275" i="5"/>
  <c r="AE181" i="5"/>
  <c r="AD260" i="5"/>
  <c r="AD434" i="5"/>
  <c r="AE384" i="5"/>
  <c r="AE425" i="5"/>
  <c r="AE390" i="5"/>
  <c r="AD165" i="5"/>
  <c r="AD335" i="5"/>
  <c r="AD506" i="5"/>
  <c r="AD181" i="5"/>
  <c r="AE260" i="5"/>
  <c r="AS383" i="5"/>
  <c r="AU383" i="5" s="1"/>
  <c r="AS492" i="5"/>
  <c r="AU492" i="5" s="1"/>
  <c r="AS384" i="5"/>
  <c r="AT384" i="5" s="1"/>
  <c r="AS335" i="5"/>
  <c r="AU335" i="5" s="1"/>
  <c r="AE506" i="5"/>
  <c r="AD492" i="5"/>
  <c r="AD353" i="5"/>
  <c r="AE495" i="5"/>
  <c r="AS193" i="5"/>
  <c r="AT193" i="5" s="1"/>
  <c r="AD114" i="5"/>
  <c r="AD495" i="5"/>
  <c r="AT81" i="5"/>
  <c r="AD283" i="5"/>
  <c r="AS114" i="5"/>
  <c r="AT114" i="5" s="1"/>
  <c r="AS420" i="5"/>
  <c r="AT420" i="5" s="1"/>
  <c r="AD441" i="5"/>
  <c r="AE462" i="5"/>
  <c r="AS441" i="5"/>
  <c r="AU441" i="5" s="1"/>
  <c r="AE420" i="5"/>
  <c r="AE278" i="5"/>
  <c r="AS60" i="5"/>
  <c r="AU60" i="5" s="1"/>
  <c r="X135" i="4"/>
  <c r="AJ135" i="4" s="1"/>
  <c r="AD278" i="5"/>
  <c r="AD81" i="5"/>
  <c r="AE122" i="5"/>
  <c r="AE49" i="5"/>
  <c r="AD70" i="5"/>
  <c r="AS122" i="5"/>
  <c r="AT122" i="5" s="1"/>
  <c r="AE81" i="5"/>
  <c r="AE78" i="5"/>
  <c r="AE60" i="5"/>
  <c r="AE36" i="5"/>
  <c r="AD356" i="5"/>
  <c r="AD310" i="5"/>
  <c r="AF125" i="4"/>
  <c r="AG125" i="4" s="1"/>
  <c r="AI125" i="4" s="1"/>
  <c r="AD127" i="5"/>
  <c r="AE356" i="5"/>
  <c r="AE125" i="4"/>
  <c r="AE127" i="5"/>
  <c r="AE143" i="5"/>
  <c r="AD343" i="5"/>
  <c r="AS314" i="5"/>
  <c r="AT314" i="5" s="1"/>
  <c r="AE343" i="5"/>
  <c r="AS50" i="5"/>
  <c r="AT50" i="5" s="1"/>
  <c r="AE342" i="5"/>
  <c r="X125" i="4"/>
  <c r="AJ125" i="4" s="1"/>
  <c r="AS143" i="5"/>
  <c r="AT143" i="5" s="1"/>
  <c r="AE12" i="5"/>
  <c r="AS541" i="5"/>
  <c r="AT541" i="5" s="1"/>
  <c r="AD50" i="5"/>
  <c r="AD428" i="5"/>
  <c r="AS12" i="5"/>
  <c r="AU12" i="5" s="1"/>
  <c r="AS496" i="5"/>
  <c r="AU496" i="5" s="1"/>
  <c r="AE496" i="5"/>
  <c r="AE314" i="5"/>
  <c r="AE38" i="5"/>
  <c r="AD342" i="5"/>
  <c r="AE308" i="5"/>
  <c r="AS77" i="5"/>
  <c r="AT77" i="5" s="1"/>
  <c r="AX77" i="5" s="1"/>
  <c r="AY77" i="5" s="1"/>
  <c r="AS476" i="5"/>
  <c r="AT476" i="5" s="1"/>
  <c r="AS405" i="5"/>
  <c r="AU405" i="5" s="1"/>
  <c r="AE106" i="5"/>
  <c r="AD244" i="5"/>
  <c r="AS295" i="5"/>
  <c r="AU295" i="5" s="1"/>
  <c r="AS76" i="5"/>
  <c r="AU76" i="5" s="1"/>
  <c r="AD438" i="5"/>
  <c r="AE405" i="5"/>
  <c r="AS106" i="5"/>
  <c r="AT106" i="5" s="1"/>
  <c r="AS134" i="5"/>
  <c r="AU134" i="5" s="1"/>
  <c r="AE180" i="5"/>
  <c r="AE476" i="5"/>
  <c r="AS90" i="5"/>
  <c r="AU90" i="5" s="1"/>
  <c r="AD282" i="5"/>
  <c r="AD528" i="5"/>
  <c r="X57" i="4"/>
  <c r="AJ57" i="4" s="1"/>
  <c r="AD77" i="5"/>
  <c r="AE57" i="4"/>
  <c r="AD239" i="5"/>
  <c r="AS24" i="5"/>
  <c r="AT24" i="5" s="1"/>
  <c r="AE338" i="5"/>
  <c r="AE274" i="5"/>
  <c r="AD294" i="5"/>
  <c r="AS239" i="5"/>
  <c r="AU239" i="5" s="1"/>
  <c r="AS293" i="5"/>
  <c r="AT293" i="5" s="1"/>
  <c r="AD262" i="5"/>
  <c r="AS44" i="5"/>
  <c r="AT44" i="5" s="1"/>
  <c r="AE294" i="5"/>
  <c r="AD217" i="5"/>
  <c r="AE247" i="5"/>
  <c r="AS238" i="5"/>
  <c r="AU238" i="5" s="1"/>
  <c r="AD293" i="5"/>
  <c r="AE189" i="5"/>
  <c r="AE262" i="5"/>
  <c r="AS344" i="5"/>
  <c r="AU344" i="5" s="1"/>
  <c r="AD101" i="5"/>
  <c r="AE44" i="5"/>
  <c r="AS394" i="5"/>
  <c r="AT394" i="5" s="1"/>
  <c r="AS19" i="5"/>
  <c r="AT19" i="5" s="1"/>
  <c r="AS453" i="5"/>
  <c r="AT453" i="5" s="1"/>
  <c r="AD548" i="5"/>
  <c r="AE148" i="5"/>
  <c r="AD197" i="5"/>
  <c r="AS220" i="5"/>
  <c r="AU220" i="5" s="1"/>
  <c r="AD544" i="5"/>
  <c r="AE450" i="5"/>
  <c r="AK96" i="4"/>
  <c r="AS217" i="5"/>
  <c r="AU217" i="5" s="1"/>
  <c r="AS197" i="5"/>
  <c r="AU197" i="5" s="1"/>
  <c r="AE220" i="5"/>
  <c r="AE266" i="5"/>
  <c r="AD257" i="5"/>
  <c r="AE436" i="5"/>
  <c r="AD174" i="5"/>
  <c r="AS410" i="5"/>
  <c r="AU410" i="5" s="1"/>
  <c r="AE34" i="5"/>
  <c r="AS132" i="5"/>
  <c r="AU132" i="5" s="1"/>
  <c r="AS27" i="5"/>
  <c r="AU27" i="5" s="1"/>
  <c r="AE133" i="5"/>
  <c r="AS126" i="5"/>
  <c r="AT126" i="5" s="1"/>
  <c r="AS416" i="5"/>
  <c r="AT416" i="5" s="1"/>
  <c r="AS385" i="5"/>
  <c r="AT385" i="5" s="1"/>
  <c r="AS111" i="5"/>
  <c r="AU111" i="5" s="1"/>
  <c r="AD133" i="5"/>
  <c r="AD267" i="5"/>
  <c r="AS68" i="5"/>
  <c r="AT68" i="5" s="1"/>
  <c r="AE416" i="5"/>
  <c r="AD27" i="5"/>
  <c r="AS447" i="5"/>
  <c r="AT447" i="5" s="1"/>
  <c r="AD385" i="5"/>
  <c r="AD350" i="5"/>
  <c r="AS350" i="5"/>
  <c r="AT350" i="5" s="1"/>
  <c r="AE375" i="5"/>
  <c r="AS179" i="5"/>
  <c r="AU179" i="5" s="1"/>
  <c r="AE35" i="5"/>
  <c r="AD73" i="5"/>
  <c r="AD29" i="5"/>
  <c r="AS155" i="5"/>
  <c r="AU155" i="5" s="1"/>
  <c r="AE505" i="5"/>
  <c r="AS369" i="5"/>
  <c r="AT369" i="5" s="1"/>
  <c r="AE43" i="5"/>
  <c r="AD155" i="5"/>
  <c r="AE68" i="5"/>
  <c r="AS73" i="5"/>
  <c r="AT73" i="5" s="1"/>
  <c r="AE111" i="5"/>
  <c r="AD369" i="5"/>
  <c r="AD341" i="5"/>
  <c r="AS505" i="5"/>
  <c r="AT505" i="5" s="1"/>
  <c r="AD126" i="5"/>
  <c r="AS388" i="5"/>
  <c r="AU388" i="5" s="1"/>
  <c r="AD465" i="5"/>
  <c r="AD132" i="5"/>
  <c r="AU257" i="5"/>
  <c r="AD125" i="5"/>
  <c r="AD529" i="5"/>
  <c r="AE296" i="5"/>
  <c r="AD253" i="5"/>
  <c r="AD228" i="5"/>
  <c r="AD55" i="5"/>
  <c r="AS529" i="5"/>
  <c r="AU529" i="5" s="1"/>
  <c r="AD499" i="5"/>
  <c r="AD168" i="5"/>
  <c r="AS228" i="5"/>
  <c r="AU228" i="5" s="1"/>
  <c r="AD236" i="5"/>
  <c r="AE499" i="5"/>
  <c r="AE403" i="5"/>
  <c r="AD33" i="5"/>
  <c r="AE147" i="5"/>
  <c r="AE157" i="5"/>
  <c r="AS168" i="5"/>
  <c r="AU168" i="5" s="1"/>
  <c r="AS99" i="5"/>
  <c r="AU99" i="5" s="1"/>
  <c r="AE253" i="5"/>
  <c r="AD66" i="5"/>
  <c r="AS473" i="5"/>
  <c r="AU473" i="5" s="1"/>
  <c r="AS236" i="5"/>
  <c r="AU236" i="5" s="1"/>
  <c r="AE214" i="5"/>
  <c r="AS141" i="5"/>
  <c r="AU141" i="5" s="1"/>
  <c r="AS404" i="5"/>
  <c r="AU404" i="5" s="1"/>
  <c r="AD268" i="5"/>
  <c r="AS403" i="5"/>
  <c r="AU403" i="5" s="1"/>
  <c r="AE33" i="5"/>
  <c r="AS218" i="5"/>
  <c r="AT218" i="5" s="1"/>
  <c r="AS398" i="5"/>
  <c r="AT398" i="5" s="1"/>
  <c r="AD173" i="5"/>
  <c r="AS66" i="5"/>
  <c r="AU66" i="5" s="1"/>
  <c r="AE473" i="5"/>
  <c r="AD119" i="5"/>
  <c r="AS214" i="5"/>
  <c r="AU214" i="5" s="1"/>
  <c r="AE141" i="5"/>
  <c r="AE404" i="5"/>
  <c r="AE268" i="5"/>
  <c r="AD259" i="5"/>
  <c r="AD266" i="5"/>
  <c r="AE257" i="5"/>
  <c r="AS229" i="5"/>
  <c r="AU229" i="5" s="1"/>
  <c r="AE229" i="5"/>
  <c r="AE536" i="5"/>
  <c r="AS108" i="5"/>
  <c r="AT108" i="5" s="1"/>
  <c r="AD218" i="5"/>
  <c r="AS65" i="5"/>
  <c r="AU65" i="5" s="1"/>
  <c r="AD147" i="5"/>
  <c r="AE99" i="5"/>
  <c r="AS157" i="5"/>
  <c r="AU157" i="5" s="1"/>
  <c r="AE541" i="5"/>
  <c r="AD90" i="5"/>
  <c r="AE282" i="5"/>
  <c r="AS468" i="5"/>
  <c r="AT468" i="5" s="1"/>
  <c r="AS528" i="5"/>
  <c r="AU528" i="5" s="1"/>
  <c r="AD134" i="5"/>
  <c r="AS428" i="5"/>
  <c r="AU428" i="5" s="1"/>
  <c r="AE468" i="5"/>
  <c r="AS198" i="5"/>
  <c r="AT198" i="5" s="1"/>
  <c r="AD513" i="5"/>
  <c r="AE329" i="5"/>
  <c r="AS285" i="5"/>
  <c r="AT285" i="5" s="1"/>
  <c r="AE521" i="5"/>
  <c r="AE380" i="5"/>
  <c r="AS513" i="5"/>
  <c r="AU513" i="5" s="1"/>
  <c r="AE331" i="5"/>
  <c r="AD395" i="5"/>
  <c r="AS318" i="5"/>
  <c r="AU318" i="5" s="1"/>
  <c r="AD329" i="5"/>
  <c r="AD83" i="5"/>
  <c r="AE285" i="5"/>
  <c r="AD521" i="5"/>
  <c r="AE198" i="5"/>
  <c r="AD255" i="5"/>
  <c r="AE471" i="5"/>
  <c r="AD471" i="5"/>
  <c r="AD380" i="5"/>
  <c r="AD331" i="5"/>
  <c r="AE395" i="5"/>
  <c r="AE318" i="5"/>
  <c r="AS270" i="5"/>
  <c r="AT270" i="5" s="1"/>
  <c r="AD427" i="5"/>
  <c r="AE83" i="5"/>
  <c r="AS402" i="5"/>
  <c r="AU402" i="5" s="1"/>
  <c r="AD270" i="5"/>
  <c r="AE427" i="5"/>
  <c r="AE402" i="5"/>
  <c r="AS255" i="5"/>
  <c r="AT255" i="5" s="1"/>
  <c r="Y39" i="4"/>
  <c r="Z39" i="4" s="1"/>
  <c r="AF39" i="4" s="1"/>
  <c r="AE62" i="5"/>
  <c r="AS205" i="5"/>
  <c r="AT205" i="5" s="1"/>
  <c r="AD251" i="5"/>
  <c r="AU175" i="5"/>
  <c r="AS82" i="5"/>
  <c r="AU82" i="5" s="1"/>
  <c r="AE39" i="4"/>
  <c r="AS401" i="5"/>
  <c r="AU401" i="5" s="1"/>
  <c r="AS437" i="5"/>
  <c r="AT437" i="5" s="1"/>
  <c r="AD82" i="5"/>
  <c r="AE437" i="5"/>
  <c r="AE251" i="5"/>
  <c r="AD424" i="5"/>
  <c r="AS387" i="5"/>
  <c r="AT387" i="5" s="1"/>
  <c r="AS103" i="5"/>
  <c r="AT103" i="5" s="1"/>
  <c r="AE175" i="5"/>
  <c r="AD381" i="5"/>
  <c r="AE424" i="5"/>
  <c r="AS316" i="5"/>
  <c r="AU316" i="5" s="1"/>
  <c r="AD7" i="5"/>
  <c r="B215" i="2" s="1"/>
  <c r="B216" i="2" s="1"/>
  <c r="B217" i="2" s="1"/>
  <c r="B227" i="2" s="1"/>
  <c r="B229" i="2" s="1"/>
  <c r="AE381" i="5"/>
  <c r="AD67" i="5"/>
  <c r="AO118" i="4"/>
  <c r="AR118" i="4" s="1"/>
  <c r="AT118" i="4" s="1"/>
  <c r="AE509" i="5"/>
  <c r="AD316" i="5"/>
  <c r="AS67" i="5"/>
  <c r="AU67" i="5" s="1"/>
  <c r="AS486" i="5"/>
  <c r="AU486" i="5" s="1"/>
  <c r="AE7" i="5"/>
  <c r="AS472" i="5"/>
  <c r="AT472" i="5" s="1"/>
  <c r="AE103" i="5"/>
  <c r="AD175" i="5"/>
  <c r="AD410" i="5"/>
  <c r="AE339" i="5"/>
  <c r="AS558" i="5"/>
  <c r="AU558" i="5" s="1"/>
  <c r="AE555" i="5"/>
  <c r="AE515" i="5"/>
  <c r="AD553" i="5"/>
  <c r="AD339" i="5"/>
  <c r="AE178" i="5"/>
  <c r="AE72" i="5"/>
  <c r="X12" i="4"/>
  <c r="AJ12" i="4" s="1"/>
  <c r="AD34" i="5"/>
  <c r="AE558" i="5"/>
  <c r="AS555" i="5"/>
  <c r="AU555" i="5" s="1"/>
  <c r="AE553" i="5"/>
  <c r="AS128" i="5"/>
  <c r="AT128" i="5" s="1"/>
  <c r="AE209" i="5"/>
  <c r="AD388" i="5"/>
  <c r="AE406" i="5"/>
  <c r="AD498" i="5"/>
  <c r="AD515" i="5"/>
  <c r="AD433" i="5"/>
  <c r="AE498" i="5"/>
  <c r="AS411" i="5"/>
  <c r="AU411" i="5" s="1"/>
  <c r="AS321" i="5"/>
  <c r="AU321" i="5" s="1"/>
  <c r="AE377" i="5"/>
  <c r="AE153" i="5"/>
  <c r="AE263" i="5"/>
  <c r="AE75" i="5"/>
  <c r="AE102" i="5"/>
  <c r="AD193" i="5"/>
  <c r="AE128" i="5"/>
  <c r="AS102" i="5"/>
  <c r="AT102" i="5" s="1"/>
  <c r="AD110" i="5"/>
  <c r="Y12" i="4"/>
  <c r="Z12" i="4" s="1"/>
  <c r="AK12" i="4" s="1"/>
  <c r="AD411" i="5"/>
  <c r="AS263" i="5"/>
  <c r="AU263" i="5" s="1"/>
  <c r="AS75" i="5"/>
  <c r="AU75" i="5" s="1"/>
  <c r="AS209" i="5"/>
  <c r="AT209" i="5" s="1"/>
  <c r="AE171" i="5"/>
  <c r="AE433" i="5"/>
  <c r="AS29" i="5"/>
  <c r="AT29" i="5" s="1"/>
  <c r="AS377" i="5"/>
  <c r="AU377" i="5" s="1"/>
  <c r="AS153" i="5"/>
  <c r="AT153" i="5" s="1"/>
  <c r="AE465" i="5"/>
  <c r="AD43" i="5"/>
  <c r="AD179" i="5"/>
  <c r="AS110" i="5"/>
  <c r="AU110" i="5" s="1"/>
  <c r="AE447" i="5"/>
  <c r="AD171" i="5"/>
  <c r="AS35" i="5"/>
  <c r="AT35" i="5" s="1"/>
  <c r="AS375" i="5"/>
  <c r="AT375" i="5" s="1"/>
  <c r="AE182" i="5"/>
  <c r="AD78" i="5"/>
  <c r="AS20" i="5"/>
  <c r="AT20" i="5" s="1"/>
  <c r="AD69" i="5"/>
  <c r="AE135" i="5"/>
  <c r="AD414" i="5"/>
  <c r="AE481" i="5"/>
  <c r="AD560" i="5"/>
  <c r="AS240" i="5"/>
  <c r="AT240" i="5" s="1"/>
  <c r="AE129" i="5"/>
  <c r="AD135" i="5"/>
  <c r="AE394" i="5"/>
  <c r="AD362" i="5"/>
  <c r="AS414" i="5"/>
  <c r="AT414" i="5" s="1"/>
  <c r="AD204" i="5"/>
  <c r="AS560" i="5"/>
  <c r="AT560" i="5" s="1"/>
  <c r="AS231" i="5"/>
  <c r="AU231" i="5" s="1"/>
  <c r="AS219" i="5"/>
  <c r="AT219" i="5" s="1"/>
  <c r="AS129" i="5"/>
  <c r="AT129" i="5" s="1"/>
  <c r="AE201" i="5"/>
  <c r="AD93" i="5"/>
  <c r="AE362" i="5"/>
  <c r="AS53" i="5"/>
  <c r="AT53" i="5" s="1"/>
  <c r="AS204" i="5"/>
  <c r="AT204" i="5" s="1"/>
  <c r="AE231" i="5"/>
  <c r="AE240" i="5"/>
  <c r="AE163" i="5"/>
  <c r="AD53" i="5"/>
  <c r="AD219" i="5"/>
  <c r="AS93" i="5"/>
  <c r="AT93" i="5" s="1"/>
  <c r="AS199" i="5"/>
  <c r="AT199" i="5" s="1"/>
  <c r="AE344" i="5"/>
  <c r="AS163" i="5"/>
  <c r="AT163" i="5" s="1"/>
  <c r="AS247" i="5"/>
  <c r="AT247" i="5" s="1"/>
  <c r="AE321" i="5"/>
  <c r="AD320" i="5"/>
  <c r="AS291" i="5"/>
  <c r="AU291" i="5" s="1"/>
  <c r="AE108" i="5"/>
  <c r="AD348" i="5"/>
  <c r="AS320" i="5"/>
  <c r="AT320" i="5" s="1"/>
  <c r="AD291" i="5"/>
  <c r="AE183" i="5"/>
  <c r="AE348" i="5"/>
  <c r="AU182" i="5"/>
  <c r="AK118" i="4"/>
  <c r="AT72" i="5"/>
  <c r="AE413" i="5"/>
  <c r="AD182" i="5"/>
  <c r="AJ118" i="4"/>
  <c r="AD413" i="5"/>
  <c r="AD72" i="5"/>
  <c r="AS406" i="5"/>
  <c r="AT406" i="5" s="1"/>
  <c r="AS480" i="5"/>
  <c r="AT480" i="5" s="1"/>
  <c r="AD45" i="5"/>
  <c r="AE317" i="5"/>
  <c r="AE20" i="5"/>
  <c r="AD317" i="5"/>
  <c r="AS272" i="5"/>
  <c r="AU272" i="5" s="1"/>
  <c r="Y26" i="4"/>
  <c r="Z26" i="4" s="1"/>
  <c r="X26" i="4"/>
  <c r="AJ26" i="4" s="1"/>
  <c r="AE26" i="4"/>
  <c r="AD272" i="5"/>
  <c r="AS45" i="5"/>
  <c r="AT45" i="5" s="1"/>
  <c r="AX45" i="5" s="1"/>
  <c r="AY45" i="5" s="1"/>
  <c r="AE323" i="5"/>
  <c r="AE559" i="5"/>
  <c r="AS323" i="5"/>
  <c r="AU323" i="5" s="1"/>
  <c r="AS559" i="5"/>
  <c r="AU559" i="5" s="1"/>
  <c r="AS409" i="5"/>
  <c r="AU409" i="5" s="1"/>
  <c r="AE387" i="5"/>
  <c r="AD409" i="5"/>
  <c r="AF12" i="4"/>
  <c r="AG12" i="4" s="1"/>
  <c r="AI12" i="4" s="1"/>
  <c r="AR11" i="5"/>
  <c r="Y22" i="4"/>
  <c r="Z22" i="4" s="1"/>
  <c r="AA22" i="4" s="1"/>
  <c r="AC22" i="4" s="1"/>
  <c r="AD22" i="4" s="1"/>
  <c r="AE22" i="4"/>
  <c r="AE129" i="4"/>
  <c r="X72" i="4"/>
  <c r="AJ72" i="4" s="1"/>
  <c r="AE72" i="4"/>
  <c r="AO72" i="4"/>
  <c r="AS11" i="5"/>
  <c r="AU11" i="5" s="1"/>
  <c r="Y148" i="4"/>
  <c r="Z148" i="4" s="1"/>
  <c r="AF148" i="4" s="1"/>
  <c r="AE148" i="4"/>
  <c r="Y109" i="4"/>
  <c r="Z109" i="4" s="1"/>
  <c r="AF109" i="4" s="1"/>
  <c r="AE109" i="4"/>
  <c r="AA143" i="4"/>
  <c r="AC143" i="4" s="1"/>
  <c r="AD143" i="4" s="1"/>
  <c r="AT127" i="5"/>
  <c r="AS287" i="5"/>
  <c r="AT287" i="5" s="1"/>
  <c r="AA42" i="4"/>
  <c r="AC42" i="4" s="1"/>
  <c r="AD42" i="4" s="1"/>
  <c r="AR96" i="4"/>
  <c r="AT96" i="4" s="1"/>
  <c r="AQ9" i="5"/>
  <c r="AE79" i="4"/>
  <c r="X129" i="4"/>
  <c r="AJ129" i="4" s="1"/>
  <c r="AF152" i="4"/>
  <c r="AG152" i="4" s="1"/>
  <c r="AI152" i="4" s="1"/>
  <c r="AS249" i="5"/>
  <c r="AU249" i="5" s="1"/>
  <c r="AF67" i="4"/>
  <c r="AG67" i="4" s="1"/>
  <c r="AI67" i="4" s="1"/>
  <c r="AE67" i="4"/>
  <c r="X67" i="4"/>
  <c r="AA67" i="4" s="1"/>
  <c r="AC67" i="4" s="1"/>
  <c r="AD67" i="4" s="1"/>
  <c r="X79" i="4"/>
  <c r="AJ79" i="4" s="1"/>
  <c r="AD130" i="5"/>
  <c r="AD449" i="5"/>
  <c r="X152" i="4"/>
  <c r="AA152" i="4" s="1"/>
  <c r="AC152" i="4" s="1"/>
  <c r="AD152" i="4" s="1"/>
  <c r="AK143" i="4"/>
  <c r="AE152" i="4"/>
  <c r="Y34" i="4"/>
  <c r="Z34" i="4" s="1"/>
  <c r="AE34" i="4"/>
  <c r="X34" i="4"/>
  <c r="AJ34" i="4" s="1"/>
  <c r="X133" i="4"/>
  <c r="AJ133" i="4" s="1"/>
  <c r="AE133" i="4"/>
  <c r="Y133" i="4"/>
  <c r="Z133" i="4" s="1"/>
  <c r="Y21" i="4"/>
  <c r="Z21" i="4" s="1"/>
  <c r="AE21" i="4"/>
  <c r="X21" i="4"/>
  <c r="AJ21" i="4" s="1"/>
  <c r="Y58" i="4"/>
  <c r="Z58" i="4" s="1"/>
  <c r="X58" i="4"/>
  <c r="AJ58" i="4" s="1"/>
  <c r="AE58" i="4"/>
  <c r="Y144" i="4"/>
  <c r="X144" i="4"/>
  <c r="AE144" i="4"/>
  <c r="Y24" i="4"/>
  <c r="Z24" i="4" s="1"/>
  <c r="AE24" i="4"/>
  <c r="X24" i="4"/>
  <c r="Y83" i="4"/>
  <c r="Z83" i="4" s="1"/>
  <c r="AE83" i="4"/>
  <c r="AE62" i="4"/>
  <c r="Y62" i="4"/>
  <c r="Z62" i="4" s="1"/>
  <c r="Y101" i="4"/>
  <c r="Z101" i="4" s="1"/>
  <c r="X101" i="4"/>
  <c r="AJ101" i="4" s="1"/>
  <c r="AE101" i="4"/>
  <c r="AF79" i="4"/>
  <c r="Y132" i="4"/>
  <c r="Z132" i="4" s="1"/>
  <c r="AF132" i="4" s="1"/>
  <c r="AE132" i="4"/>
  <c r="X132" i="4"/>
  <c r="Y94" i="4"/>
  <c r="Z94" i="4" s="1"/>
  <c r="X94" i="4"/>
  <c r="AA140" i="4"/>
  <c r="AC140" i="4" s="1"/>
  <c r="AD140" i="4" s="1"/>
  <c r="AK140" i="4"/>
  <c r="AF140" i="4"/>
  <c r="X62" i="4"/>
  <c r="AJ62" i="4" s="1"/>
  <c r="X83" i="4"/>
  <c r="AJ83" i="4" s="1"/>
  <c r="X141" i="4"/>
  <c r="AJ141" i="4" s="1"/>
  <c r="Y141" i="4"/>
  <c r="AE141" i="4"/>
  <c r="Y59" i="4"/>
  <c r="Z59" i="4" s="1"/>
  <c r="AE59" i="4"/>
  <c r="Y10" i="4"/>
  <c r="Z10" i="4" s="1"/>
  <c r="X10" i="4"/>
  <c r="AJ10" i="4" s="1"/>
  <c r="AE10" i="4"/>
  <c r="Y130" i="4"/>
  <c r="X130" i="4"/>
  <c r="AE130" i="4"/>
  <c r="X155" i="4"/>
  <c r="Y155" i="4"/>
  <c r="AF105" i="4"/>
  <c r="AA105" i="4"/>
  <c r="AC105" i="4" s="1"/>
  <c r="AD105" i="4" s="1"/>
  <c r="AK105" i="4"/>
  <c r="AD287" i="5"/>
  <c r="AD249" i="5"/>
  <c r="AF76" i="4"/>
  <c r="AA76" i="4"/>
  <c r="AC76" i="4" s="1"/>
  <c r="AD76" i="4" s="1"/>
  <c r="AK76" i="4"/>
  <c r="AE449" i="5"/>
  <c r="AE292" i="5"/>
  <c r="AS393" i="5"/>
  <c r="AT393" i="5" s="1"/>
  <c r="AS292" i="5"/>
  <c r="AU292" i="5" s="1"/>
  <c r="AS391" i="5"/>
  <c r="AT391" i="5" s="1"/>
  <c r="AD393" i="5"/>
  <c r="AE391" i="5"/>
  <c r="AA84" i="4"/>
  <c r="AC84" i="4" s="1"/>
  <c r="AD84" i="4" s="1"/>
  <c r="AK84" i="4"/>
  <c r="AF84" i="4"/>
  <c r="AE286" i="5"/>
  <c r="AD286" i="5"/>
  <c r="AS162" i="5"/>
  <c r="AT162" i="5" s="1"/>
  <c r="AD123" i="5"/>
  <c r="AD74" i="5"/>
  <c r="AG143" i="4"/>
  <c r="AI143" i="4" s="1"/>
  <c r="AO143" i="4"/>
  <c r="AD11" i="5"/>
  <c r="AG75" i="4"/>
  <c r="AI75" i="4" s="1"/>
  <c r="AE11" i="5"/>
  <c r="AS235" i="5"/>
  <c r="AU235" i="5" s="1"/>
  <c r="AE10" i="5"/>
  <c r="AS10" i="5"/>
  <c r="AU10" i="5" s="1"/>
  <c r="AD235" i="5"/>
  <c r="AE123" i="5"/>
  <c r="AE74" i="5"/>
  <c r="AE162" i="5"/>
  <c r="AS299" i="5"/>
  <c r="AU299" i="5" s="1"/>
  <c r="AA123" i="4"/>
  <c r="AC123" i="4" s="1"/>
  <c r="AD123" i="4" s="1"/>
  <c r="AO108" i="4"/>
  <c r="AK40" i="4"/>
  <c r="AA32" i="4"/>
  <c r="AC32" i="4" s="1"/>
  <c r="AD32" i="4" s="1"/>
  <c r="AD557" i="5"/>
  <c r="AE549" i="5"/>
  <c r="AK123" i="4"/>
  <c r="AE271" i="5"/>
  <c r="AA40" i="4"/>
  <c r="AC40" i="4" s="1"/>
  <c r="AD40" i="4" s="1"/>
  <c r="AR40" i="4" s="1"/>
  <c r="AT40" i="4" s="1"/>
  <c r="AD311" i="5"/>
  <c r="AS8" i="5"/>
  <c r="AT8" i="5" s="1"/>
  <c r="AK99" i="4"/>
  <c r="AS169" i="5"/>
  <c r="AT169" i="5" s="1"/>
  <c r="AE340" i="5"/>
  <c r="AD397" i="5"/>
  <c r="AD538" i="5"/>
  <c r="AE407" i="5"/>
  <c r="AD176" i="5"/>
  <c r="AE311" i="5"/>
  <c r="AE130" i="5"/>
  <c r="AS340" i="5"/>
  <c r="AU340" i="5" s="1"/>
  <c r="AE412" i="5"/>
  <c r="AS271" i="5"/>
  <c r="AT271" i="5" s="1"/>
  <c r="AD445" i="5"/>
  <c r="AS95" i="5"/>
  <c r="AT95" i="5" s="1"/>
  <c r="AE538" i="5"/>
  <c r="AS412" i="5"/>
  <c r="AT412" i="5" s="1"/>
  <c r="AD334" i="5"/>
  <c r="AE445" i="5"/>
  <c r="AD95" i="5"/>
  <c r="AD458" i="5"/>
  <c r="AS79" i="5"/>
  <c r="AT79" i="5" s="1"/>
  <c r="AX78" i="5" s="1"/>
  <c r="AY78" i="5" s="1"/>
  <c r="AE52" i="5"/>
  <c r="AS458" i="5"/>
  <c r="AU458" i="5" s="1"/>
  <c r="AE79" i="5"/>
  <c r="AS52" i="5"/>
  <c r="AU52" i="5" s="1"/>
  <c r="AD233" i="5"/>
  <c r="AE510" i="5"/>
  <c r="AE467" i="5"/>
  <c r="AS233" i="5"/>
  <c r="AU233" i="5" s="1"/>
  <c r="AS396" i="5"/>
  <c r="AT396" i="5" s="1"/>
  <c r="AD169" i="5"/>
  <c r="AS510" i="5"/>
  <c r="AU510" i="5" s="1"/>
  <c r="AD467" i="5"/>
  <c r="AE299" i="5"/>
  <c r="AD396" i="5"/>
  <c r="AE397" i="5"/>
  <c r="AS443" i="5"/>
  <c r="AU443" i="5" s="1"/>
  <c r="AE373" i="5"/>
  <c r="AD448" i="5"/>
  <c r="AS364" i="5"/>
  <c r="AT364" i="5" s="1"/>
  <c r="AE215" i="5"/>
  <c r="AD215" i="5"/>
  <c r="AS549" i="5"/>
  <c r="AU549" i="5" s="1"/>
  <c r="AE557" i="5"/>
  <c r="AE448" i="5"/>
  <c r="AD364" i="5"/>
  <c r="AS56" i="5"/>
  <c r="AU56" i="5" s="1"/>
  <c r="AE370" i="5"/>
  <c r="AE107" i="5"/>
  <c r="AE57" i="5"/>
  <c r="AD39" i="5"/>
  <c r="AS191" i="5"/>
  <c r="AU191" i="5" s="1"/>
  <c r="AE172" i="5"/>
  <c r="AS490" i="5"/>
  <c r="AT490" i="5" s="1"/>
  <c r="AD464" i="5"/>
  <c r="AD373" i="5"/>
  <c r="AS539" i="5"/>
  <c r="AT539" i="5" s="1"/>
  <c r="AD443" i="5"/>
  <c r="AS550" i="5"/>
  <c r="AU550" i="5" s="1"/>
  <c r="AS503" i="5"/>
  <c r="AT503" i="5" s="1"/>
  <c r="AE490" i="5"/>
  <c r="AE539" i="5"/>
  <c r="AE550" i="5"/>
  <c r="AD290" i="5"/>
  <c r="AE464" i="5"/>
  <c r="AE252" i="5"/>
  <c r="AD96" i="5"/>
  <c r="AS154" i="5"/>
  <c r="AU154" i="5" s="1"/>
  <c r="AE290" i="5"/>
  <c r="AD370" i="5"/>
  <c r="AS230" i="5"/>
  <c r="AT230" i="5" s="1"/>
  <c r="AD252" i="5"/>
  <c r="AS96" i="5"/>
  <c r="AU96" i="5" s="1"/>
  <c r="AE154" i="5"/>
  <c r="AD542" i="5"/>
  <c r="AS457" i="5"/>
  <c r="AT457" i="5" s="1"/>
  <c r="AE457" i="5"/>
  <c r="AE230" i="5"/>
  <c r="AS542" i="5"/>
  <c r="AU542" i="5" s="1"/>
  <c r="AD191" i="5"/>
  <c r="AS57" i="5"/>
  <c r="AT57" i="5" s="1"/>
  <c r="AS207" i="5"/>
  <c r="AU207" i="5" s="1"/>
  <c r="AE207" i="5"/>
  <c r="AE212" i="5"/>
  <c r="AD284" i="5"/>
  <c r="AD212" i="5"/>
  <c r="AE418" i="5"/>
  <c r="AE85" i="5"/>
  <c r="AS196" i="5"/>
  <c r="AU196" i="5" s="1"/>
  <c r="AS352" i="5"/>
  <c r="AU352" i="5" s="1"/>
  <c r="AE161" i="5"/>
  <c r="AE64" i="5"/>
  <c r="AD547" i="5"/>
  <c r="AE288" i="5"/>
  <c r="AD187" i="5"/>
  <c r="AD435" i="5"/>
  <c r="AE305" i="5"/>
  <c r="AE187" i="5"/>
  <c r="AS435" i="5"/>
  <c r="AT435" i="5" s="1"/>
  <c r="AD305" i="5"/>
  <c r="AD71" i="5"/>
  <c r="AD315" i="5"/>
  <c r="AS315" i="5"/>
  <c r="AT315" i="5" s="1"/>
  <c r="AE250" i="5"/>
  <c r="AE156" i="5"/>
  <c r="AS346" i="5"/>
  <c r="AT346" i="5" s="1"/>
  <c r="AD149" i="5"/>
  <c r="AE312" i="5"/>
  <c r="AS124" i="5"/>
  <c r="AU124" i="5" s="1"/>
  <c r="AD367" i="5"/>
  <c r="AE124" i="5"/>
  <c r="AE526" i="5"/>
  <c r="AS307" i="5"/>
  <c r="AT307" i="5" s="1"/>
  <c r="AS211" i="5"/>
  <c r="AT211" i="5" s="1"/>
  <c r="AS526" i="5"/>
  <c r="AU526" i="5" s="1"/>
  <c r="AE531" i="5"/>
  <c r="AD312" i="5"/>
  <c r="AD225" i="5"/>
  <c r="AD159" i="5"/>
  <c r="AS330" i="5"/>
  <c r="AT330" i="5" s="1"/>
  <c r="AD485" i="5"/>
  <c r="AS419" i="5"/>
  <c r="AU419" i="5" s="1"/>
  <c r="AD330" i="5"/>
  <c r="AE485" i="5"/>
  <c r="AS139" i="5"/>
  <c r="AT139" i="5" s="1"/>
  <c r="AS185" i="5"/>
  <c r="AT185" i="5" s="1"/>
  <c r="AS519" i="5"/>
  <c r="AU519" i="5" s="1"/>
  <c r="AS227" i="5"/>
  <c r="AU227" i="5" s="1"/>
  <c r="AE246" i="5"/>
  <c r="AE224" i="5"/>
  <c r="AD47" i="5"/>
  <c r="AS487" i="5"/>
  <c r="AU487" i="5" s="1"/>
  <c r="AA124" i="4"/>
  <c r="AC124" i="4" s="1"/>
  <c r="AD124" i="4" s="1"/>
  <c r="AE487" i="5"/>
  <c r="AE326" i="5"/>
  <c r="AD167" i="5"/>
  <c r="AD28" i="5"/>
  <c r="AS326" i="5"/>
  <c r="AU326" i="5" s="1"/>
  <c r="AE118" i="5"/>
  <c r="AE176" i="5"/>
  <c r="AS407" i="5"/>
  <c r="AT407" i="5" s="1"/>
  <c r="AS39" i="5"/>
  <c r="AT39" i="5" s="1"/>
  <c r="AE98" i="5"/>
  <c r="AS172" i="5"/>
  <c r="AU172" i="5" s="1"/>
  <c r="AE284" i="5"/>
  <c r="AS547" i="5"/>
  <c r="AU547" i="5" s="1"/>
  <c r="AD488" i="5"/>
  <c r="AS418" i="5"/>
  <c r="AT418" i="5" s="1"/>
  <c r="AE196" i="5"/>
  <c r="AS357" i="5"/>
  <c r="AU357" i="5" s="1"/>
  <c r="AD358" i="5"/>
  <c r="AS98" i="5"/>
  <c r="AT98" i="5" s="1"/>
  <c r="AE488" i="5"/>
  <c r="AD357" i="5"/>
  <c r="AD144" i="5"/>
  <c r="AS322" i="5"/>
  <c r="AT322" i="5" s="1"/>
  <c r="AE144" i="5"/>
  <c r="AS107" i="5"/>
  <c r="AU107" i="5" s="1"/>
  <c r="AE352" i="5"/>
  <c r="AD85" i="5"/>
  <c r="AD322" i="5"/>
  <c r="AD161" i="5"/>
  <c r="AS64" i="5"/>
  <c r="AT64" i="5" s="1"/>
  <c r="AD8" i="5"/>
  <c r="AD139" i="5"/>
  <c r="AE346" i="5"/>
  <c r="AE423" i="5"/>
  <c r="AE185" i="5"/>
  <c r="AE419" i="5"/>
  <c r="AE159" i="5"/>
  <c r="AE227" i="5"/>
  <c r="AD37" i="5"/>
  <c r="AS246" i="5"/>
  <c r="AU246" i="5" s="1"/>
  <c r="AD524" i="5"/>
  <c r="AS423" i="5"/>
  <c r="AU423" i="5" s="1"/>
  <c r="AE37" i="5"/>
  <c r="AE524" i="5"/>
  <c r="AE319" i="5"/>
  <c r="AE100" i="5"/>
  <c r="AD319" i="5"/>
  <c r="AD273" i="5"/>
  <c r="AE442" i="5"/>
  <c r="AS225" i="5"/>
  <c r="AT225" i="5" s="1"/>
  <c r="AD100" i="5"/>
  <c r="AS273" i="5"/>
  <c r="AT273" i="5" s="1"/>
  <c r="AS281" i="5"/>
  <c r="AT281" i="5" s="1"/>
  <c r="AE408" i="5"/>
  <c r="AS442" i="5"/>
  <c r="AU442" i="5" s="1"/>
  <c r="AD281" i="5"/>
  <c r="AE535" i="5"/>
  <c r="AD86" i="5"/>
  <c r="AS535" i="5"/>
  <c r="AU535" i="5" s="1"/>
  <c r="AE489" i="5"/>
  <c r="AO68" i="4"/>
  <c r="AD489" i="5"/>
  <c r="AS224" i="5"/>
  <c r="AT224" i="5" s="1"/>
  <c r="AE61" i="5"/>
  <c r="AK68" i="4"/>
  <c r="AE355" i="5"/>
  <c r="AE430" i="5"/>
  <c r="AS61" i="5"/>
  <c r="AU61" i="5" s="1"/>
  <c r="AE177" i="5"/>
  <c r="AS28" i="5"/>
  <c r="AU28" i="5" s="1"/>
  <c r="AS355" i="5"/>
  <c r="AT355" i="5" s="1"/>
  <c r="AS430" i="5"/>
  <c r="AU430" i="5" s="1"/>
  <c r="AD256" i="5"/>
  <c r="AE337" i="5"/>
  <c r="AD389" i="5"/>
  <c r="AD56" i="5"/>
  <c r="AD307" i="5"/>
  <c r="AD211" i="5"/>
  <c r="AG103" i="4"/>
  <c r="AI103" i="4" s="1"/>
  <c r="AD87" i="5"/>
  <c r="AE493" i="5"/>
  <c r="AA68" i="4"/>
  <c r="AC68" i="4" s="1"/>
  <c r="AD68" i="4" s="1"/>
  <c r="AA19" i="4"/>
  <c r="AC19" i="4" s="1"/>
  <c r="AD19" i="4" s="1"/>
  <c r="AR19" i="4" s="1"/>
  <c r="AT19" i="4" s="1"/>
  <c r="AS493" i="5"/>
  <c r="AT493" i="5" s="1"/>
  <c r="AS195" i="5"/>
  <c r="AT195" i="5" s="1"/>
  <c r="AS92" i="5"/>
  <c r="AT92" i="5" s="1"/>
  <c r="AK9" i="4"/>
  <c r="AS190" i="5"/>
  <c r="AU190" i="5" s="1"/>
  <c r="AS30" i="5"/>
  <c r="AU30" i="5" s="1"/>
  <c r="AD195" i="5"/>
  <c r="AK103" i="4"/>
  <c r="AE190" i="5"/>
  <c r="AE30" i="5"/>
  <c r="AS41" i="5"/>
  <c r="AU41" i="5" s="1"/>
  <c r="AD439" i="5"/>
  <c r="AK85" i="4"/>
  <c r="AD192" i="5"/>
  <c r="AS86" i="5"/>
  <c r="AT86" i="5" s="1"/>
  <c r="AS177" i="5"/>
  <c r="AT177" i="5" s="1"/>
  <c r="AS164" i="5"/>
  <c r="AU164" i="5" s="1"/>
  <c r="AD164" i="5"/>
  <c r="AE461" i="5"/>
  <c r="AE192" i="5"/>
  <c r="AE347" i="5"/>
  <c r="AE146" i="5"/>
  <c r="AE41" i="5"/>
  <c r="AD51" i="5"/>
  <c r="AS527" i="5"/>
  <c r="AU527" i="5" s="1"/>
  <c r="AD337" i="5"/>
  <c r="AE87" i="5"/>
  <c r="AK82" i="4"/>
  <c r="AD461" i="5"/>
  <c r="AS367" i="5"/>
  <c r="AU367" i="5" s="1"/>
  <c r="AS51" i="5"/>
  <c r="AU51" i="5" s="1"/>
  <c r="AA120" i="4"/>
  <c r="AC120" i="4" s="1"/>
  <c r="AD120" i="4" s="1"/>
  <c r="AA99" i="4"/>
  <c r="AC99" i="4" s="1"/>
  <c r="AD99" i="4" s="1"/>
  <c r="AD527" i="5"/>
  <c r="AK153" i="4"/>
  <c r="AD408" i="5"/>
  <c r="AS389" i="5"/>
  <c r="AT389" i="5" s="1"/>
  <c r="AA103" i="4"/>
  <c r="AC103" i="4" s="1"/>
  <c r="AD103" i="4" s="1"/>
  <c r="AK102" i="4"/>
  <c r="AS368" i="5"/>
  <c r="AT368" i="5" s="1"/>
  <c r="AA9" i="4"/>
  <c r="AC9" i="4" s="1"/>
  <c r="AD9" i="4" s="1"/>
  <c r="AR9" i="4" s="1"/>
  <c r="AT9" i="4" s="1"/>
  <c r="AE368" i="5"/>
  <c r="AE63" i="5"/>
  <c r="AE131" i="5"/>
  <c r="AS131" i="5"/>
  <c r="AT131" i="5" s="1"/>
  <c r="AE167" i="5"/>
  <c r="AK81" i="4"/>
  <c r="AD347" i="5"/>
  <c r="AD146" i="5"/>
  <c r="AD63" i="5"/>
  <c r="AS439" i="5"/>
  <c r="AT439" i="5" s="1"/>
  <c r="AG97" i="4"/>
  <c r="AI97" i="4" s="1"/>
  <c r="AA45" i="4"/>
  <c r="AC45" i="4" s="1"/>
  <c r="AD45" i="4" s="1"/>
  <c r="AA102" i="4"/>
  <c r="AC102" i="4" s="1"/>
  <c r="AD102" i="4" s="1"/>
  <c r="AR102" i="4" s="1"/>
  <c r="AT102" i="4" s="1"/>
  <c r="AS156" i="5"/>
  <c r="AU156" i="5" s="1"/>
  <c r="AS71" i="5"/>
  <c r="AT71" i="5" s="1"/>
  <c r="AD170" i="5"/>
  <c r="AE170" i="5"/>
  <c r="AS250" i="5"/>
  <c r="AT250" i="5" s="1"/>
  <c r="AF32" i="4"/>
  <c r="AG32" i="4" s="1"/>
  <c r="AI32" i="4" s="1"/>
  <c r="AA122" i="4"/>
  <c r="AC122" i="4" s="1"/>
  <c r="AD122" i="4" s="1"/>
  <c r="AA74" i="4"/>
  <c r="AC74" i="4" s="1"/>
  <c r="AD74" i="4" s="1"/>
  <c r="AR74" i="4" s="1"/>
  <c r="AT74" i="4" s="1"/>
  <c r="AK45" i="4"/>
  <c r="AS415" i="5"/>
  <c r="AU415" i="5" s="1"/>
  <c r="AA60" i="4"/>
  <c r="AC60" i="4" s="1"/>
  <c r="AD60" i="4" s="1"/>
  <c r="AD415" i="5"/>
  <c r="AO45" i="4"/>
  <c r="AD516" i="5"/>
  <c r="AA82" i="4"/>
  <c r="AC82" i="4" s="1"/>
  <c r="AD82" i="4" s="1"/>
  <c r="AR82" i="4" s="1"/>
  <c r="AT82" i="4" s="1"/>
  <c r="AS516" i="5"/>
  <c r="AU516" i="5" s="1"/>
  <c r="AS152" i="5"/>
  <c r="AU152" i="5" s="1"/>
  <c r="AE152" i="5"/>
  <c r="AD288" i="5"/>
  <c r="AK74" i="4"/>
  <c r="AK71" i="4"/>
  <c r="AE149" i="5"/>
  <c r="AF120" i="4"/>
  <c r="AO120" i="4" s="1"/>
  <c r="AS531" i="5"/>
  <c r="AU531" i="5" s="1"/>
  <c r="AE554" i="5"/>
  <c r="AS334" i="5"/>
  <c r="AU334" i="5" s="1"/>
  <c r="AE256" i="5"/>
  <c r="AD554" i="5"/>
  <c r="AK120" i="4"/>
  <c r="AK19" i="4"/>
  <c r="AE258" i="5"/>
  <c r="AE276" i="5"/>
  <c r="AE328" i="5"/>
  <c r="AS358" i="5"/>
  <c r="AU358" i="5" s="1"/>
  <c r="AE519" i="5"/>
  <c r="AD92" i="5"/>
  <c r="AS372" i="5"/>
  <c r="AT372" i="5" s="1"/>
  <c r="AS276" i="5"/>
  <c r="AT276" i="5" s="1"/>
  <c r="AS507" i="5"/>
  <c r="AT507" i="5" s="1"/>
  <c r="AD258" i="5"/>
  <c r="AS328" i="5"/>
  <c r="AT328" i="5" s="1"/>
  <c r="AE507" i="5"/>
  <c r="AK80" i="4"/>
  <c r="AA81" i="4"/>
  <c r="AC81" i="4" s="1"/>
  <c r="AD81" i="4" s="1"/>
  <c r="AF52" i="4"/>
  <c r="AA52" i="4"/>
  <c r="AC52" i="4" s="1"/>
  <c r="AD52" i="4" s="1"/>
  <c r="AE431" i="5"/>
  <c r="AS89" i="5"/>
  <c r="AU89" i="5" s="1"/>
  <c r="AS47" i="5"/>
  <c r="AT47" i="5" s="1"/>
  <c r="AE474" i="5"/>
  <c r="AF116" i="4"/>
  <c r="AK116" i="4"/>
  <c r="AJ108" i="4"/>
  <c r="AK108" i="4"/>
  <c r="AF38" i="4"/>
  <c r="AA38" i="4"/>
  <c r="AC38" i="4" s="1"/>
  <c r="AD38" i="4" s="1"/>
  <c r="AK38" i="4"/>
  <c r="AF63" i="4"/>
  <c r="AA63" i="4"/>
  <c r="AC63" i="4" s="1"/>
  <c r="AD63" i="4" s="1"/>
  <c r="AK63" i="4"/>
  <c r="AO70" i="4"/>
  <c r="AG70" i="4"/>
  <c r="AI70" i="4" s="1"/>
  <c r="AS431" i="5"/>
  <c r="AU431" i="5" s="1"/>
  <c r="AE89" i="5"/>
  <c r="AS474" i="5"/>
  <c r="AT474" i="5" s="1"/>
  <c r="B93" i="2"/>
  <c r="B113" i="2" s="1"/>
  <c r="H25" i="1" s="1"/>
  <c r="AG44" i="4"/>
  <c r="AI44" i="4" s="1"/>
  <c r="AO44" i="4"/>
  <c r="AF137" i="4"/>
  <c r="AK137" i="4"/>
  <c r="AA137" i="4"/>
  <c r="AC137" i="4" s="1"/>
  <c r="AD137" i="4" s="1"/>
  <c r="AA126" i="4"/>
  <c r="AC126" i="4" s="1"/>
  <c r="AD126" i="4" s="1"/>
  <c r="AF126" i="4"/>
  <c r="AK126" i="4"/>
  <c r="AF95" i="4"/>
  <c r="AK95" i="4"/>
  <c r="AA95" i="4"/>
  <c r="AC95" i="4" s="1"/>
  <c r="AD95" i="4" s="1"/>
  <c r="AK64" i="4"/>
  <c r="AF64" i="4"/>
  <c r="AA64" i="4"/>
  <c r="AC64" i="4" s="1"/>
  <c r="AD64" i="4" s="1"/>
  <c r="AS545" i="5"/>
  <c r="AU545" i="5" s="1"/>
  <c r="AD109" i="5"/>
  <c r="AA117" i="4"/>
  <c r="AC117" i="4" s="1"/>
  <c r="AD117" i="4" s="1"/>
  <c r="AA75" i="4"/>
  <c r="AC75" i="4" s="1"/>
  <c r="AD75" i="4" s="1"/>
  <c r="AF86" i="4"/>
  <c r="AA86" i="4"/>
  <c r="AC86" i="4" s="1"/>
  <c r="AD86" i="4" s="1"/>
  <c r="AK86" i="4"/>
  <c r="AJ27" i="4"/>
  <c r="AA27" i="4"/>
  <c r="AC27" i="4" s="1"/>
  <c r="AD27" i="4" s="1"/>
  <c r="AR27" i="4" s="1"/>
  <c r="AT27" i="4" s="1"/>
  <c r="AK27" i="4"/>
  <c r="AF69" i="4"/>
  <c r="AK69" i="4"/>
  <c r="AA69" i="4"/>
  <c r="AC69" i="4" s="1"/>
  <c r="AD69" i="4" s="1"/>
  <c r="AE545" i="5"/>
  <c r="AE109" i="5"/>
  <c r="AD324" i="5"/>
  <c r="AF100" i="4"/>
  <c r="AK100" i="4"/>
  <c r="AA100" i="4"/>
  <c r="AC100" i="4" s="1"/>
  <c r="AD100" i="4" s="1"/>
  <c r="AK30" i="4"/>
  <c r="AA157" i="4"/>
  <c r="AC157" i="4" s="1"/>
  <c r="AD157" i="4" s="1"/>
  <c r="AF157" i="4"/>
  <c r="AK157" i="4"/>
  <c r="AF14" i="4"/>
  <c r="AF150" i="4"/>
  <c r="AA150" i="4"/>
  <c r="AC150" i="4" s="1"/>
  <c r="AD150" i="4" s="1"/>
  <c r="AK150" i="4"/>
  <c r="AA111" i="4"/>
  <c r="AC111" i="4" s="1"/>
  <c r="AD111" i="4" s="1"/>
  <c r="AS84" i="5"/>
  <c r="AT84" i="5" s="1"/>
  <c r="AE454" i="5"/>
  <c r="AA116" i="4"/>
  <c r="AC116" i="4" s="1"/>
  <c r="AD116" i="4" s="1"/>
  <c r="AJ116" i="4"/>
  <c r="AA71" i="4"/>
  <c r="AC71" i="4" s="1"/>
  <c r="AD71" i="4" s="1"/>
  <c r="AR71" i="4" s="1"/>
  <c r="AT71" i="4" s="1"/>
  <c r="AA30" i="4"/>
  <c r="AC30" i="4" s="1"/>
  <c r="AD30" i="4" s="1"/>
  <c r="AR30" i="4" s="1"/>
  <c r="AT30" i="4" s="1"/>
  <c r="AF54" i="4"/>
  <c r="AA54" i="4"/>
  <c r="AC54" i="4" s="1"/>
  <c r="AD54" i="4" s="1"/>
  <c r="AK54" i="4"/>
  <c r="AA44" i="4"/>
  <c r="AC44" i="4" s="1"/>
  <c r="AD44" i="4" s="1"/>
  <c r="AJ44" i="4"/>
  <c r="AK128" i="4"/>
  <c r="AF128" i="4"/>
  <c r="AA128" i="4"/>
  <c r="AC128" i="4" s="1"/>
  <c r="AD128" i="4" s="1"/>
  <c r="AK111" i="4"/>
  <c r="AA66" i="4"/>
  <c r="AC66" i="4" s="1"/>
  <c r="AD66" i="4" s="1"/>
  <c r="AF77" i="4"/>
  <c r="AA77" i="4"/>
  <c r="AC77" i="4" s="1"/>
  <c r="AD77" i="4" s="1"/>
  <c r="AK77" i="4"/>
  <c r="AE324" i="5"/>
  <c r="AE84" i="5"/>
  <c r="AD372" i="5"/>
  <c r="AK122" i="4"/>
  <c r="AD454" i="5"/>
  <c r="AK75" i="4"/>
  <c r="AO123" i="4"/>
  <c r="AG123" i="4"/>
  <c r="AI123" i="4" s="1"/>
  <c r="AA108" i="4"/>
  <c r="AC108" i="4" s="1"/>
  <c r="AD108" i="4" s="1"/>
  <c r="AA8" i="4"/>
  <c r="AC8" i="4" s="1"/>
  <c r="AD8" i="4" s="1"/>
  <c r="AF8" i="4"/>
  <c r="AK8" i="4"/>
  <c r="AF7" i="4"/>
  <c r="AK7" i="4"/>
  <c r="AA7" i="4"/>
  <c r="AC7" i="4" s="1"/>
  <c r="AD7" i="4" s="1"/>
  <c r="AA134" i="4"/>
  <c r="AC134" i="4" s="1"/>
  <c r="AD134" i="4" s="1"/>
  <c r="AF134" i="4"/>
  <c r="AK134" i="4"/>
  <c r="AA93" i="4"/>
  <c r="AC93" i="4" s="1"/>
  <c r="AD93" i="4" s="1"/>
  <c r="AF93" i="4"/>
  <c r="AK93" i="4"/>
  <c r="AO111" i="4"/>
  <c r="AG111" i="4"/>
  <c r="AI111" i="4" s="1"/>
  <c r="AK52" i="4"/>
  <c r="AA80" i="4"/>
  <c r="AC80" i="4" s="1"/>
  <c r="AD80" i="4" s="1"/>
  <c r="AK47" i="4"/>
  <c r="AF47" i="4"/>
  <c r="AA47" i="4"/>
  <c r="AC47" i="4" s="1"/>
  <c r="AD47" i="4" s="1"/>
  <c r="AF127" i="4"/>
  <c r="AA127" i="4"/>
  <c r="AC127" i="4" s="1"/>
  <c r="AD127" i="4" s="1"/>
  <c r="AK127" i="4"/>
  <c r="AF135" i="4"/>
  <c r="AJ70" i="4"/>
  <c r="AA70" i="4"/>
  <c r="AC70" i="4" s="1"/>
  <c r="AD70" i="4" s="1"/>
  <c r="AF35" i="4"/>
  <c r="AA35" i="4"/>
  <c r="AC35" i="4" s="1"/>
  <c r="AD35" i="4" s="1"/>
  <c r="AK35" i="4"/>
  <c r="AF23" i="4"/>
  <c r="AA23" i="4"/>
  <c r="AC23" i="4" s="1"/>
  <c r="AD23" i="4" s="1"/>
  <c r="AK23" i="4"/>
  <c r="AD118" i="5"/>
  <c r="AS242" i="5"/>
  <c r="AU242" i="5" s="1"/>
  <c r="AE91" i="5"/>
  <c r="AE242" i="5"/>
  <c r="AE484" i="5"/>
  <c r="AS88" i="5"/>
  <c r="AU88" i="5" s="1"/>
  <c r="AD91" i="5"/>
  <c r="AS497" i="5"/>
  <c r="AU497" i="5" s="1"/>
  <c r="AD484" i="5"/>
  <c r="AD88" i="5"/>
  <c r="AD497" i="5"/>
  <c r="AD503" i="5"/>
  <c r="AE9" i="5"/>
  <c r="AS9" i="5"/>
  <c r="AD9" i="5"/>
  <c r="AO85" i="4"/>
  <c r="AK89" i="4"/>
  <c r="AK65" i="4"/>
  <c r="AO81" i="4"/>
  <c r="AA151" i="4"/>
  <c r="AC151" i="4" s="1"/>
  <c r="AD151" i="4" s="1"/>
  <c r="AR151" i="4" s="1"/>
  <c r="AT151" i="4" s="1"/>
  <c r="AG49" i="4"/>
  <c r="AI49" i="4" s="1"/>
  <c r="AR49" i="4" s="1"/>
  <c r="AT49" i="4" s="1"/>
  <c r="AA153" i="4"/>
  <c r="AC153" i="4" s="1"/>
  <c r="AD153" i="4" s="1"/>
  <c r="AK117" i="4"/>
  <c r="AK151" i="4"/>
  <c r="AG114" i="4"/>
  <c r="AI114" i="4" s="1"/>
  <c r="AK124" i="4"/>
  <c r="AK13" i="4"/>
  <c r="AG43" i="4"/>
  <c r="AI43" i="4" s="1"/>
  <c r="AA13" i="4"/>
  <c r="AC13" i="4" s="1"/>
  <c r="AD13" i="4" s="1"/>
  <c r="AO17" i="4"/>
  <c r="AK92" i="4"/>
  <c r="AA65" i="4"/>
  <c r="AC65" i="4" s="1"/>
  <c r="AD65" i="4" s="1"/>
  <c r="AG149" i="4"/>
  <c r="AI149" i="4" s="1"/>
  <c r="AK51" i="4"/>
  <c r="AA89" i="4"/>
  <c r="AC89" i="4" s="1"/>
  <c r="AD89" i="4" s="1"/>
  <c r="AR89" i="4" s="1"/>
  <c r="AT89" i="4" s="1"/>
  <c r="AA17" i="4"/>
  <c r="AC17" i="4" s="1"/>
  <c r="AD17" i="4" s="1"/>
  <c r="AK136" i="4"/>
  <c r="AG139" i="4"/>
  <c r="AI139" i="4" s="1"/>
  <c r="AR139" i="4" s="1"/>
  <c r="AT139" i="4" s="1"/>
  <c r="AA92" i="4"/>
  <c r="AC92" i="4" s="1"/>
  <c r="AD92" i="4" s="1"/>
  <c r="AK97" i="4"/>
  <c r="AK17" i="4"/>
  <c r="AA48" i="4"/>
  <c r="AC48" i="4" s="1"/>
  <c r="AD48" i="4" s="1"/>
  <c r="AA51" i="4"/>
  <c r="AC51" i="4" s="1"/>
  <c r="AD51" i="4" s="1"/>
  <c r="AK55" i="4"/>
  <c r="AA97" i="4"/>
  <c r="AC97" i="4" s="1"/>
  <c r="AD97" i="4" s="1"/>
  <c r="AA136" i="4"/>
  <c r="AC136" i="4" s="1"/>
  <c r="AD136" i="4" s="1"/>
  <c r="AR136" i="4" s="1"/>
  <c r="AT136" i="4" s="1"/>
  <c r="AA85" i="4"/>
  <c r="AC85" i="4" s="1"/>
  <c r="AD85" i="4" s="1"/>
  <c r="AA90" i="4"/>
  <c r="AC90" i="4" s="1"/>
  <c r="AD90" i="4" s="1"/>
  <c r="AK138" i="4"/>
  <c r="AJ25" i="4"/>
  <c r="AA25" i="4"/>
  <c r="AC25" i="4" s="1"/>
  <c r="AD25" i="4" s="1"/>
  <c r="AR25" i="4" s="1"/>
  <c r="AT25" i="4" s="1"/>
  <c r="AA113" i="4"/>
  <c r="AC113" i="4" s="1"/>
  <c r="AD113" i="4" s="1"/>
  <c r="AA114" i="4"/>
  <c r="AC114" i="4" s="1"/>
  <c r="AD114" i="4" s="1"/>
  <c r="AA138" i="4"/>
  <c r="AC138" i="4" s="1"/>
  <c r="AD138" i="4" s="1"/>
  <c r="AJ104" i="4"/>
  <c r="AA104" i="4"/>
  <c r="AC104" i="4" s="1"/>
  <c r="AD104" i="4" s="1"/>
  <c r="AK114" i="4"/>
  <c r="AK16" i="4"/>
  <c r="AJ41" i="4"/>
  <c r="AA41" i="4"/>
  <c r="AC41" i="4" s="1"/>
  <c r="AD41" i="4" s="1"/>
  <c r="AR41" i="4" s="1"/>
  <c r="AT41" i="4" s="1"/>
  <c r="AA55" i="4"/>
  <c r="AC55" i="4" s="1"/>
  <c r="AD55" i="4" s="1"/>
  <c r="AK113" i="4"/>
  <c r="AA131" i="4"/>
  <c r="AC131" i="4" s="1"/>
  <c r="AD131" i="4" s="1"/>
  <c r="AR87" i="4"/>
  <c r="AT87" i="4" s="1"/>
  <c r="AR98" i="4"/>
  <c r="AT98" i="4" s="1"/>
  <c r="AR36" i="4"/>
  <c r="AT36" i="4" s="1"/>
  <c r="AR106" i="4"/>
  <c r="AT106" i="4" s="1"/>
  <c r="AO48" i="4"/>
  <c r="AG48" i="4"/>
  <c r="AI48" i="4" s="1"/>
  <c r="AG131" i="4"/>
  <c r="AI131" i="4" s="1"/>
  <c r="AO131" i="4"/>
  <c r="AG90" i="4"/>
  <c r="AI90" i="4" s="1"/>
  <c r="AO90" i="4"/>
  <c r="AJ31" i="4"/>
  <c r="AK31" i="4"/>
  <c r="AG117" i="4"/>
  <c r="AI117" i="4" s="1"/>
  <c r="AO117" i="4"/>
  <c r="AT7" i="5"/>
  <c r="AU7" i="5"/>
  <c r="AT83" i="5"/>
  <c r="AU83" i="5"/>
  <c r="AT146" i="5"/>
  <c r="AU146" i="5"/>
  <c r="AO57" i="4"/>
  <c r="AG57" i="4"/>
  <c r="AI57" i="4" s="1"/>
  <c r="AU500" i="5"/>
  <c r="AT500" i="5"/>
  <c r="AU294" i="5"/>
  <c r="AT294" i="5"/>
  <c r="AF73" i="4"/>
  <c r="AK73" i="4"/>
  <c r="AJ28" i="4"/>
  <c r="AK28" i="4"/>
  <c r="AJ36" i="4"/>
  <c r="AK36" i="4"/>
  <c r="AT109" i="5"/>
  <c r="AU109" i="5"/>
  <c r="AT337" i="5"/>
  <c r="AU337" i="5"/>
  <c r="AG104" i="4"/>
  <c r="AI104" i="4" s="1"/>
  <c r="AO104" i="4"/>
  <c r="AT434" i="5"/>
  <c r="AU434" i="5"/>
  <c r="AU424" i="5"/>
  <c r="AT424" i="5"/>
  <c r="AU171" i="5"/>
  <c r="AT171" i="5"/>
  <c r="AJ154" i="4"/>
  <c r="AK154" i="4"/>
  <c r="AT208" i="5"/>
  <c r="AU208" i="5"/>
  <c r="AU118" i="5"/>
  <c r="AT118" i="5"/>
  <c r="AG138" i="4"/>
  <c r="AI138" i="4" s="1"/>
  <c r="AO138" i="4"/>
  <c r="AT317" i="5"/>
  <c r="AU317" i="5"/>
  <c r="AJ115" i="4"/>
  <c r="AK115" i="4"/>
  <c r="AT461" i="5"/>
  <c r="AU461" i="5"/>
  <c r="AU159" i="5"/>
  <c r="AT159" i="5"/>
  <c r="AU303" i="5"/>
  <c r="AT303" i="5"/>
  <c r="AT520" i="5"/>
  <c r="AU520" i="5"/>
  <c r="AT347" i="5"/>
  <c r="AU347" i="5"/>
  <c r="AO33" i="4"/>
  <c r="AG33" i="4"/>
  <c r="AI33" i="4" s="1"/>
  <c r="AT101" i="5"/>
  <c r="AU101" i="5"/>
  <c r="AU495" i="5"/>
  <c r="AT495" i="5"/>
  <c r="AJ119" i="4"/>
  <c r="AK119" i="4"/>
  <c r="AT544" i="5"/>
  <c r="AU544" i="5"/>
  <c r="AT33" i="5"/>
  <c r="AU33" i="5"/>
  <c r="AU413" i="5"/>
  <c r="AT413" i="5"/>
  <c r="AU279" i="5"/>
  <c r="AT279" i="5"/>
  <c r="AJ32" i="4"/>
  <c r="AK32" i="4"/>
  <c r="AA16" i="4"/>
  <c r="AC16" i="4" s="1"/>
  <c r="AD16" i="4" s="1"/>
  <c r="AG51" i="4"/>
  <c r="AI51" i="4" s="1"/>
  <c r="AO51" i="4"/>
  <c r="AU135" i="5"/>
  <c r="AT135" i="5"/>
  <c r="AU251" i="5"/>
  <c r="AT251" i="5"/>
  <c r="AT180" i="5"/>
  <c r="AU180" i="5"/>
  <c r="AE13" i="5"/>
  <c r="AD13" i="5"/>
  <c r="AS13" i="5"/>
  <c r="AJ131" i="4"/>
  <c r="AK131" i="4"/>
  <c r="AO147" i="4"/>
  <c r="AG147" i="4"/>
  <c r="AI147" i="4" s="1"/>
  <c r="AO60" i="4"/>
  <c r="AG60" i="4"/>
  <c r="AI60" i="4" s="1"/>
  <c r="AU173" i="5"/>
  <c r="AT173" i="5"/>
  <c r="AR31" i="4"/>
  <c r="AT31" i="4" s="1"/>
  <c r="AJ78" i="4"/>
  <c r="AK78" i="4"/>
  <c r="AU183" i="5"/>
  <c r="AT183" i="5"/>
  <c r="AX182" i="5" s="1"/>
  <c r="AY182" i="5" s="1"/>
  <c r="AT392" i="5"/>
  <c r="AU392" i="5"/>
  <c r="AT464" i="5"/>
  <c r="AU464" i="5"/>
  <c r="AJ60" i="4"/>
  <c r="AK60" i="4"/>
  <c r="AJ139" i="4"/>
  <c r="AK139" i="4"/>
  <c r="AG121" i="4"/>
  <c r="AI121" i="4" s="1"/>
  <c r="AO121" i="4"/>
  <c r="AU100" i="5"/>
  <c r="AT100" i="5"/>
  <c r="AT160" i="5"/>
  <c r="AU160" i="5"/>
  <c r="AU167" i="5"/>
  <c r="AT167" i="5"/>
  <c r="AT286" i="5"/>
  <c r="AU286" i="5"/>
  <c r="AU362" i="5"/>
  <c r="AT362" i="5"/>
  <c r="AO107" i="4"/>
  <c r="AG107" i="4"/>
  <c r="AI107" i="4" s="1"/>
  <c r="AJ121" i="4"/>
  <c r="AK121" i="4"/>
  <c r="AU264" i="5"/>
  <c r="AT264" i="5"/>
  <c r="AJ53" i="4"/>
  <c r="AK53" i="4"/>
  <c r="AT479" i="5"/>
  <c r="AU479" i="5"/>
  <c r="AG153" i="4"/>
  <c r="AI153" i="4" s="1"/>
  <c r="AO153" i="4"/>
  <c r="AR112" i="4"/>
  <c r="AT112" i="4" s="1"/>
  <c r="AT454" i="5"/>
  <c r="AU454" i="5"/>
  <c r="AT34" i="5"/>
  <c r="AU34" i="5"/>
  <c r="AO80" i="4"/>
  <c r="AG80" i="4"/>
  <c r="AI80" i="4" s="1"/>
  <c r="AT187" i="5"/>
  <c r="AU187" i="5"/>
  <c r="AT223" i="5"/>
  <c r="AU223" i="5"/>
  <c r="AU449" i="5"/>
  <c r="AT449" i="5"/>
  <c r="AT181" i="5"/>
  <c r="AU181" i="5"/>
  <c r="AT206" i="5"/>
  <c r="AU206" i="5"/>
  <c r="AU481" i="5"/>
  <c r="AT481" i="5"/>
  <c r="AU136" i="5"/>
  <c r="AT136" i="5"/>
  <c r="AG13" i="4"/>
  <c r="AI13" i="4" s="1"/>
  <c r="AO13" i="4"/>
  <c r="AU258" i="5"/>
  <c r="AT258" i="5"/>
  <c r="AX257" i="5" s="1"/>
  <c r="AY257" i="5" s="1"/>
  <c r="AT397" i="5"/>
  <c r="AU397" i="5"/>
  <c r="AU252" i="5"/>
  <c r="AT252" i="5"/>
  <c r="AJ147" i="4"/>
  <c r="AK147" i="4"/>
  <c r="AU254" i="5"/>
  <c r="AT254" i="5"/>
  <c r="AU365" i="5"/>
  <c r="AT365" i="5"/>
  <c r="AU85" i="5"/>
  <c r="AT85" i="5"/>
  <c r="AU165" i="5"/>
  <c r="AT165" i="5"/>
  <c r="AG113" i="4"/>
  <c r="AI113" i="4" s="1"/>
  <c r="AO113" i="4"/>
  <c r="AT448" i="5"/>
  <c r="AU448" i="5"/>
  <c r="AT161" i="5"/>
  <c r="AU161" i="5"/>
  <c r="AJ110" i="4"/>
  <c r="AK110" i="4"/>
  <c r="AT331" i="5"/>
  <c r="AU331" i="5"/>
  <c r="AU395" i="5"/>
  <c r="AT395" i="5"/>
  <c r="AT282" i="5"/>
  <c r="AU282" i="5"/>
  <c r="AT192" i="5"/>
  <c r="AU192" i="5"/>
  <c r="AU456" i="5"/>
  <c r="AT456" i="5"/>
  <c r="AU329" i="5"/>
  <c r="AT329" i="5"/>
  <c r="AU515" i="5"/>
  <c r="AT515" i="5"/>
  <c r="AT43" i="5"/>
  <c r="AU43" i="5"/>
  <c r="AU538" i="5"/>
  <c r="AT538" i="5"/>
  <c r="AT521" i="5"/>
  <c r="AU521" i="5"/>
  <c r="AU408" i="5"/>
  <c r="AT408" i="5"/>
  <c r="AU274" i="5"/>
  <c r="AT274" i="5"/>
  <c r="AG129" i="4"/>
  <c r="AI129" i="4" s="1"/>
  <c r="AO129" i="4"/>
  <c r="AF91" i="4"/>
  <c r="AK91" i="4"/>
  <c r="AO88" i="4"/>
  <c r="AG88" i="4"/>
  <c r="AI88" i="4" s="1"/>
  <c r="AU142" i="5"/>
  <c r="AT142" i="5"/>
  <c r="AU333" i="5"/>
  <c r="AT333" i="5"/>
  <c r="AT221" i="5"/>
  <c r="AU221" i="5"/>
  <c r="AT170" i="5"/>
  <c r="AU170" i="5"/>
  <c r="AU460" i="5"/>
  <c r="AT460" i="5"/>
  <c r="AU253" i="5"/>
  <c r="AT253" i="5"/>
  <c r="AJ88" i="4"/>
  <c r="AK88" i="4"/>
  <c r="AT298" i="5"/>
  <c r="AU298" i="5"/>
  <c r="AG99" i="4"/>
  <c r="AI99" i="4" s="1"/>
  <c r="AO99" i="4"/>
  <c r="AO124" i="4"/>
  <c r="AG124" i="4"/>
  <c r="AI124" i="4" s="1"/>
  <c r="AT554" i="5"/>
  <c r="AU554" i="5"/>
  <c r="AG145" i="4"/>
  <c r="AI145" i="4" s="1"/>
  <c r="AO145" i="4"/>
  <c r="AJ56" i="4"/>
  <c r="AK56" i="4"/>
  <c r="AT491" i="5"/>
  <c r="AU491" i="5"/>
  <c r="AJ149" i="4"/>
  <c r="AK149" i="4"/>
  <c r="AU348" i="5"/>
  <c r="AT348" i="5"/>
  <c r="AT485" i="5"/>
  <c r="AU485" i="5"/>
  <c r="AU87" i="5"/>
  <c r="AT87" i="5"/>
  <c r="AU432" i="5"/>
  <c r="AT432" i="5"/>
  <c r="AJ146" i="4"/>
  <c r="AK146" i="4"/>
  <c r="AG56" i="4"/>
  <c r="AI56" i="4" s="1"/>
  <c r="AO56" i="4"/>
  <c r="AU467" i="5"/>
  <c r="AT467" i="5"/>
  <c r="AT269" i="5"/>
  <c r="AU269" i="5"/>
  <c r="AR53" i="4"/>
  <c r="AT53" i="4" s="1"/>
  <c r="AJ156" i="4"/>
  <c r="AK156" i="4"/>
  <c r="AU121" i="5"/>
  <c r="AT121" i="5"/>
  <c r="AU288" i="5"/>
  <c r="AT288" i="5"/>
  <c r="AU203" i="5"/>
  <c r="AT203" i="5"/>
  <c r="AU488" i="5"/>
  <c r="AT488" i="5"/>
  <c r="AU429" i="5"/>
  <c r="AT429" i="5"/>
  <c r="AU260" i="5"/>
  <c r="AT260" i="5"/>
  <c r="AT290" i="5"/>
  <c r="AU290" i="5"/>
  <c r="AT37" i="5"/>
  <c r="AU37" i="5"/>
  <c r="AJ106" i="4"/>
  <c r="AK106" i="4"/>
  <c r="AU40" i="5"/>
  <c r="AT40" i="5"/>
  <c r="AU144" i="5"/>
  <c r="AT144" i="5"/>
  <c r="AA11" i="4"/>
  <c r="AC11" i="4" s="1"/>
  <c r="AD11" i="4" s="1"/>
  <c r="AT557" i="5"/>
  <c r="AU557" i="5"/>
  <c r="AU482" i="5"/>
  <c r="AT482" i="5"/>
  <c r="AT176" i="5"/>
  <c r="AX175" i="5" s="1"/>
  <c r="AY175" i="5" s="1"/>
  <c r="AU176" i="5"/>
  <c r="AU311" i="5"/>
  <c r="AT311" i="5"/>
  <c r="AT149" i="5"/>
  <c r="AU149" i="5"/>
  <c r="AJ33" i="4"/>
  <c r="AK33" i="4"/>
  <c r="AU471" i="5"/>
  <c r="AT471" i="5"/>
  <c r="AG146" i="4"/>
  <c r="AI146" i="4" s="1"/>
  <c r="AO146" i="4"/>
  <c r="AU341" i="5"/>
  <c r="AT341" i="5"/>
  <c r="AO42" i="4"/>
  <c r="AG42" i="4"/>
  <c r="AI42" i="4" s="1"/>
  <c r="AU338" i="5"/>
  <c r="AT338" i="5"/>
  <c r="AU498" i="5"/>
  <c r="AT498" i="5"/>
  <c r="AU417" i="5"/>
  <c r="AT417" i="5"/>
  <c r="AG28" i="4"/>
  <c r="AI28" i="4" s="1"/>
  <c r="AO28" i="4"/>
  <c r="AT275" i="5"/>
  <c r="AU275" i="5"/>
  <c r="AU422" i="5"/>
  <c r="AT422" i="5"/>
  <c r="AT343" i="5"/>
  <c r="AU343" i="5"/>
  <c r="AU280" i="5"/>
  <c r="AT280" i="5"/>
  <c r="AU319" i="5"/>
  <c r="AT319" i="5"/>
  <c r="AT74" i="5"/>
  <c r="AU74" i="5"/>
  <c r="AT465" i="5"/>
  <c r="AU465" i="5"/>
  <c r="AG29" i="4"/>
  <c r="AI29" i="4" s="1"/>
  <c r="AO29" i="4"/>
  <c r="AU427" i="5"/>
  <c r="AT427" i="5"/>
  <c r="AU268" i="5"/>
  <c r="AT268" i="5"/>
  <c r="AT304" i="5"/>
  <c r="AU304" i="5"/>
  <c r="AU386" i="5"/>
  <c r="AT386" i="5"/>
  <c r="AJ48" i="4"/>
  <c r="AK48" i="4"/>
  <c r="AT459" i="5"/>
  <c r="AU459" i="5"/>
  <c r="AG154" i="4"/>
  <c r="AI154" i="4" s="1"/>
  <c r="AO154" i="4"/>
  <c r="AT70" i="5"/>
  <c r="AU70" i="5"/>
  <c r="AT339" i="5"/>
  <c r="AU339" i="5"/>
  <c r="AU342" i="5"/>
  <c r="AT342" i="5"/>
  <c r="AU256" i="5"/>
  <c r="AT256" i="5"/>
  <c r="AG15" i="4"/>
  <c r="AI15" i="4" s="1"/>
  <c r="AO15" i="4"/>
  <c r="AK11" i="4"/>
  <c r="AT296" i="5"/>
  <c r="AU296" i="5"/>
  <c r="AU489" i="5"/>
  <c r="AT489" i="5"/>
  <c r="AU232" i="5"/>
  <c r="AT232" i="5"/>
  <c r="AU262" i="5"/>
  <c r="AT262" i="5"/>
  <c r="AU499" i="5"/>
  <c r="AT499" i="5"/>
  <c r="AJ90" i="4"/>
  <c r="AK90" i="4"/>
  <c r="AJ112" i="4"/>
  <c r="AK112" i="4"/>
  <c r="AU216" i="5"/>
  <c r="AT216" i="5"/>
  <c r="AU130" i="5"/>
  <c r="AT130" i="5"/>
  <c r="AO115" i="4"/>
  <c r="AG115" i="4"/>
  <c r="AI115" i="4" s="1"/>
  <c r="AT69" i="5"/>
  <c r="AU69" i="5"/>
  <c r="AU189" i="5"/>
  <c r="AT189" i="5"/>
  <c r="AJ43" i="4"/>
  <c r="AK43" i="4"/>
  <c r="AG92" i="4"/>
  <c r="AI92" i="4" s="1"/>
  <c r="AO92" i="4"/>
  <c r="AG119" i="4"/>
  <c r="AI119" i="4" s="1"/>
  <c r="AO119" i="4"/>
  <c r="AG65" i="4"/>
  <c r="AI65" i="4" s="1"/>
  <c r="AO65" i="4"/>
  <c r="AG110" i="4"/>
  <c r="AI110" i="4" s="1"/>
  <c r="AO110" i="4"/>
  <c r="AJ50" i="4"/>
  <c r="AK50" i="4"/>
  <c r="AJ87" i="4"/>
  <c r="AK87" i="4"/>
  <c r="AU433" i="5"/>
  <c r="AT433" i="5"/>
  <c r="AJ29" i="4"/>
  <c r="AK29" i="4"/>
  <c r="AT356" i="5"/>
  <c r="AU356" i="5"/>
  <c r="AU123" i="5"/>
  <c r="AT123" i="5"/>
  <c r="AT506" i="5"/>
  <c r="AU506" i="5"/>
  <c r="AO55" i="4"/>
  <c r="AG55" i="4"/>
  <c r="AI55" i="4" s="1"/>
  <c r="AU373" i="5"/>
  <c r="AT373" i="5"/>
  <c r="AJ42" i="4"/>
  <c r="AK42" i="4"/>
  <c r="AU215" i="5"/>
  <c r="AT215" i="5"/>
  <c r="AT484" i="5"/>
  <c r="AU484" i="5"/>
  <c r="AT332" i="5"/>
  <c r="AU332" i="5"/>
  <c r="AU151" i="5"/>
  <c r="AT151" i="5"/>
  <c r="AT436" i="5"/>
  <c r="AU436" i="5"/>
  <c r="AU399" i="5"/>
  <c r="AT399" i="5"/>
  <c r="AJ49" i="4"/>
  <c r="AK49" i="4"/>
  <c r="AT553" i="5"/>
  <c r="AU553" i="5"/>
  <c r="AT63" i="5"/>
  <c r="AU63" i="5"/>
  <c r="AT450" i="5"/>
  <c r="AU450" i="5"/>
  <c r="AU524" i="5"/>
  <c r="AT524" i="5"/>
  <c r="AR78" i="4"/>
  <c r="AT78" i="4" s="1"/>
  <c r="AG11" i="4"/>
  <c r="AI11" i="4" s="1"/>
  <c r="AO11" i="4"/>
  <c r="AT536" i="5"/>
  <c r="AU536" i="5"/>
  <c r="AU91" i="5"/>
  <c r="AT91" i="5"/>
  <c r="AU380" i="5"/>
  <c r="AT380" i="5"/>
  <c r="AU324" i="5"/>
  <c r="AT324" i="5"/>
  <c r="AT237" i="5"/>
  <c r="AU237" i="5"/>
  <c r="AU80" i="5"/>
  <c r="AT80" i="5"/>
  <c r="AQ13" i="5"/>
  <c r="AR13" i="5"/>
  <c r="AU59" i="5"/>
  <c r="AT59" i="5"/>
  <c r="AJ107" i="4"/>
  <c r="AK107" i="4"/>
  <c r="AT261" i="5"/>
  <c r="AU261" i="5"/>
  <c r="AU125" i="5"/>
  <c r="AT125" i="5"/>
  <c r="AU305" i="5"/>
  <c r="AT305" i="5"/>
  <c r="AG122" i="4"/>
  <c r="AI122" i="4" s="1"/>
  <c r="AO122" i="4"/>
  <c r="AT117" i="5"/>
  <c r="AU117" i="5"/>
  <c r="AT543" i="5"/>
  <c r="AU543" i="5"/>
  <c r="AU38" i="5"/>
  <c r="AT38" i="5"/>
  <c r="AG50" i="4"/>
  <c r="AI50" i="4" s="1"/>
  <c r="AO50" i="4"/>
  <c r="AU241" i="5"/>
  <c r="AT241" i="5"/>
  <c r="AU312" i="5"/>
  <c r="AT312" i="5"/>
  <c r="AT284" i="5"/>
  <c r="AU284" i="5"/>
  <c r="AU381" i="5"/>
  <c r="AT381" i="5"/>
  <c r="AU212" i="5"/>
  <c r="AT212" i="5"/>
  <c r="AT512" i="5"/>
  <c r="AU512" i="5"/>
  <c r="AT445" i="5"/>
  <c r="AU445" i="5"/>
  <c r="AT112" i="5"/>
  <c r="AU112" i="5"/>
  <c r="AU370" i="5"/>
  <c r="AT370" i="5"/>
  <c r="AU133" i="5"/>
  <c r="AT133" i="5"/>
  <c r="AG156" i="4"/>
  <c r="AI156" i="4" s="1"/>
  <c r="AO156" i="4"/>
  <c r="AT266" i="5"/>
  <c r="AU266" i="5"/>
  <c r="AO16" i="4"/>
  <c r="AG16" i="4"/>
  <c r="AI16" i="4" s="1"/>
  <c r="AT525" i="5" l="1"/>
  <c r="AU523" i="5"/>
  <c r="AX115" i="5"/>
  <c r="AY115" i="5" s="1"/>
  <c r="AU371" i="5"/>
  <c r="AT537" i="5"/>
  <c r="AX537" i="5" s="1"/>
  <c r="AY537" i="5" s="1"/>
  <c r="AT522" i="5"/>
  <c r="AU426" i="5"/>
  <c r="AU49" i="5"/>
  <c r="AT546" i="5"/>
  <c r="AT376" i="5"/>
  <c r="AT508" i="5"/>
  <c r="AX507" i="5" s="1"/>
  <c r="AY507" i="5" s="1"/>
  <c r="AT446" i="5"/>
  <c r="AX445" i="5" s="1"/>
  <c r="AY445" i="5" s="1"/>
  <c r="AU379" i="5"/>
  <c r="AT234" i="5"/>
  <c r="AU200" i="5"/>
  <c r="AU26" i="5"/>
  <c r="AA145" i="4"/>
  <c r="AC145" i="4" s="1"/>
  <c r="AD145" i="4" s="1"/>
  <c r="AU345" i="5"/>
  <c r="AT483" i="5"/>
  <c r="AX483" i="5" s="1"/>
  <c r="AY483" i="5" s="1"/>
  <c r="AK145" i="4"/>
  <c r="AX23" i="5"/>
  <c r="AY23" i="5" s="1"/>
  <c r="AU23" i="5"/>
  <c r="AK66" i="4"/>
  <c r="AF37" i="4"/>
  <c r="AU289" i="5"/>
  <c r="AX97" i="5"/>
  <c r="AY97" i="5" s="1"/>
  <c r="AK37" i="4"/>
  <c r="AT530" i="5"/>
  <c r="AX184" i="5"/>
  <c r="AY184" i="5" s="1"/>
  <c r="AU534" i="5"/>
  <c r="AT105" i="5"/>
  <c r="AX105" i="5" s="1"/>
  <c r="AY105" i="5" s="1"/>
  <c r="AT463" i="5"/>
  <c r="AX463" i="5" s="1"/>
  <c r="AY463" i="5" s="1"/>
  <c r="AU265" i="5"/>
  <c r="AU97" i="5"/>
  <c r="AT243" i="5"/>
  <c r="AU226" i="5"/>
  <c r="AT213" i="5"/>
  <c r="AX212" i="5" s="1"/>
  <c r="AY212" i="5" s="1"/>
  <c r="AU532" i="5"/>
  <c r="AT540" i="5"/>
  <c r="AX539" i="5" s="1"/>
  <c r="AY539" i="5" s="1"/>
  <c r="AT470" i="5"/>
  <c r="AX470" i="5" s="1"/>
  <c r="AY470" i="5" s="1"/>
  <c r="AT469" i="5"/>
  <c r="AU509" i="5"/>
  <c r="AU184" i="5"/>
  <c r="AA46" i="4"/>
  <c r="AC46" i="4" s="1"/>
  <c r="AD46" i="4" s="1"/>
  <c r="AR46" i="4" s="1"/>
  <c r="AT46" i="4" s="1"/>
  <c r="AJ46" i="4"/>
  <c r="AU359" i="5"/>
  <c r="AA20" i="4"/>
  <c r="AC20" i="4" s="1"/>
  <c r="AD20" i="4" s="1"/>
  <c r="AG66" i="4"/>
  <c r="AI66" i="4" s="1"/>
  <c r="AR66" i="4" s="1"/>
  <c r="AT66" i="4" s="1"/>
  <c r="AK20" i="4"/>
  <c r="AU327" i="5"/>
  <c r="AU297" i="5"/>
  <c r="AT466" i="5"/>
  <c r="AX466" i="5" s="1"/>
  <c r="AY466" i="5" s="1"/>
  <c r="AU188" i="5"/>
  <c r="AU166" i="5"/>
  <c r="AU477" i="5"/>
  <c r="AT518" i="5"/>
  <c r="AX517" i="5" s="1"/>
  <c r="AY517" i="5" s="1"/>
  <c r="AU514" i="5"/>
  <c r="AU22" i="5"/>
  <c r="AU511" i="5"/>
  <c r="AR43" i="4"/>
  <c r="AT43" i="4" s="1"/>
  <c r="AU62" i="5"/>
  <c r="AX49" i="5"/>
  <c r="AY49" i="5" s="1"/>
  <c r="AR18" i="4"/>
  <c r="AT18" i="4" s="1"/>
  <c r="AU349" i="5"/>
  <c r="AA14" i="4"/>
  <c r="AC14" i="4" s="1"/>
  <c r="AD14" i="4" s="1"/>
  <c r="AR149" i="4"/>
  <c r="AT149" i="4" s="1"/>
  <c r="AK14" i="4"/>
  <c r="AU148" i="5"/>
  <c r="AU137" i="5"/>
  <c r="AT201" i="5"/>
  <c r="AX201" i="5" s="1"/>
  <c r="AY201" i="5" s="1"/>
  <c r="AA61" i="4"/>
  <c r="AC61" i="4" s="1"/>
  <c r="AD61" i="4" s="1"/>
  <c r="AR61" i="4" s="1"/>
  <c r="AT61" i="4" s="1"/>
  <c r="AT42" i="5"/>
  <c r="AX42" i="5" s="1"/>
  <c r="AY42" i="5" s="1"/>
  <c r="AU351" i="5"/>
  <c r="AU21" i="5"/>
  <c r="AX21" i="5"/>
  <c r="AY21" i="5" s="1"/>
  <c r="AK61" i="4"/>
  <c r="AT214" i="5"/>
  <c r="AX214" i="5" s="1"/>
  <c r="AY214" i="5" s="1"/>
  <c r="AT267" i="5"/>
  <c r="AX267" i="5" s="1"/>
  <c r="AY267" i="5" s="1"/>
  <c r="AT186" i="5"/>
  <c r="AX186" i="5" s="1"/>
  <c r="AY186" i="5" s="1"/>
  <c r="AT301" i="5"/>
  <c r="AX300" i="5" s="1"/>
  <c r="AY300" i="5" s="1"/>
  <c r="AU300" i="5"/>
  <c r="AT313" i="5"/>
  <c r="AX313" i="5" s="1"/>
  <c r="AY313" i="5" s="1"/>
  <c r="AU382" i="5"/>
  <c r="AX148" i="5"/>
  <c r="AY148" i="5" s="1"/>
  <c r="AT451" i="5"/>
  <c r="AX450" i="5" s="1"/>
  <c r="AY450" i="5" s="1"/>
  <c r="AT486" i="5"/>
  <c r="AX485" i="5" s="1"/>
  <c r="AY485" i="5" s="1"/>
  <c r="AA57" i="4"/>
  <c r="AC57" i="4" s="1"/>
  <c r="AD57" i="4" s="1"/>
  <c r="AR57" i="4" s="1"/>
  <c r="AT57" i="4" s="1"/>
  <c r="AF22" i="4"/>
  <c r="AO22" i="4" s="1"/>
  <c r="AA142" i="4"/>
  <c r="AC142" i="4" s="1"/>
  <c r="AD142" i="4" s="1"/>
  <c r="AX147" i="5"/>
  <c r="AY147" i="5" s="1"/>
  <c r="AT248" i="5"/>
  <c r="AX247" i="5" s="1"/>
  <c r="AY247" i="5" s="1"/>
  <c r="AU205" i="5"/>
  <c r="AT478" i="5"/>
  <c r="AX477" i="5" s="1"/>
  <c r="AY477" i="5" s="1"/>
  <c r="AK15" i="4"/>
  <c r="AU31" i="5"/>
  <c r="AU283" i="5"/>
  <c r="AO142" i="4"/>
  <c r="AT390" i="5"/>
  <c r="AX389" i="5" s="1"/>
  <c r="AY389" i="5" s="1"/>
  <c r="AK57" i="4"/>
  <c r="AA15" i="4"/>
  <c r="AC15" i="4" s="1"/>
  <c r="AD15" i="4" s="1"/>
  <c r="AR15" i="4" s="1"/>
  <c r="AT15" i="4" s="1"/>
  <c r="AT316" i="5"/>
  <c r="AX316" i="5" s="1"/>
  <c r="AY316" i="5" s="1"/>
  <c r="AK142" i="4"/>
  <c r="AT444" i="5"/>
  <c r="AX444" i="5" s="1"/>
  <c r="AY444" i="5" s="1"/>
  <c r="AT58" i="5"/>
  <c r="AX58" i="5" s="1"/>
  <c r="AY58" i="5" s="1"/>
  <c r="AT374" i="5"/>
  <c r="AX373" i="5" s="1"/>
  <c r="AY373" i="5" s="1"/>
  <c r="AT455" i="5"/>
  <c r="AX454" i="5" s="1"/>
  <c r="AY454" i="5" s="1"/>
  <c r="AT360" i="5"/>
  <c r="AT308" i="5"/>
  <c r="AX308" i="5" s="1"/>
  <c r="AY308" i="5" s="1"/>
  <c r="AT361" i="5"/>
  <c r="AX361" i="5" s="1"/>
  <c r="AY361" i="5" s="1"/>
  <c r="AX278" i="5"/>
  <c r="AY278" i="5" s="1"/>
  <c r="AX62" i="5"/>
  <c r="AY62" i="5" s="1"/>
  <c r="AU400" i="5"/>
  <c r="AU32" i="5"/>
  <c r="AT48" i="5"/>
  <c r="AX48" i="5" s="1"/>
  <c r="AY48" i="5" s="1"/>
  <c r="AU363" i="5"/>
  <c r="AU138" i="5"/>
  <c r="AT306" i="5"/>
  <c r="AX306" i="5" s="1"/>
  <c r="AY306" i="5" s="1"/>
  <c r="AU245" i="5"/>
  <c r="AT145" i="5"/>
  <c r="AX144" i="5" s="1"/>
  <c r="AY144" i="5" s="1"/>
  <c r="AU421" i="5"/>
  <c r="AX20" i="5"/>
  <c r="AY20" i="5" s="1"/>
  <c r="AT113" i="5"/>
  <c r="AX113" i="5" s="1"/>
  <c r="AY113" i="5" s="1"/>
  <c r="AU552" i="5"/>
  <c r="AU55" i="5"/>
  <c r="AT222" i="5"/>
  <c r="AX222" i="5" s="1"/>
  <c r="AY222" i="5" s="1"/>
  <c r="AT366" i="5"/>
  <c r="AX365" i="5" s="1"/>
  <c r="AY365" i="5" s="1"/>
  <c r="AT36" i="5"/>
  <c r="AX35" i="5" s="1"/>
  <c r="AY35" i="5" s="1"/>
  <c r="AX116" i="5"/>
  <c r="AY116" i="5" s="1"/>
  <c r="AU309" i="5"/>
  <c r="AU336" i="5"/>
  <c r="AU416" i="5"/>
  <c r="AT140" i="5"/>
  <c r="AX139" i="5" s="1"/>
  <c r="AT295" i="5"/>
  <c r="AX294" i="5" s="1"/>
  <c r="AY294" i="5" s="1"/>
  <c r="AT302" i="5"/>
  <c r="AX302" i="5" s="1"/>
  <c r="AY302" i="5" s="1"/>
  <c r="AT90" i="5"/>
  <c r="AX90" i="5" s="1"/>
  <c r="AY90" i="5" s="1"/>
  <c r="AU353" i="5"/>
  <c r="AT178" i="5"/>
  <c r="AX177" i="5" s="1"/>
  <c r="AY177" i="5" s="1"/>
  <c r="AT378" i="5"/>
  <c r="AX378" i="5" s="1"/>
  <c r="AY378" i="5" s="1"/>
  <c r="AT475" i="5"/>
  <c r="AX475" i="5" s="1"/>
  <c r="AY475" i="5" s="1"/>
  <c r="AT462" i="5"/>
  <c r="AU517" i="5"/>
  <c r="AT344" i="5"/>
  <c r="AX343" i="5" s="1"/>
  <c r="AY343" i="5" s="1"/>
  <c r="AT94" i="5"/>
  <c r="AX94" i="5" s="1"/>
  <c r="AY94" i="5" s="1"/>
  <c r="AA135" i="4"/>
  <c r="AC135" i="4" s="1"/>
  <c r="AD135" i="4" s="1"/>
  <c r="AA125" i="4"/>
  <c r="AC125" i="4" s="1"/>
  <c r="AD125" i="4" s="1"/>
  <c r="AT158" i="5"/>
  <c r="AX158" i="5" s="1"/>
  <c r="AY158" i="5" s="1"/>
  <c r="AK125" i="4"/>
  <c r="AT259" i="5"/>
  <c r="AX258" i="5" s="1"/>
  <c r="AY258" i="5" s="1"/>
  <c r="AU438" i="5"/>
  <c r="AT119" i="5"/>
  <c r="AX118" i="5" s="1"/>
  <c r="AY118" i="5" s="1"/>
  <c r="AU394" i="5"/>
  <c r="AT155" i="5"/>
  <c r="AU504" i="5"/>
  <c r="AU193" i="5"/>
  <c r="AU270" i="5"/>
  <c r="AX46" i="5"/>
  <c r="AY46" i="5" s="1"/>
  <c r="AU385" i="5"/>
  <c r="AT194" i="5"/>
  <c r="AX193" i="5" s="1"/>
  <c r="AY193" i="5" s="1"/>
  <c r="AA39" i="4"/>
  <c r="AC39" i="4" s="1"/>
  <c r="AD39" i="4" s="1"/>
  <c r="AT428" i="5"/>
  <c r="AX427" i="5" s="1"/>
  <c r="AY427" i="5" s="1"/>
  <c r="AT556" i="5"/>
  <c r="AX556" i="5" s="1"/>
  <c r="AY556" i="5" s="1"/>
  <c r="AT494" i="5"/>
  <c r="AX494" i="5" s="1"/>
  <c r="AY494" i="5" s="1"/>
  <c r="AT76" i="5"/>
  <c r="AX76" i="5" s="1"/>
  <c r="AY76" i="5" s="1"/>
  <c r="AK39" i="4"/>
  <c r="AU502" i="5"/>
  <c r="AT404" i="5"/>
  <c r="AU541" i="5"/>
  <c r="AU46" i="5"/>
  <c r="AT244" i="5"/>
  <c r="AT383" i="5"/>
  <c r="AX382" i="5" s="1"/>
  <c r="AY382" i="5" s="1"/>
  <c r="AU440" i="5"/>
  <c r="AX53" i="5"/>
  <c r="AY53" i="5" s="1"/>
  <c r="AX54" i="5"/>
  <c r="AY54" i="5" s="1"/>
  <c r="AU425" i="5"/>
  <c r="AU126" i="5"/>
  <c r="AU106" i="5"/>
  <c r="AT174" i="5"/>
  <c r="AX173" i="5" s="1"/>
  <c r="AY173" i="5" s="1"/>
  <c r="AT335" i="5"/>
  <c r="AX335" i="5" s="1"/>
  <c r="AY335" i="5" s="1"/>
  <c r="AT111" i="5"/>
  <c r="AX111" i="5" s="1"/>
  <c r="AY111" i="5" s="1"/>
  <c r="AT277" i="5"/>
  <c r="AX277" i="5" s="1"/>
  <c r="AY277" i="5" s="1"/>
  <c r="AT325" i="5"/>
  <c r="AX324" i="5" s="1"/>
  <c r="AY324" i="5" s="1"/>
  <c r="AT67" i="5"/>
  <c r="AX67" i="5" s="1"/>
  <c r="AY67" i="5" s="1"/>
  <c r="AT210" i="5"/>
  <c r="AX209" i="5" s="1"/>
  <c r="AY209" i="5" s="1"/>
  <c r="AT310" i="5"/>
  <c r="AX309" i="5" s="1"/>
  <c r="AY309" i="5" s="1"/>
  <c r="AT555" i="5"/>
  <c r="AX122" i="5"/>
  <c r="AU50" i="5"/>
  <c r="AT402" i="5"/>
  <c r="AT551" i="5"/>
  <c r="AX551" i="5" s="1"/>
  <c r="AY551" i="5" s="1"/>
  <c r="AX80" i="5"/>
  <c r="AY80" i="5" s="1"/>
  <c r="AT318" i="5"/>
  <c r="AX318" i="5" s="1"/>
  <c r="AY318" i="5" s="1"/>
  <c r="AT12" i="5"/>
  <c r="AU476" i="5"/>
  <c r="AU122" i="5"/>
  <c r="AT354" i="5"/>
  <c r="AX353" i="5" s="1"/>
  <c r="AY353" i="5" s="1"/>
  <c r="AT60" i="5"/>
  <c r="AX59" i="5" s="1"/>
  <c r="AY59" i="5" s="1"/>
  <c r="AT452" i="5"/>
  <c r="AX451" i="5" s="1"/>
  <c r="AY451" i="5" s="1"/>
  <c r="AT120" i="5"/>
  <c r="AX120" i="5" s="1"/>
  <c r="AY120" i="5" s="1"/>
  <c r="AU116" i="5"/>
  <c r="AT104" i="5"/>
  <c r="AX103" i="5" s="1"/>
  <c r="AY103" i="5" s="1"/>
  <c r="AT150" i="5"/>
  <c r="AX150" i="5" s="1"/>
  <c r="AY150" i="5" s="1"/>
  <c r="AU533" i="5"/>
  <c r="AU369" i="5"/>
  <c r="AT403" i="5"/>
  <c r="AU163" i="5"/>
  <c r="AK22" i="4"/>
  <c r="AT217" i="5"/>
  <c r="AX216" i="5" s="1"/>
  <c r="AY216" i="5" s="1"/>
  <c r="AX240" i="5"/>
  <c r="AY240" i="5" s="1"/>
  <c r="AU25" i="5"/>
  <c r="AU453" i="5"/>
  <c r="AU198" i="5"/>
  <c r="AU384" i="5"/>
  <c r="AT231" i="5"/>
  <c r="AX231" i="5" s="1"/>
  <c r="AY231" i="5" s="1"/>
  <c r="AU505" i="5"/>
  <c r="AU77" i="5"/>
  <c r="AU350" i="5"/>
  <c r="AT263" i="5"/>
  <c r="AX262" i="5" s="1"/>
  <c r="AY262" i="5" s="1"/>
  <c r="AT239" i="5"/>
  <c r="AX239" i="5" s="1"/>
  <c r="AY239" i="5" s="1"/>
  <c r="AO125" i="4"/>
  <c r="AT411" i="5"/>
  <c r="AX411" i="5" s="1"/>
  <c r="AY411" i="5" s="1"/>
  <c r="AU398" i="5"/>
  <c r="AK135" i="4"/>
  <c r="AT110" i="5"/>
  <c r="AX109" i="5" s="1"/>
  <c r="AY109" i="5" s="1"/>
  <c r="AX73" i="5"/>
  <c r="AY73" i="5" s="1"/>
  <c r="AU420" i="5"/>
  <c r="AU285" i="5"/>
  <c r="AT501" i="5"/>
  <c r="AX500" i="5" s="1"/>
  <c r="AY500" i="5" s="1"/>
  <c r="AU114" i="5"/>
  <c r="AU44" i="5"/>
  <c r="AU73" i="5"/>
  <c r="AT220" i="5"/>
  <c r="AX219" i="5" s="1"/>
  <c r="AT82" i="5"/>
  <c r="AX81" i="5" s="1"/>
  <c r="AY81" i="5" s="1"/>
  <c r="AU406" i="5"/>
  <c r="AU24" i="5"/>
  <c r="AU548" i="5"/>
  <c r="AT236" i="5"/>
  <c r="AX236" i="5" s="1"/>
  <c r="AY236" i="5" s="1"/>
  <c r="AU128" i="5"/>
  <c r="AU468" i="5"/>
  <c r="AU387" i="5"/>
  <c r="AX143" i="5"/>
  <c r="AY143" i="5" s="1"/>
  <c r="AU115" i="5"/>
  <c r="AX202" i="5"/>
  <c r="AY202" i="5" s="1"/>
  <c r="AU437" i="5"/>
  <c r="AT513" i="5"/>
  <c r="AX512" i="5" s="1"/>
  <c r="AY512" i="5" s="1"/>
  <c r="AT377" i="5"/>
  <c r="AX127" i="5"/>
  <c r="AY127" i="5" s="1"/>
  <c r="AT441" i="5"/>
  <c r="AX440" i="5" s="1"/>
  <c r="AY440" i="5" s="1"/>
  <c r="AT492" i="5"/>
  <c r="AX491" i="5" s="1"/>
  <c r="AY491" i="5" s="1"/>
  <c r="AT168" i="5"/>
  <c r="AX168" i="5" s="1"/>
  <c r="AY168" i="5" s="1"/>
  <c r="AU19" i="5"/>
  <c r="AT410" i="5"/>
  <c r="AU375" i="5"/>
  <c r="AT558" i="5"/>
  <c r="AX557" i="5" s="1"/>
  <c r="AY557" i="5" s="1"/>
  <c r="AU204" i="5"/>
  <c r="AU314" i="5"/>
  <c r="AU240" i="5"/>
  <c r="AT228" i="5"/>
  <c r="AT229" i="5"/>
  <c r="AX229" i="5" s="1"/>
  <c r="AY229" i="5" s="1"/>
  <c r="AU320" i="5"/>
  <c r="AU560" i="5"/>
  <c r="AU153" i="5"/>
  <c r="AT99" i="5"/>
  <c r="AX99" i="5" s="1"/>
  <c r="AY99" i="5" s="1"/>
  <c r="AT157" i="5"/>
  <c r="AT238" i="5"/>
  <c r="AT405" i="5"/>
  <c r="AU108" i="5"/>
  <c r="AU143" i="5"/>
  <c r="AT134" i="5"/>
  <c r="AX134" i="5" s="1"/>
  <c r="AY134" i="5" s="1"/>
  <c r="AR68" i="4"/>
  <c r="AT68" i="4" s="1"/>
  <c r="AU218" i="5"/>
  <c r="AT496" i="5"/>
  <c r="AX495" i="5" s="1"/>
  <c r="AY495" i="5" s="1"/>
  <c r="AT27" i="5"/>
  <c r="AX26" i="5" s="1"/>
  <c r="AY26" i="5" s="1"/>
  <c r="AX72" i="5"/>
  <c r="AY72" i="5" s="1"/>
  <c r="AU293" i="5"/>
  <c r="AU472" i="5"/>
  <c r="AX19" i="5"/>
  <c r="AY19" i="5" s="1"/>
  <c r="AT132" i="5"/>
  <c r="AX132" i="5" s="1"/>
  <c r="AY132" i="5" s="1"/>
  <c r="F69" i="1"/>
  <c r="AT473" i="5"/>
  <c r="AX472" i="5" s="1"/>
  <c r="AY472" i="5" s="1"/>
  <c r="AU68" i="5"/>
  <c r="AT197" i="5"/>
  <c r="AX197" i="5" s="1"/>
  <c r="AY197" i="5" s="1"/>
  <c r="AT179" i="5"/>
  <c r="AX179" i="5" s="1"/>
  <c r="AY179" i="5" s="1"/>
  <c r="AX198" i="5"/>
  <c r="AY198" i="5" s="1"/>
  <c r="AX218" i="5"/>
  <c r="AT388" i="5"/>
  <c r="AX388" i="5" s="1"/>
  <c r="AY388" i="5" s="1"/>
  <c r="AT75" i="5"/>
  <c r="AX68" i="5"/>
  <c r="AY68" i="5" s="1"/>
  <c r="AU209" i="5"/>
  <c r="AT66" i="5"/>
  <c r="AX254" i="5"/>
  <c r="AY254" i="5" s="1"/>
  <c r="AX255" i="5"/>
  <c r="AY255" i="5" s="1"/>
  <c r="AT141" i="5"/>
  <c r="AX141" i="5" s="1"/>
  <c r="AY141" i="5" s="1"/>
  <c r="AU447" i="5"/>
  <c r="AU29" i="5"/>
  <c r="AU95" i="5"/>
  <c r="AA12" i="4"/>
  <c r="AC12" i="4" s="1"/>
  <c r="AD12" i="4" s="1"/>
  <c r="AU255" i="5"/>
  <c r="AT401" i="5"/>
  <c r="AU93" i="5"/>
  <c r="AT65" i="5"/>
  <c r="AT529" i="5"/>
  <c r="AU53" i="5"/>
  <c r="AT528" i="5"/>
  <c r="AU35" i="5"/>
  <c r="AU45" i="5"/>
  <c r="AU199" i="5"/>
  <c r="AU414" i="5"/>
  <c r="AU103" i="5"/>
  <c r="AX128" i="5"/>
  <c r="AY128" i="5" s="1"/>
  <c r="AX102" i="5"/>
  <c r="AY102" i="5" s="1"/>
  <c r="AT291" i="5"/>
  <c r="AX290" i="5" s="1"/>
  <c r="AY290" i="5" s="1"/>
  <c r="AX71" i="5"/>
  <c r="AY71" i="5" s="1"/>
  <c r="AX101" i="5"/>
  <c r="AY101" i="5" s="1"/>
  <c r="AT321" i="5"/>
  <c r="AX321" i="5" s="1"/>
  <c r="AY321" i="5" s="1"/>
  <c r="AU480" i="5"/>
  <c r="AU20" i="5"/>
  <c r="AU102" i="5"/>
  <c r="AX208" i="5"/>
  <c r="AY208" i="5" s="1"/>
  <c r="AT559" i="5"/>
  <c r="AX559" i="5" s="1"/>
  <c r="AY559" i="5" s="1"/>
  <c r="AX129" i="5"/>
  <c r="AY129" i="5" s="1"/>
  <c r="AU219" i="5"/>
  <c r="AU247" i="5"/>
  <c r="AU129" i="5"/>
  <c r="AT323" i="5"/>
  <c r="AX323" i="5" s="1"/>
  <c r="AY323" i="5" s="1"/>
  <c r="AT272" i="5"/>
  <c r="AX272" i="5" s="1"/>
  <c r="AY272" i="5" s="1"/>
  <c r="AF26" i="4"/>
  <c r="AK26" i="4"/>
  <c r="AA26" i="4"/>
  <c r="AC26" i="4" s="1"/>
  <c r="AD26" i="4" s="1"/>
  <c r="AT409" i="5"/>
  <c r="AX408" i="5" s="1"/>
  <c r="AY408" i="5" s="1"/>
  <c r="AA129" i="4"/>
  <c r="AC129" i="4" s="1"/>
  <c r="AD129" i="4" s="1"/>
  <c r="AR129" i="4" s="1"/>
  <c r="AT129" i="4" s="1"/>
  <c r="AO12" i="4"/>
  <c r="AA72" i="4"/>
  <c r="AC72" i="4" s="1"/>
  <c r="AD72" i="4" s="1"/>
  <c r="AR72" i="4" s="1"/>
  <c r="AT72" i="4" s="1"/>
  <c r="AK129" i="4"/>
  <c r="AT11" i="5"/>
  <c r="AU393" i="5"/>
  <c r="AU407" i="5"/>
  <c r="AU185" i="5"/>
  <c r="AA109" i="4"/>
  <c r="AC109" i="4" s="1"/>
  <c r="AD109" i="4" s="1"/>
  <c r="AK109" i="4"/>
  <c r="AA148" i="4"/>
  <c r="AC148" i="4" s="1"/>
  <c r="AD148" i="4" s="1"/>
  <c r="AU64" i="5"/>
  <c r="AU307" i="5"/>
  <c r="AK148" i="4"/>
  <c r="AK72" i="4"/>
  <c r="AU287" i="5"/>
  <c r="AO152" i="4"/>
  <c r="AR152" i="4" s="1"/>
  <c r="AT152" i="4" s="1"/>
  <c r="AK67" i="4"/>
  <c r="AJ67" i="4"/>
  <c r="AA133" i="4"/>
  <c r="AC133" i="4" s="1"/>
  <c r="AD133" i="4" s="1"/>
  <c r="AT340" i="5"/>
  <c r="AX339" i="5" s="1"/>
  <c r="AY339" i="5" s="1"/>
  <c r="AA79" i="4"/>
  <c r="AC79" i="4" s="1"/>
  <c r="AD79" i="4" s="1"/>
  <c r="AJ152" i="4"/>
  <c r="AR108" i="4"/>
  <c r="AT108" i="4" s="1"/>
  <c r="AT10" i="5"/>
  <c r="AT249" i="5"/>
  <c r="AO67" i="4"/>
  <c r="AR67" i="4" s="1"/>
  <c r="AT67" i="4" s="1"/>
  <c r="AK79" i="4"/>
  <c r="AK133" i="4"/>
  <c r="AF133" i="4"/>
  <c r="AG133" i="4" s="1"/>
  <c r="AI133" i="4" s="1"/>
  <c r="AK152" i="4"/>
  <c r="AU230" i="5"/>
  <c r="AU346" i="5"/>
  <c r="AT299" i="5"/>
  <c r="AX299" i="5" s="1"/>
  <c r="AY299" i="5" s="1"/>
  <c r="AA132" i="4"/>
  <c r="AC132" i="4" s="1"/>
  <c r="AD132" i="4" s="1"/>
  <c r="AJ132" i="4"/>
  <c r="AK132" i="4"/>
  <c r="AO105" i="4"/>
  <c r="AG105" i="4"/>
  <c r="AI105" i="4" s="1"/>
  <c r="AF101" i="4"/>
  <c r="AA101" i="4"/>
  <c r="AC101" i="4" s="1"/>
  <c r="AD101" i="4" s="1"/>
  <c r="AK101" i="4"/>
  <c r="AF21" i="4"/>
  <c r="AA21" i="4"/>
  <c r="AC21" i="4" s="1"/>
  <c r="AD21" i="4" s="1"/>
  <c r="AK21" i="4"/>
  <c r="AF24" i="4"/>
  <c r="AK24" i="4"/>
  <c r="AR81" i="4"/>
  <c r="AT81" i="4" s="1"/>
  <c r="AF10" i="4"/>
  <c r="AA10" i="4"/>
  <c r="AC10" i="4" s="1"/>
  <c r="AD10" i="4" s="1"/>
  <c r="AK10" i="4"/>
  <c r="AG140" i="4"/>
  <c r="AI140" i="4" s="1"/>
  <c r="AO140" i="4"/>
  <c r="AO132" i="4"/>
  <c r="AG132" i="4"/>
  <c r="AI132" i="4" s="1"/>
  <c r="AA62" i="4"/>
  <c r="AC62" i="4" s="1"/>
  <c r="AD62" i="4" s="1"/>
  <c r="AF62" i="4"/>
  <c r="AK62" i="4"/>
  <c r="AJ144" i="4"/>
  <c r="Z155" i="4"/>
  <c r="AF155" i="4" s="1"/>
  <c r="Z144" i="4"/>
  <c r="AF144" i="4" s="1"/>
  <c r="AJ155" i="4"/>
  <c r="AF59" i="4"/>
  <c r="AK59" i="4"/>
  <c r="AA59" i="4"/>
  <c r="AC59" i="4" s="1"/>
  <c r="AD59" i="4" s="1"/>
  <c r="AG79" i="4"/>
  <c r="AI79" i="4" s="1"/>
  <c r="AO79" i="4"/>
  <c r="AA94" i="4"/>
  <c r="AC94" i="4" s="1"/>
  <c r="AD94" i="4" s="1"/>
  <c r="AJ94" i="4"/>
  <c r="AF83" i="4"/>
  <c r="AA83" i="4"/>
  <c r="AC83" i="4" s="1"/>
  <c r="AD83" i="4" s="1"/>
  <c r="AK83" i="4"/>
  <c r="AU8" i="5"/>
  <c r="AJ130" i="4"/>
  <c r="Z141" i="4"/>
  <c r="AA141" i="4" s="1"/>
  <c r="AC141" i="4" s="1"/>
  <c r="AD141" i="4" s="1"/>
  <c r="AF94" i="4"/>
  <c r="AK94" i="4"/>
  <c r="AA24" i="4"/>
  <c r="AC24" i="4" s="1"/>
  <c r="AD24" i="4" s="1"/>
  <c r="AJ24" i="4"/>
  <c r="AF58" i="4"/>
  <c r="AA58" i="4"/>
  <c r="AC58" i="4" s="1"/>
  <c r="AD58" i="4" s="1"/>
  <c r="AK58" i="4"/>
  <c r="Z130" i="4"/>
  <c r="AF130" i="4" s="1"/>
  <c r="AF34" i="4"/>
  <c r="AK34" i="4"/>
  <c r="AA34" i="4"/>
  <c r="AC34" i="4" s="1"/>
  <c r="AD34" i="4" s="1"/>
  <c r="AR75" i="4"/>
  <c r="AT75" i="4" s="1"/>
  <c r="AT292" i="5"/>
  <c r="AU391" i="5"/>
  <c r="AT235" i="5"/>
  <c r="AG76" i="4"/>
  <c r="AI76" i="4" s="1"/>
  <c r="AO76" i="4"/>
  <c r="AU162" i="5"/>
  <c r="AG84" i="4"/>
  <c r="AI84" i="4" s="1"/>
  <c r="AO84" i="4"/>
  <c r="AU169" i="5"/>
  <c r="AR143" i="4"/>
  <c r="AT143" i="4" s="1"/>
  <c r="AR103" i="4"/>
  <c r="AT103" i="4" s="1"/>
  <c r="AT487" i="5"/>
  <c r="AX487" i="5" s="1"/>
  <c r="AY487" i="5" s="1"/>
  <c r="AR85" i="4"/>
  <c r="AT85" i="4" s="1"/>
  <c r="AU412" i="5"/>
  <c r="AT458" i="5"/>
  <c r="AX458" i="5" s="1"/>
  <c r="AY458" i="5" s="1"/>
  <c r="AT550" i="5"/>
  <c r="AT233" i="5"/>
  <c r="AX232" i="5" s="1"/>
  <c r="AY232" i="5" s="1"/>
  <c r="AU364" i="5"/>
  <c r="AG120" i="4"/>
  <c r="AI120" i="4" s="1"/>
  <c r="AR120" i="4" s="1"/>
  <c r="AT120" i="4" s="1"/>
  <c r="AT549" i="5"/>
  <c r="AX548" i="5" s="1"/>
  <c r="AY548" i="5" s="1"/>
  <c r="AU328" i="5"/>
  <c r="AU396" i="5"/>
  <c r="AU457" i="5"/>
  <c r="AT547" i="5"/>
  <c r="AX547" i="5" s="1"/>
  <c r="AY547" i="5" s="1"/>
  <c r="AT326" i="5"/>
  <c r="AX326" i="5" s="1"/>
  <c r="AY326" i="5" s="1"/>
  <c r="AT52" i="5"/>
  <c r="AX52" i="5" s="1"/>
  <c r="AY52" i="5" s="1"/>
  <c r="AT196" i="5"/>
  <c r="AT207" i="5"/>
  <c r="AX206" i="5" s="1"/>
  <c r="AY206" i="5" s="1"/>
  <c r="AT545" i="5"/>
  <c r="AX544" i="5" s="1"/>
  <c r="AY544" i="5" s="1"/>
  <c r="AT430" i="5"/>
  <c r="AX429" i="5" s="1"/>
  <c r="AY429" i="5" s="1"/>
  <c r="AU315" i="5"/>
  <c r="AU47" i="5"/>
  <c r="AU92" i="5"/>
  <c r="AT423" i="5"/>
  <c r="AX423" i="5" s="1"/>
  <c r="AY423" i="5" s="1"/>
  <c r="AT527" i="5"/>
  <c r="AT443" i="5"/>
  <c r="AU271" i="5"/>
  <c r="AT510" i="5"/>
  <c r="AX509" i="5" s="1"/>
  <c r="AY509" i="5" s="1"/>
  <c r="AU225" i="5"/>
  <c r="AT352" i="5"/>
  <c r="AX351" i="5" s="1"/>
  <c r="AY351" i="5" s="1"/>
  <c r="AU79" i="5"/>
  <c r="AU418" i="5"/>
  <c r="AU139" i="5"/>
  <c r="AU539" i="5"/>
  <c r="AT535" i="5"/>
  <c r="AX535" i="5" s="1"/>
  <c r="AY535" i="5" s="1"/>
  <c r="AT191" i="5"/>
  <c r="AX191" i="5" s="1"/>
  <c r="AY191" i="5" s="1"/>
  <c r="AT56" i="5"/>
  <c r="AX56" i="5" s="1"/>
  <c r="AY56" i="5" s="1"/>
  <c r="AT497" i="5"/>
  <c r="AU57" i="5"/>
  <c r="AU490" i="5"/>
  <c r="AT419" i="5"/>
  <c r="AX418" i="5" s="1"/>
  <c r="AY418" i="5" s="1"/>
  <c r="AU98" i="5"/>
  <c r="AT96" i="5"/>
  <c r="AX96" i="5" s="1"/>
  <c r="AY96" i="5" s="1"/>
  <c r="AX347" i="5"/>
  <c r="AY347" i="5" s="1"/>
  <c r="AT542" i="5"/>
  <c r="AX542" i="5" s="1"/>
  <c r="AY542" i="5" s="1"/>
  <c r="AT154" i="5"/>
  <c r="AX153" i="5" s="1"/>
  <c r="AY153" i="5" s="1"/>
  <c r="AU84" i="5"/>
  <c r="AT172" i="5"/>
  <c r="AX172" i="5" s="1"/>
  <c r="AY172" i="5" s="1"/>
  <c r="AT358" i="5"/>
  <c r="AX358" i="5" s="1"/>
  <c r="AY358" i="5" s="1"/>
  <c r="AT124" i="5"/>
  <c r="AX123" i="5" s="1"/>
  <c r="AY123" i="5" s="1"/>
  <c r="AX384" i="5"/>
  <c r="AY384" i="5" s="1"/>
  <c r="AT164" i="5"/>
  <c r="AX163" i="5" s="1"/>
  <c r="AY163" i="5" s="1"/>
  <c r="AX425" i="5"/>
  <c r="AY425" i="5" s="1"/>
  <c r="AU503" i="5"/>
  <c r="AU330" i="5"/>
  <c r="AU211" i="5"/>
  <c r="AU322" i="5"/>
  <c r="AU281" i="5"/>
  <c r="AT61" i="5"/>
  <c r="AU435" i="5"/>
  <c r="AT227" i="5"/>
  <c r="AX226" i="5" s="1"/>
  <c r="AY226" i="5" s="1"/>
  <c r="AT526" i="5"/>
  <c r="AX525" i="5" s="1"/>
  <c r="AY525" i="5" s="1"/>
  <c r="AU224" i="5"/>
  <c r="AU39" i="5"/>
  <c r="AT28" i="5"/>
  <c r="AX28" i="5" s="1"/>
  <c r="AY28" i="5" s="1"/>
  <c r="AT519" i="5"/>
  <c r="AT357" i="5"/>
  <c r="AX356" i="5" s="1"/>
  <c r="AY356" i="5" s="1"/>
  <c r="AT107" i="5"/>
  <c r="AX107" i="5" s="1"/>
  <c r="AY107" i="5" s="1"/>
  <c r="AX135" i="5"/>
  <c r="AY135" i="5" s="1"/>
  <c r="AU493" i="5"/>
  <c r="AU177" i="5"/>
  <c r="AU131" i="5"/>
  <c r="AT51" i="5"/>
  <c r="AT246" i="5"/>
  <c r="AX245" i="5" s="1"/>
  <c r="AY245" i="5" s="1"/>
  <c r="AT442" i="5"/>
  <c r="AX479" i="5"/>
  <c r="AY479" i="5" s="1"/>
  <c r="AX552" i="5"/>
  <c r="AY552" i="5" s="1"/>
  <c r="AX456" i="5"/>
  <c r="AY456" i="5" s="1"/>
  <c r="AX159" i="5"/>
  <c r="AY159" i="5" s="1"/>
  <c r="AT89" i="5"/>
  <c r="AX286" i="5"/>
  <c r="AY286" i="5" s="1"/>
  <c r="AT516" i="5"/>
  <c r="AX515" i="5" s="1"/>
  <c r="AY515" i="5" s="1"/>
  <c r="AT41" i="5"/>
  <c r="AU71" i="5"/>
  <c r="AT367" i="5"/>
  <c r="AX367" i="5" s="1"/>
  <c r="AY367" i="5" s="1"/>
  <c r="AU86" i="5"/>
  <c r="AT190" i="5"/>
  <c r="AT152" i="5"/>
  <c r="AX151" i="5" s="1"/>
  <c r="AY151" i="5" s="1"/>
  <c r="AU273" i="5"/>
  <c r="AU439" i="5"/>
  <c r="AX311" i="5"/>
  <c r="AY311" i="5" s="1"/>
  <c r="AT88" i="5"/>
  <c r="AX87" i="5" s="1"/>
  <c r="AY87" i="5" s="1"/>
  <c r="AX407" i="5"/>
  <c r="AY407" i="5" s="1"/>
  <c r="AX328" i="5"/>
  <c r="AY328" i="5" s="1"/>
  <c r="AT156" i="5"/>
  <c r="AU195" i="5"/>
  <c r="AX349" i="5"/>
  <c r="AY349" i="5" s="1"/>
  <c r="AU368" i="5"/>
  <c r="B123" i="2"/>
  <c r="H29" i="1" s="1"/>
  <c r="AU355" i="5"/>
  <c r="AT334" i="5"/>
  <c r="AX333" i="5" s="1"/>
  <c r="AY333" i="5" s="1"/>
  <c r="AU276" i="5"/>
  <c r="AT30" i="5"/>
  <c r="AX30" i="5" s="1"/>
  <c r="AY30" i="5" s="1"/>
  <c r="AX523" i="5"/>
  <c r="AY523" i="5" s="1"/>
  <c r="AX169" i="5"/>
  <c r="AY169" i="5" s="1"/>
  <c r="AT415" i="5"/>
  <c r="AX415" i="5" s="1"/>
  <c r="AY415" i="5" s="1"/>
  <c r="AT531" i="5"/>
  <c r="AX531" i="5" s="1"/>
  <c r="AY531" i="5" s="1"/>
  <c r="AX503" i="5"/>
  <c r="AY503" i="5" s="1"/>
  <c r="AT431" i="5"/>
  <c r="AX431" i="5" s="1"/>
  <c r="AY431" i="5" s="1"/>
  <c r="AU372" i="5"/>
  <c r="AT242" i="5"/>
  <c r="AX241" i="5" s="1"/>
  <c r="AY241" i="5" s="1"/>
  <c r="AU389" i="5"/>
  <c r="AR97" i="4"/>
  <c r="AT97" i="4" s="1"/>
  <c r="AR45" i="4"/>
  <c r="AT45" i="4" s="1"/>
  <c r="AX488" i="5"/>
  <c r="AY488" i="5" s="1"/>
  <c r="AU250" i="5"/>
  <c r="AX520" i="5"/>
  <c r="AY520" i="5" s="1"/>
  <c r="AX251" i="5"/>
  <c r="AY251" i="5" s="1"/>
  <c r="AX368" i="5"/>
  <c r="AY368" i="5" s="1"/>
  <c r="AU507" i="5"/>
  <c r="AU474" i="5"/>
  <c r="AX449" i="5"/>
  <c r="AY449" i="5" s="1"/>
  <c r="AO32" i="4"/>
  <c r="AR32" i="4" s="1"/>
  <c r="AT32" i="4" s="1"/>
  <c r="AR17" i="4"/>
  <c r="AT17" i="4" s="1"/>
  <c r="AX350" i="5"/>
  <c r="AY350" i="5" s="1"/>
  <c r="AX392" i="5"/>
  <c r="AY392" i="5" s="1"/>
  <c r="AX34" i="5"/>
  <c r="AY34" i="5" s="1"/>
  <c r="AR123" i="4"/>
  <c r="AT123" i="4" s="1"/>
  <c r="AR111" i="4"/>
  <c r="AT111" i="4" s="1"/>
  <c r="AX180" i="5"/>
  <c r="AY180" i="5" s="1"/>
  <c r="AX287" i="5"/>
  <c r="AX505" i="5"/>
  <c r="AY505" i="5" s="1"/>
  <c r="AX434" i="5"/>
  <c r="AY434" i="5" s="1"/>
  <c r="AO95" i="4"/>
  <c r="AG95" i="4"/>
  <c r="AI95" i="4" s="1"/>
  <c r="AO116" i="4"/>
  <c r="AG116" i="4"/>
  <c r="AI116" i="4" s="1"/>
  <c r="AG35" i="4"/>
  <c r="AI35" i="4" s="1"/>
  <c r="AO35" i="4"/>
  <c r="AG134" i="4"/>
  <c r="AI134" i="4" s="1"/>
  <c r="AO134" i="4"/>
  <c r="AG69" i="4"/>
  <c r="AI69" i="4" s="1"/>
  <c r="AO69" i="4"/>
  <c r="AG20" i="4"/>
  <c r="AI20" i="4" s="1"/>
  <c r="AO20" i="4"/>
  <c r="AG38" i="4"/>
  <c r="AI38" i="4" s="1"/>
  <c r="AO38" i="4"/>
  <c r="AO54" i="4"/>
  <c r="AG54" i="4"/>
  <c r="AI54" i="4" s="1"/>
  <c r="AO126" i="4"/>
  <c r="AG126" i="4"/>
  <c r="AI126" i="4" s="1"/>
  <c r="AR70" i="4"/>
  <c r="AT70" i="4" s="1"/>
  <c r="AG23" i="4"/>
  <c r="AI23" i="4" s="1"/>
  <c r="AO23" i="4"/>
  <c r="AG127" i="4"/>
  <c r="AI127" i="4" s="1"/>
  <c r="AO127" i="4"/>
  <c r="AG109" i="4"/>
  <c r="AI109" i="4" s="1"/>
  <c r="AO109" i="4"/>
  <c r="AO100" i="4"/>
  <c r="AG100" i="4"/>
  <c r="AI100" i="4" s="1"/>
  <c r="AO64" i="4"/>
  <c r="AG64" i="4"/>
  <c r="AI64" i="4" s="1"/>
  <c r="AR44" i="4"/>
  <c r="AT44" i="4" s="1"/>
  <c r="AG8" i="4"/>
  <c r="AI8" i="4" s="1"/>
  <c r="AO8" i="4"/>
  <c r="AO128" i="4"/>
  <c r="AG128" i="4"/>
  <c r="AI128" i="4" s="1"/>
  <c r="AG150" i="4"/>
  <c r="AI150" i="4" s="1"/>
  <c r="AO150" i="4"/>
  <c r="AG86" i="4"/>
  <c r="AI86" i="4" s="1"/>
  <c r="AO86" i="4"/>
  <c r="AG77" i="4"/>
  <c r="AI77" i="4" s="1"/>
  <c r="AO77" i="4"/>
  <c r="AO47" i="4"/>
  <c r="AG47" i="4"/>
  <c r="AI47" i="4" s="1"/>
  <c r="AG93" i="4"/>
  <c r="AI93" i="4" s="1"/>
  <c r="AO93" i="4"/>
  <c r="AO7" i="4"/>
  <c r="AG7" i="4"/>
  <c r="AI7" i="4" s="1"/>
  <c r="AG148" i="4"/>
  <c r="AI148" i="4" s="1"/>
  <c r="AO148" i="4"/>
  <c r="AX338" i="5"/>
  <c r="AY338" i="5" s="1"/>
  <c r="AG37" i="4"/>
  <c r="AI37" i="4" s="1"/>
  <c r="AO37" i="4"/>
  <c r="AO135" i="4"/>
  <c r="AG135" i="4"/>
  <c r="AI135" i="4" s="1"/>
  <c r="AO14" i="4"/>
  <c r="AG14" i="4"/>
  <c r="AI14" i="4" s="1"/>
  <c r="AO157" i="4"/>
  <c r="AG157" i="4"/>
  <c r="AI157" i="4" s="1"/>
  <c r="AO137" i="4"/>
  <c r="AG137" i="4"/>
  <c r="AI137" i="4" s="1"/>
  <c r="AO63" i="4"/>
  <c r="AG63" i="4"/>
  <c r="AI63" i="4" s="1"/>
  <c r="AO39" i="4"/>
  <c r="AG39" i="4"/>
  <c r="AI39" i="4" s="1"/>
  <c r="AO52" i="4"/>
  <c r="AG52" i="4"/>
  <c r="AI52" i="4" s="1"/>
  <c r="AT9" i="5"/>
  <c r="AU9" i="5"/>
  <c r="AX341" i="5"/>
  <c r="AY341" i="5" s="1"/>
  <c r="AX86" i="5"/>
  <c r="AY86" i="5" s="1"/>
  <c r="AX498" i="5"/>
  <c r="AY498" i="5" s="1"/>
  <c r="AX314" i="5"/>
  <c r="AY314" i="5" s="1"/>
  <c r="AX264" i="5"/>
  <c r="AY264" i="5" s="1"/>
  <c r="AX224" i="5"/>
  <c r="AY224" i="5" s="1"/>
  <c r="AX183" i="5"/>
  <c r="AY183" i="5" s="1"/>
  <c r="AX464" i="5"/>
  <c r="AY464" i="5" s="1"/>
  <c r="AX84" i="5"/>
  <c r="AY84" i="5" s="1"/>
  <c r="AX39" i="5"/>
  <c r="AY39" i="5" s="1"/>
  <c r="AX447" i="5"/>
  <c r="AY447" i="5" s="1"/>
  <c r="AX33" i="5"/>
  <c r="AY33" i="5" s="1"/>
  <c r="AX362" i="5"/>
  <c r="AY362" i="5" s="1"/>
  <c r="AR114" i="4"/>
  <c r="AT114" i="4" s="1"/>
  <c r="AX355" i="5"/>
  <c r="AY355" i="5" s="1"/>
  <c r="AX279" i="5"/>
  <c r="AY279" i="5" s="1"/>
  <c r="AX160" i="5"/>
  <c r="AY160" i="5" s="1"/>
  <c r="AX260" i="5"/>
  <c r="AY260" i="5" s="1"/>
  <c r="AX435" i="5"/>
  <c r="AY435" i="5" s="1"/>
  <c r="AX369" i="5"/>
  <c r="AY369" i="5" s="1"/>
  <c r="AX188" i="5"/>
  <c r="AY188" i="5" s="1"/>
  <c r="AX252" i="5"/>
  <c r="AY252" i="5" s="1"/>
  <c r="AX199" i="5"/>
  <c r="AY199" i="5" s="1"/>
  <c r="AX329" i="5"/>
  <c r="AY329" i="5" s="1"/>
  <c r="AX274" i="5"/>
  <c r="AY274" i="5" s="1"/>
  <c r="AX165" i="5"/>
  <c r="AY165" i="5" s="1"/>
  <c r="AX283" i="5"/>
  <c r="AY283" i="5" s="1"/>
  <c r="AX481" i="5"/>
  <c r="AY481" i="5" s="1"/>
  <c r="AX395" i="5"/>
  <c r="AY395" i="5" s="1"/>
  <c r="AX364" i="5"/>
  <c r="AY364" i="5" s="1"/>
  <c r="AX137" i="5"/>
  <c r="AY137" i="5" s="1"/>
  <c r="AX424" i="5"/>
  <c r="AY424" i="5" s="1"/>
  <c r="AX79" i="5"/>
  <c r="AY79" i="5" s="1"/>
  <c r="AX379" i="5"/>
  <c r="AY379" i="5" s="1"/>
  <c r="AX432" i="5"/>
  <c r="AY432" i="5" s="1"/>
  <c r="AX269" i="5"/>
  <c r="AY269" i="5" s="1"/>
  <c r="AX211" i="5"/>
  <c r="AY211" i="5" s="1"/>
  <c r="AX489" i="5"/>
  <c r="AY489" i="5" s="1"/>
  <c r="AX85" i="5"/>
  <c r="AY85" i="5" s="1"/>
  <c r="AX25" i="5"/>
  <c r="AY25" i="5" s="1"/>
  <c r="AX288" i="5"/>
  <c r="AY288" i="5" s="1"/>
  <c r="AX265" i="5"/>
  <c r="AY265" i="5" s="1"/>
  <c r="AX372" i="5"/>
  <c r="AY372" i="5" s="1"/>
  <c r="AX303" i="5"/>
  <c r="AY303" i="5" s="1"/>
  <c r="AX342" i="5"/>
  <c r="AY342" i="5" s="1"/>
  <c r="AX43" i="5"/>
  <c r="AY43" i="5" s="1"/>
  <c r="AX146" i="5"/>
  <c r="AY146" i="5" s="1"/>
  <c r="AX270" i="5"/>
  <c r="AY270" i="5" s="1"/>
  <c r="AX176" i="5"/>
  <c r="AY176" i="5" s="1"/>
  <c r="AX187" i="5"/>
  <c r="AY187" i="5" s="1"/>
  <c r="AX398" i="5"/>
  <c r="AY398" i="5" s="1"/>
  <c r="AX421" i="5"/>
  <c r="AY421" i="5" s="1"/>
  <c r="AX337" i="5"/>
  <c r="AY337" i="5" s="1"/>
  <c r="AX345" i="5"/>
  <c r="AY345" i="5" s="1"/>
  <c r="AX223" i="5"/>
  <c r="AY223" i="5" s="1"/>
  <c r="AX413" i="5"/>
  <c r="AY413" i="5" s="1"/>
  <c r="AX380" i="5"/>
  <c r="AY380" i="5" s="1"/>
  <c r="AX386" i="5"/>
  <c r="AY386" i="5" s="1"/>
  <c r="AX130" i="5"/>
  <c r="AY130" i="5" s="1"/>
  <c r="AX63" i="5"/>
  <c r="AY63" i="5" s="1"/>
  <c r="AX331" i="5"/>
  <c r="AY331" i="5" s="1"/>
  <c r="AX261" i="5"/>
  <c r="AY261" i="5" s="1"/>
  <c r="AX205" i="5"/>
  <c r="AY205" i="5" s="1"/>
  <c r="AX426" i="5"/>
  <c r="AY426" i="5" s="1"/>
  <c r="AX511" i="5"/>
  <c r="AY511" i="5" s="1"/>
  <c r="AX161" i="5"/>
  <c r="AY161" i="5" s="1"/>
  <c r="AX282" i="5"/>
  <c r="AY282" i="5" s="1"/>
  <c r="AX438" i="5"/>
  <c r="AY438" i="5" s="1"/>
  <c r="AX37" i="5"/>
  <c r="AY37" i="5" s="1"/>
  <c r="AX273" i="5"/>
  <c r="AY273" i="5" s="1"/>
  <c r="AX83" i="5"/>
  <c r="AY83" i="5" s="1"/>
  <c r="AR92" i="4"/>
  <c r="AT92" i="4" s="1"/>
  <c r="AR121" i="4"/>
  <c r="AT121" i="4" s="1"/>
  <c r="AR154" i="4"/>
  <c r="AT154" i="4" s="1"/>
  <c r="AR156" i="4"/>
  <c r="AT156" i="4" s="1"/>
  <c r="AR50" i="4"/>
  <c r="AT50" i="4" s="1"/>
  <c r="AR29" i="4"/>
  <c r="AT29" i="4" s="1"/>
  <c r="AR138" i="4"/>
  <c r="AT138" i="4" s="1"/>
  <c r="AR104" i="4"/>
  <c r="AT104" i="4" s="1"/>
  <c r="AR113" i="4"/>
  <c r="AT113" i="4" s="1"/>
  <c r="AR147" i="4"/>
  <c r="AT147" i="4" s="1"/>
  <c r="AR51" i="4"/>
  <c r="AT51" i="4" s="1"/>
  <c r="AR122" i="4"/>
  <c r="AT122" i="4" s="1"/>
  <c r="AR65" i="4"/>
  <c r="AT65" i="4" s="1"/>
  <c r="AR124" i="4"/>
  <c r="AT124" i="4" s="1"/>
  <c r="AR88" i="4"/>
  <c r="AT88" i="4" s="1"/>
  <c r="AR90" i="4"/>
  <c r="AT90" i="4" s="1"/>
  <c r="AR11" i="4"/>
  <c r="AT11" i="4" s="1"/>
  <c r="AR146" i="4"/>
  <c r="AT146" i="4" s="1"/>
  <c r="AR33" i="4"/>
  <c r="AT33" i="4" s="1"/>
  <c r="AR131" i="4"/>
  <c r="AT131" i="4" s="1"/>
  <c r="AX394" i="5"/>
  <c r="AY394" i="5" s="1"/>
  <c r="AX166" i="5"/>
  <c r="AY166" i="5" s="1"/>
  <c r="AT13" i="5"/>
  <c r="AU13" i="5"/>
  <c r="AX436" i="5"/>
  <c r="AY436" i="5" s="1"/>
  <c r="AX44" i="5"/>
  <c r="AY44" i="5" s="1"/>
  <c r="AX92" i="5"/>
  <c r="AY92" i="5" s="1"/>
  <c r="AX381" i="5"/>
  <c r="AY381" i="5" s="1"/>
  <c r="AX215" i="5"/>
  <c r="AY215" i="5" s="1"/>
  <c r="AR28" i="4"/>
  <c r="AT28" i="4" s="1"/>
  <c r="AX280" i="5"/>
  <c r="AY280" i="5" s="1"/>
  <c r="AX125" i="5"/>
  <c r="AY125" i="5" s="1"/>
  <c r="AX476" i="5"/>
  <c r="AY476" i="5" s="1"/>
  <c r="AO91" i="4"/>
  <c r="AG91" i="4"/>
  <c r="AI91" i="4" s="1"/>
  <c r="AX225" i="5"/>
  <c r="AY225" i="5" s="1"/>
  <c r="AX24" i="5"/>
  <c r="AY24" i="5" s="1"/>
  <c r="AX448" i="5"/>
  <c r="AY448" i="5" s="1"/>
  <c r="AR80" i="4"/>
  <c r="AT80" i="4" s="1"/>
  <c r="AX256" i="5"/>
  <c r="AY256" i="5" s="1"/>
  <c r="AX275" i="5"/>
  <c r="AY275" i="5" s="1"/>
  <c r="AX32" i="5"/>
  <c r="AY32" i="5" s="1"/>
  <c r="AX504" i="5"/>
  <c r="AY504" i="5" s="1"/>
  <c r="AX319" i="5"/>
  <c r="AY319" i="5" s="1"/>
  <c r="AX393" i="5"/>
  <c r="AY393" i="5" s="1"/>
  <c r="AX467" i="5"/>
  <c r="AY467" i="5" s="1"/>
  <c r="F70" i="1"/>
  <c r="B231" i="2"/>
  <c r="F71" i="1" s="1"/>
  <c r="AX385" i="5"/>
  <c r="AY385" i="5" s="1"/>
  <c r="AX506" i="5"/>
  <c r="AY506" i="5" s="1"/>
  <c r="AX417" i="5"/>
  <c r="AY417" i="5" s="1"/>
  <c r="AX70" i="5"/>
  <c r="AY70" i="5" s="1"/>
  <c r="AR99" i="4"/>
  <c r="AT99" i="4" s="1"/>
  <c r="AX538" i="5"/>
  <c r="AY538" i="5" s="1"/>
  <c r="AX22" i="5"/>
  <c r="AY22" i="5" s="1"/>
  <c r="AX396" i="5"/>
  <c r="AY396" i="5" s="1"/>
  <c r="AX348" i="5"/>
  <c r="AY348" i="5" s="1"/>
  <c r="AX420" i="5"/>
  <c r="AY420" i="5" s="1"/>
  <c r="AX117" i="5"/>
  <c r="AY117" i="5" s="1"/>
  <c r="AX433" i="5"/>
  <c r="AY433" i="5" s="1"/>
  <c r="AX371" i="5"/>
  <c r="AY371" i="5" s="1"/>
  <c r="AX484" i="5"/>
  <c r="AY484" i="5" s="1"/>
  <c r="AX553" i="5"/>
  <c r="AY553" i="5" s="1"/>
  <c r="AX471" i="5"/>
  <c r="AY471" i="5" s="1"/>
  <c r="AX203" i="5"/>
  <c r="AY203" i="5" s="1"/>
  <c r="AX204" i="5"/>
  <c r="AY204" i="5" s="1"/>
  <c r="AX480" i="5"/>
  <c r="AY480" i="5" s="1"/>
  <c r="AX453" i="5"/>
  <c r="AY453" i="5" s="1"/>
  <c r="AR107" i="4"/>
  <c r="AT107" i="4" s="1"/>
  <c r="AX138" i="5"/>
  <c r="AY138" i="5" s="1"/>
  <c r="AX439" i="5"/>
  <c r="AY439" i="5" s="1"/>
  <c r="AX108" i="5"/>
  <c r="AY108" i="5" s="1"/>
  <c r="AR16" i="4"/>
  <c r="AT16" i="4" s="1"/>
  <c r="AX304" i="5"/>
  <c r="AY304" i="5" s="1"/>
  <c r="AX532" i="5"/>
  <c r="AY532" i="5" s="1"/>
  <c r="AX370" i="5"/>
  <c r="AY370" i="5" s="1"/>
  <c r="AR55" i="4"/>
  <c r="AT55" i="4" s="1"/>
  <c r="AR115" i="4"/>
  <c r="AT115" i="4" s="1"/>
  <c r="AR42" i="4"/>
  <c r="AT42" i="4" s="1"/>
  <c r="AX121" i="5"/>
  <c r="AY121" i="5" s="1"/>
  <c r="AX289" i="5"/>
  <c r="AY289" i="5" s="1"/>
  <c r="AX490" i="5"/>
  <c r="AY490" i="5" s="1"/>
  <c r="AR145" i="4"/>
  <c r="AT145" i="4" s="1"/>
  <c r="AX297" i="5"/>
  <c r="AY297" i="5" s="1"/>
  <c r="AX459" i="5"/>
  <c r="AY459" i="5" s="1"/>
  <c r="AX514" i="5"/>
  <c r="AY514" i="5" s="1"/>
  <c r="AX136" i="5"/>
  <c r="AY136" i="5" s="1"/>
  <c r="AR60" i="4"/>
  <c r="AT60" i="4" s="1"/>
  <c r="AX397" i="5"/>
  <c r="AY397" i="5" s="1"/>
  <c r="AX543" i="5"/>
  <c r="AY543" i="5" s="1"/>
  <c r="AX100" i="5"/>
  <c r="AY100" i="5" s="1"/>
  <c r="AX346" i="5"/>
  <c r="AY346" i="5" s="1"/>
  <c r="AX460" i="5"/>
  <c r="AY460" i="5" s="1"/>
  <c r="AX521" i="5"/>
  <c r="AY521" i="5" s="1"/>
  <c r="AX522" i="5"/>
  <c r="AY522" i="5" s="1"/>
  <c r="AO73" i="4"/>
  <c r="AG73" i="4"/>
  <c r="AI73" i="4" s="1"/>
  <c r="AX69" i="5"/>
  <c r="AY69" i="5" s="1"/>
  <c r="AX416" i="5"/>
  <c r="AY416" i="5" s="1"/>
  <c r="AX268" i="5"/>
  <c r="AY268" i="5" s="1"/>
  <c r="AX399" i="5"/>
  <c r="AY399" i="5" s="1"/>
  <c r="AX281" i="5"/>
  <c r="AY281" i="5" s="1"/>
  <c r="AX330" i="5"/>
  <c r="AY330" i="5" s="1"/>
  <c r="AX375" i="5"/>
  <c r="AY375" i="5" s="1"/>
  <c r="AX192" i="5"/>
  <c r="AY192" i="5" s="1"/>
  <c r="AX126" i="5"/>
  <c r="AY126" i="5" s="1"/>
  <c r="AX162" i="5"/>
  <c r="AY162" i="5" s="1"/>
  <c r="AX170" i="5"/>
  <c r="AY170" i="5" s="1"/>
  <c r="AX336" i="5"/>
  <c r="AY336" i="5" s="1"/>
  <c r="AX293" i="5"/>
  <c r="AY293" i="5" s="1"/>
  <c r="AR117" i="4"/>
  <c r="AT117" i="4" s="1"/>
  <c r="AX91" i="5"/>
  <c r="AY91" i="5" s="1"/>
  <c r="AR119" i="4"/>
  <c r="AT119" i="4" s="1"/>
  <c r="AX524" i="5"/>
  <c r="AY524" i="5" s="1"/>
  <c r="AX437" i="5"/>
  <c r="AY437" i="5" s="1"/>
  <c r="AR56" i="4"/>
  <c r="AT56" i="4" s="1"/>
  <c r="AX296" i="5"/>
  <c r="AY296" i="5" s="1"/>
  <c r="AX253" i="5"/>
  <c r="AY253" i="5" s="1"/>
  <c r="AX502" i="5"/>
  <c r="AY502" i="5" s="1"/>
  <c r="AX391" i="5"/>
  <c r="AY391" i="5" s="1"/>
  <c r="AX250" i="5"/>
  <c r="AY250" i="5" s="1"/>
  <c r="AX412" i="5"/>
  <c r="AY412" i="5" s="1"/>
  <c r="AX114" i="5"/>
  <c r="AY114" i="5" s="1"/>
  <c r="AR110" i="4"/>
  <c r="AT110" i="4" s="1"/>
  <c r="AX284" i="5"/>
  <c r="AY284" i="5" s="1"/>
  <c r="AX533" i="5"/>
  <c r="AY533" i="5" s="1"/>
  <c r="AX332" i="5"/>
  <c r="AY332" i="5" s="1"/>
  <c r="AX327" i="5"/>
  <c r="AY327" i="5" s="1"/>
  <c r="AR13" i="4"/>
  <c r="AT13" i="4" s="1"/>
  <c r="AX31" i="5"/>
  <c r="AY31" i="5" s="1"/>
  <c r="AR153" i="4"/>
  <c r="AT153" i="4" s="1"/>
  <c r="AX285" i="5"/>
  <c r="AY285" i="5" s="1"/>
  <c r="AX181" i="5"/>
  <c r="AY181" i="5" s="1"/>
  <c r="AX406" i="5"/>
  <c r="AY406" i="5" s="1"/>
  <c r="AX363" i="5"/>
  <c r="AY363" i="5" s="1"/>
  <c r="AX142" i="5"/>
  <c r="AY142" i="5" s="1"/>
  <c r="AX38" i="5"/>
  <c r="AY38" i="5" s="1"/>
  <c r="AX499" i="5"/>
  <c r="AY499" i="5" s="1"/>
  <c r="AR48" i="4"/>
  <c r="AT48" i="4" s="1"/>
  <c r="AX536" i="5" l="1"/>
  <c r="AY536" i="5" s="1"/>
  <c r="AY287" i="5"/>
  <c r="AY219" i="5"/>
  <c r="AY218" i="5"/>
  <c r="AY139" i="5"/>
  <c r="AY122" i="5"/>
  <c r="AX376" i="5"/>
  <c r="AY376" i="5" s="1"/>
  <c r="AX508" i="5"/>
  <c r="AY508" i="5" s="1"/>
  <c r="AX482" i="5"/>
  <c r="AY482" i="5" s="1"/>
  <c r="AX234" i="5"/>
  <c r="AY234" i="5" s="1"/>
  <c r="AX446" i="5"/>
  <c r="AY446" i="5" s="1"/>
  <c r="AX402" i="5"/>
  <c r="AY402" i="5" s="1"/>
  <c r="AX469" i="5"/>
  <c r="AY469" i="5" s="1"/>
  <c r="AX529" i="5"/>
  <c r="AY529" i="5" s="1"/>
  <c r="AX462" i="5"/>
  <c r="AY462" i="5" s="1"/>
  <c r="AX465" i="5"/>
  <c r="AY465" i="5" s="1"/>
  <c r="AX243" i="5"/>
  <c r="AY243" i="5" s="1"/>
  <c r="AX540" i="5"/>
  <c r="AY540" i="5" s="1"/>
  <c r="AR142" i="4"/>
  <c r="AT142" i="4" s="1"/>
  <c r="AX468" i="5"/>
  <c r="AY468" i="5" s="1"/>
  <c r="AX307" i="5"/>
  <c r="AY307" i="5" s="1"/>
  <c r="AX518" i="5"/>
  <c r="AY518" i="5" s="1"/>
  <c r="AX555" i="5"/>
  <c r="AY555" i="5" s="1"/>
  <c r="AX312" i="5"/>
  <c r="AY312" i="5" s="1"/>
  <c r="AX390" i="5"/>
  <c r="AY390" i="5" s="1"/>
  <c r="AX455" i="5"/>
  <c r="AY455" i="5" s="1"/>
  <c r="AX478" i="5"/>
  <c r="AY478" i="5" s="1"/>
  <c r="AX474" i="5"/>
  <c r="AY474" i="5" s="1"/>
  <c r="AX266" i="5"/>
  <c r="AY266" i="5" s="1"/>
  <c r="AX200" i="5"/>
  <c r="AY200" i="5" s="1"/>
  <c r="AX57" i="5"/>
  <c r="AY57" i="5" s="1"/>
  <c r="AX374" i="5"/>
  <c r="AY374" i="5" s="1"/>
  <c r="AX410" i="5"/>
  <c r="AY410" i="5" s="1"/>
  <c r="AR125" i="4"/>
  <c r="AT125" i="4" s="1"/>
  <c r="AX41" i="5"/>
  <c r="AY41" i="5" s="1"/>
  <c r="AG22" i="4"/>
  <c r="AI22" i="4" s="1"/>
  <c r="AR22" i="4" s="1"/>
  <c r="AT22" i="4" s="1"/>
  <c r="AX513" i="5"/>
  <c r="AY513" i="5" s="1"/>
  <c r="AX305" i="5"/>
  <c r="AY305" i="5" s="1"/>
  <c r="AX315" i="5"/>
  <c r="AY315" i="5" s="1"/>
  <c r="AX295" i="5"/>
  <c r="AY295" i="5" s="1"/>
  <c r="AX213" i="5"/>
  <c r="AY213" i="5" s="1"/>
  <c r="AX221" i="5"/>
  <c r="AY221" i="5" s="1"/>
  <c r="AX145" i="5"/>
  <c r="AY145" i="5" s="1"/>
  <c r="AX185" i="5"/>
  <c r="AY185" i="5" s="1"/>
  <c r="AX443" i="5"/>
  <c r="AY443" i="5" s="1"/>
  <c r="AX36" i="5"/>
  <c r="AY36" i="5" s="1"/>
  <c r="AX360" i="5"/>
  <c r="AY360" i="5" s="1"/>
  <c r="AX354" i="5"/>
  <c r="AY354" i="5" s="1"/>
  <c r="AX359" i="5"/>
  <c r="AY359" i="5" s="1"/>
  <c r="AX248" i="5"/>
  <c r="AY248" i="5" s="1"/>
  <c r="AX301" i="5"/>
  <c r="AY301" i="5" s="1"/>
  <c r="AX174" i="5"/>
  <c r="AY174" i="5" s="1"/>
  <c r="AX112" i="5"/>
  <c r="AY112" i="5" s="1"/>
  <c r="AX428" i="5"/>
  <c r="AY428" i="5" s="1"/>
  <c r="AX310" i="5"/>
  <c r="AY310" i="5" s="1"/>
  <c r="AX47" i="5"/>
  <c r="AY47" i="5" s="1"/>
  <c r="AX157" i="5"/>
  <c r="AY157" i="5" s="1"/>
  <c r="AX493" i="5"/>
  <c r="AY493" i="5" s="1"/>
  <c r="AX119" i="5"/>
  <c r="AY119" i="5" s="1"/>
  <c r="AX344" i="5"/>
  <c r="AY344" i="5" s="1"/>
  <c r="AX60" i="5"/>
  <c r="AY60" i="5" s="1"/>
  <c r="AX461" i="5"/>
  <c r="AY461" i="5" s="1"/>
  <c r="AX259" i="5"/>
  <c r="AY259" i="5" s="1"/>
  <c r="AX238" i="5"/>
  <c r="AY238" i="5" s="1"/>
  <c r="AX403" i="5"/>
  <c r="AY403" i="5" s="1"/>
  <c r="AX194" i="5"/>
  <c r="AY194" i="5" s="1"/>
  <c r="AX66" i="5"/>
  <c r="AY66" i="5" s="1"/>
  <c r="AX93" i="5"/>
  <c r="AY93" i="5" s="1"/>
  <c r="AX178" i="5"/>
  <c r="AY178" i="5" s="1"/>
  <c r="AX263" i="5"/>
  <c r="AY263" i="5" s="1"/>
  <c r="AX89" i="5"/>
  <c r="AY89" i="5" s="1"/>
  <c r="AX244" i="5"/>
  <c r="AY244" i="5" s="1"/>
  <c r="AX140" i="5"/>
  <c r="AY140" i="5" s="1"/>
  <c r="AX276" i="5"/>
  <c r="AY276" i="5" s="1"/>
  <c r="AX220" i="5"/>
  <c r="AY220" i="5" s="1"/>
  <c r="AX210" i="5"/>
  <c r="AY210" i="5" s="1"/>
  <c r="AX550" i="5"/>
  <c r="AY550" i="5" s="1"/>
  <c r="AX452" i="5"/>
  <c r="AY452" i="5" s="1"/>
  <c r="AX75" i="5"/>
  <c r="AY75" i="5" s="1"/>
  <c r="AX383" i="5"/>
  <c r="AY383" i="5" s="1"/>
  <c r="AX404" i="5"/>
  <c r="AY404" i="5" s="1"/>
  <c r="AX401" i="5"/>
  <c r="AY401" i="5" s="1"/>
  <c r="AX230" i="5"/>
  <c r="AY230" i="5" s="1"/>
  <c r="AX317" i="5"/>
  <c r="AY317" i="5" s="1"/>
  <c r="AX554" i="5"/>
  <c r="AY554" i="5" s="1"/>
  <c r="AX149" i="5"/>
  <c r="AY149" i="5" s="1"/>
  <c r="AX104" i="5"/>
  <c r="AY104" i="5" s="1"/>
  <c r="AX237" i="5"/>
  <c r="AY237" i="5" s="1"/>
  <c r="AX82" i="5"/>
  <c r="AY82" i="5" s="1"/>
  <c r="AX133" i="5"/>
  <c r="AY133" i="5" s="1"/>
  <c r="AX110" i="5"/>
  <c r="AY110" i="5" s="1"/>
  <c r="AX377" i="5"/>
  <c r="AY377" i="5" s="1"/>
  <c r="AX217" i="5"/>
  <c r="AY217" i="5" s="1"/>
  <c r="AX228" i="5"/>
  <c r="AY228" i="5" s="1"/>
  <c r="AX98" i="5"/>
  <c r="AY98" i="5" s="1"/>
  <c r="AX492" i="5"/>
  <c r="AY492" i="5" s="1"/>
  <c r="AX501" i="5"/>
  <c r="AY501" i="5" s="1"/>
  <c r="AX496" i="5"/>
  <c r="AY496" i="5" s="1"/>
  <c r="AX74" i="5"/>
  <c r="AY74" i="5" s="1"/>
  <c r="AX167" i="5"/>
  <c r="AY167" i="5" s="1"/>
  <c r="AX405" i="5"/>
  <c r="AY405" i="5" s="1"/>
  <c r="AX131" i="5"/>
  <c r="AY131" i="5" s="1"/>
  <c r="AX387" i="5"/>
  <c r="AY387" i="5" s="1"/>
  <c r="AX65" i="5"/>
  <c r="AY65" i="5" s="1"/>
  <c r="AX400" i="5"/>
  <c r="AY400" i="5" s="1"/>
  <c r="AX156" i="5"/>
  <c r="AY156" i="5" s="1"/>
  <c r="AX64" i="5"/>
  <c r="AY64" i="5" s="1"/>
  <c r="AX409" i="5"/>
  <c r="AY409" i="5" s="1"/>
  <c r="AX196" i="5"/>
  <c r="AY196" i="5" s="1"/>
  <c r="AX473" i="5"/>
  <c r="AY473" i="5" s="1"/>
  <c r="AX528" i="5"/>
  <c r="AY528" i="5" s="1"/>
  <c r="AO133" i="4"/>
  <c r="AR133" i="4" s="1"/>
  <c r="AT133" i="4" s="1"/>
  <c r="AX291" i="5"/>
  <c r="AY291" i="5" s="1"/>
  <c r="AX527" i="5"/>
  <c r="AY527" i="5" s="1"/>
  <c r="AR12" i="4"/>
  <c r="AT12" i="4" s="1"/>
  <c r="AX320" i="5"/>
  <c r="AY320" i="5" s="1"/>
  <c r="AX271" i="5"/>
  <c r="AY271" i="5" s="1"/>
  <c r="AX558" i="5"/>
  <c r="AY558" i="5" s="1"/>
  <c r="AX249" i="5"/>
  <c r="AY249" i="5" s="1"/>
  <c r="AX510" i="5"/>
  <c r="AY510" i="5" s="1"/>
  <c r="AX322" i="5"/>
  <c r="AY322" i="5" s="1"/>
  <c r="AG26" i="4"/>
  <c r="AI26" i="4" s="1"/>
  <c r="AO26" i="4"/>
  <c r="AX340" i="5"/>
  <c r="AY340" i="5" s="1"/>
  <c r="AX298" i="5"/>
  <c r="AY298" i="5" s="1"/>
  <c r="AK155" i="4"/>
  <c r="AA130" i="4"/>
  <c r="AC130" i="4" s="1"/>
  <c r="AD130" i="4" s="1"/>
  <c r="AA144" i="4"/>
  <c r="AC144" i="4" s="1"/>
  <c r="AD144" i="4" s="1"/>
  <c r="AA155" i="4"/>
  <c r="AC155" i="4" s="1"/>
  <c r="AD155" i="4" s="1"/>
  <c r="AX235" i="5"/>
  <c r="AY235" i="5" s="1"/>
  <c r="AX292" i="5"/>
  <c r="AY292" i="5" s="1"/>
  <c r="AX486" i="5"/>
  <c r="AY486" i="5" s="1"/>
  <c r="AX497" i="5"/>
  <c r="AY497" i="5" s="1"/>
  <c r="AX457" i="5"/>
  <c r="AY457" i="5" s="1"/>
  <c r="AR84" i="4"/>
  <c r="AT84" i="4" s="1"/>
  <c r="AR79" i="4"/>
  <c r="AT79" i="4" s="1"/>
  <c r="AK144" i="4"/>
  <c r="AX325" i="5"/>
  <c r="AY325" i="5" s="1"/>
  <c r="AG130" i="4"/>
  <c r="AI130" i="4" s="1"/>
  <c r="AO130" i="4"/>
  <c r="AO62" i="4"/>
  <c r="AG62" i="4"/>
  <c r="AI62" i="4" s="1"/>
  <c r="AG10" i="4"/>
  <c r="AI10" i="4" s="1"/>
  <c r="AO10" i="4"/>
  <c r="AK141" i="4"/>
  <c r="AF141" i="4"/>
  <c r="AO101" i="4"/>
  <c r="AG101" i="4"/>
  <c r="AI101" i="4" s="1"/>
  <c r="AG144" i="4"/>
  <c r="AI144" i="4" s="1"/>
  <c r="AO144" i="4"/>
  <c r="AG94" i="4"/>
  <c r="AI94" i="4" s="1"/>
  <c r="AO94" i="4"/>
  <c r="AO58" i="4"/>
  <c r="AG58" i="4"/>
  <c r="AI58" i="4" s="1"/>
  <c r="AK130" i="4"/>
  <c r="AR132" i="4"/>
  <c r="AT132" i="4" s="1"/>
  <c r="AG24" i="4"/>
  <c r="AI24" i="4" s="1"/>
  <c r="AO24" i="4"/>
  <c r="AR105" i="4"/>
  <c r="AT105" i="4" s="1"/>
  <c r="AO155" i="4"/>
  <c r="AG155" i="4"/>
  <c r="AI155" i="4" s="1"/>
  <c r="AR140" i="4"/>
  <c r="AT140" i="4" s="1"/>
  <c r="AG83" i="4"/>
  <c r="AI83" i="4" s="1"/>
  <c r="AO83" i="4"/>
  <c r="AG34" i="4"/>
  <c r="AI34" i="4" s="1"/>
  <c r="AO34" i="4"/>
  <c r="AG59" i="4"/>
  <c r="AI59" i="4" s="1"/>
  <c r="AO59" i="4"/>
  <c r="AG21" i="4"/>
  <c r="AI21" i="4" s="1"/>
  <c r="AO21" i="4"/>
  <c r="AX207" i="5"/>
  <c r="AY207" i="5" s="1"/>
  <c r="AX233" i="5"/>
  <c r="AY233" i="5" s="1"/>
  <c r="AR76" i="4"/>
  <c r="AT76" i="4" s="1"/>
  <c r="AX549" i="5"/>
  <c r="AY549" i="5" s="1"/>
  <c r="AX195" i="5"/>
  <c r="AY195" i="5" s="1"/>
  <c r="AX546" i="5"/>
  <c r="AY546" i="5" s="1"/>
  <c r="AX442" i="5"/>
  <c r="AY442" i="5" s="1"/>
  <c r="AR86" i="4"/>
  <c r="AT86" i="4" s="1"/>
  <c r="AR8" i="4"/>
  <c r="AT8" i="4" s="1"/>
  <c r="AR54" i="4"/>
  <c r="AT54" i="4" s="1"/>
  <c r="AX352" i="5"/>
  <c r="AY352" i="5" s="1"/>
  <c r="AX422" i="5"/>
  <c r="AY422" i="5" s="1"/>
  <c r="AX51" i="5"/>
  <c r="AY51" i="5" s="1"/>
  <c r="AX545" i="5"/>
  <c r="AY545" i="5" s="1"/>
  <c r="AX534" i="5"/>
  <c r="AY534" i="5" s="1"/>
  <c r="AX419" i="5"/>
  <c r="AY419" i="5" s="1"/>
  <c r="AX190" i="5"/>
  <c r="AY190" i="5" s="1"/>
  <c r="AX55" i="5"/>
  <c r="AY55" i="5" s="1"/>
  <c r="AX541" i="5"/>
  <c r="AY541" i="5" s="1"/>
  <c r="AX526" i="5"/>
  <c r="AY526" i="5" s="1"/>
  <c r="AX246" i="5"/>
  <c r="AY246" i="5" s="1"/>
  <c r="AX357" i="5"/>
  <c r="AY357" i="5" s="1"/>
  <c r="AX95" i="5"/>
  <c r="AY95" i="5" s="1"/>
  <c r="AX124" i="5"/>
  <c r="AY124" i="5" s="1"/>
  <c r="AX106" i="5"/>
  <c r="AY106" i="5" s="1"/>
  <c r="AX164" i="5"/>
  <c r="AY164" i="5" s="1"/>
  <c r="AX61" i="5"/>
  <c r="AY61" i="5" s="1"/>
  <c r="AX171" i="5"/>
  <c r="AY171" i="5" s="1"/>
  <c r="AX154" i="5"/>
  <c r="AY154" i="5" s="1"/>
  <c r="AX152" i="5"/>
  <c r="AY152" i="5" s="1"/>
  <c r="AX27" i="5"/>
  <c r="AY27" i="5" s="1"/>
  <c r="AX516" i="5"/>
  <c r="AY516" i="5" s="1"/>
  <c r="AX227" i="5"/>
  <c r="AY227" i="5" s="1"/>
  <c r="AX88" i="5"/>
  <c r="AY88" i="5" s="1"/>
  <c r="AX519" i="5"/>
  <c r="AY519" i="5" s="1"/>
  <c r="AX366" i="5"/>
  <c r="AY366" i="5" s="1"/>
  <c r="AX242" i="5"/>
  <c r="AY242" i="5" s="1"/>
  <c r="AX189" i="5"/>
  <c r="AY189" i="5" s="1"/>
  <c r="AX441" i="5"/>
  <c r="AY441" i="5" s="1"/>
  <c r="B128" i="2"/>
  <c r="B134" i="2" s="1"/>
  <c r="AX50" i="5"/>
  <c r="AY50" i="5" s="1"/>
  <c r="AX40" i="5"/>
  <c r="AY40" i="5" s="1"/>
  <c r="AX29" i="5"/>
  <c r="AY29" i="5" s="1"/>
  <c r="AX414" i="5"/>
  <c r="AY414" i="5" s="1"/>
  <c r="AX155" i="5"/>
  <c r="AY155" i="5" s="1"/>
  <c r="AX334" i="5"/>
  <c r="AY334" i="5" s="1"/>
  <c r="AX430" i="5"/>
  <c r="AY430" i="5" s="1"/>
  <c r="K142" i="2"/>
  <c r="B131" i="2"/>
  <c r="B132" i="2" s="1"/>
  <c r="AR20" i="4"/>
  <c r="AT20" i="4" s="1"/>
  <c r="AX530" i="5"/>
  <c r="AY530" i="5" s="1"/>
  <c r="AR23" i="4"/>
  <c r="AT23" i="4" s="1"/>
  <c r="AR135" i="4"/>
  <c r="AT135" i="4" s="1"/>
  <c r="AR109" i="4"/>
  <c r="AT109" i="4" s="1"/>
  <c r="AR127" i="4"/>
  <c r="AT127" i="4" s="1"/>
  <c r="AR38" i="4"/>
  <c r="AT38" i="4" s="1"/>
  <c r="AR35" i="4"/>
  <c r="AT35" i="4" s="1"/>
  <c r="AR39" i="4"/>
  <c r="AT39" i="4" s="1"/>
  <c r="AR100" i="4"/>
  <c r="AT100" i="4" s="1"/>
  <c r="AR95" i="4"/>
  <c r="AT95" i="4" s="1"/>
  <c r="AR52" i="4"/>
  <c r="AT52" i="4" s="1"/>
  <c r="AR157" i="4"/>
  <c r="AT157" i="4" s="1"/>
  <c r="AR47" i="4"/>
  <c r="AT47" i="4" s="1"/>
  <c r="AR64" i="4"/>
  <c r="AT64" i="4" s="1"/>
  <c r="AR116" i="4"/>
  <c r="AT116" i="4" s="1"/>
  <c r="AR128" i="4"/>
  <c r="AT128" i="4" s="1"/>
  <c r="AR14" i="4"/>
  <c r="AT14" i="4" s="1"/>
  <c r="AR148" i="4"/>
  <c r="AT148" i="4" s="1"/>
  <c r="AR63" i="4"/>
  <c r="AT63" i="4" s="1"/>
  <c r="AR7" i="4"/>
  <c r="AT7" i="4" s="1"/>
  <c r="AR77" i="4"/>
  <c r="AT77" i="4" s="1"/>
  <c r="AR126" i="4"/>
  <c r="AT126" i="4" s="1"/>
  <c r="AR69" i="4"/>
  <c r="AT69" i="4" s="1"/>
  <c r="AR150" i="4"/>
  <c r="AT150" i="4" s="1"/>
  <c r="AR137" i="4"/>
  <c r="AT137" i="4" s="1"/>
  <c r="AR37" i="4"/>
  <c r="AT37" i="4" s="1"/>
  <c r="AR93" i="4"/>
  <c r="AT93" i="4" s="1"/>
  <c r="AR134" i="4"/>
  <c r="AT134" i="4" s="1"/>
  <c r="AR73" i="4"/>
  <c r="AT73" i="4" s="1"/>
  <c r="AR91" i="4"/>
  <c r="AT91" i="4" s="1"/>
  <c r="AR26" i="4" l="1"/>
  <c r="AT26" i="4" s="1"/>
  <c r="AR59" i="4"/>
  <c r="AT59" i="4" s="1"/>
  <c r="AR94" i="4"/>
  <c r="AT94" i="4" s="1"/>
  <c r="AR10" i="4"/>
  <c r="AT10" i="4" s="1"/>
  <c r="AR34" i="4"/>
  <c r="AT34" i="4" s="1"/>
  <c r="AR24" i="4"/>
  <c r="AT24" i="4" s="1"/>
  <c r="AR144" i="4"/>
  <c r="AT144" i="4" s="1"/>
  <c r="AR155" i="4"/>
  <c r="AT155" i="4" s="1"/>
  <c r="AR130" i="4"/>
  <c r="AT130" i="4" s="1"/>
  <c r="AR21" i="4"/>
  <c r="AT21" i="4" s="1"/>
  <c r="AG141" i="4"/>
  <c r="AI141" i="4" s="1"/>
  <c r="AO141" i="4"/>
  <c r="AR58" i="4"/>
  <c r="AT58" i="4" s="1"/>
  <c r="AR62" i="4"/>
  <c r="AT62" i="4" s="1"/>
  <c r="AR83" i="4"/>
  <c r="AT83" i="4" s="1"/>
  <c r="AR101" i="4"/>
  <c r="AT101" i="4" s="1"/>
  <c r="AY14" i="5"/>
  <c r="D69" i="5" s="1"/>
  <c r="B69" i="5" s="1"/>
  <c r="A69" i="5" s="1"/>
  <c r="L68" i="1" s="1"/>
  <c r="K136" i="2"/>
  <c r="B136" i="2" s="1"/>
  <c r="H31" i="1" s="1"/>
  <c r="AY12" i="5"/>
  <c r="D68" i="5" s="1"/>
  <c r="B68" i="5" s="1"/>
  <c r="A68" i="5" s="1"/>
  <c r="L67" i="1" s="1"/>
  <c r="B135" i="2"/>
  <c r="H30" i="1" s="1"/>
  <c r="AR141" i="4" l="1"/>
  <c r="AT14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BMC-BCS</author>
    <author>Schauer, Stefan</author>
  </authors>
  <commentList>
    <comment ref="A3" authorId="0" shapeId="0" xr:uid="{00000000-0006-0000-0000-000001000000}">
      <text>
        <r>
          <rPr>
            <b/>
            <sz val="11"/>
            <color indexed="10"/>
            <rFont val="Tahoma"/>
            <family val="2"/>
          </rPr>
          <t>Welcome to the LM5155 Design Tool</t>
        </r>
        <r>
          <rPr>
            <sz val="9"/>
            <color indexed="81"/>
            <rFont val="Tahoma"/>
            <family val="2"/>
          </rPr>
          <t xml:space="preserve">
This stand-alone tool facilitates and assists the power supply engineer with design of a DC-DC boost converter based on the LM5155 boost controller. As such, the user can expeditiously arrive at an optimized design by virtue of the following:
- Select components
- Optimize compensation values and pole/zero placement in terms of control loop stability using crossover frquency as a performance metric
- Inspect regulator efficiency and component power dissipation
- Analyze efficiency based on selected MOSFET, inductor and diode parameters
Note: When not using an english Excel version and a #name error is displayed after change a value try pressing Shift+ALT+CTRL+F9 and change the value again.
IMPORTANT: You must enable macros if Microsoft Excel asks as the file is being opened. U.S. English notation is used throughout. Make sure to input or select values in all of the yellow shaded cells even if a value already exists in that cell. Do not over write equations in cells, as this may result in calculation errors.
</t>
        </r>
      </text>
    </comment>
    <comment ref="G7" authorId="0" shapeId="0" xr:uid="{00000000-0006-0000-0000-000003000000}">
      <text>
        <r>
          <rPr>
            <b/>
            <sz val="9"/>
            <color indexed="81"/>
            <rFont val="Tahoma"/>
            <family val="2"/>
          </rPr>
          <t xml:space="preserve">Minimum Input Voltage:
</t>
        </r>
        <r>
          <rPr>
            <sz val="9"/>
            <color indexed="81"/>
            <rFont val="Tahoma"/>
            <family val="2"/>
          </rPr>
          <t>Enter the minimum operating input voltage.
The LM5155 BIAS pin voltage operating range is 3.5V to 45V.
The LM5156 BIAS pin voltage operating range is 3.5V to 60V.
If low voltage operation is required the BIAS pin can be supplied with V</t>
        </r>
        <r>
          <rPr>
            <vertAlign val="subscript"/>
            <sz val="9"/>
            <color indexed="81"/>
            <rFont val="Tahoma"/>
            <family val="2"/>
          </rPr>
          <t>OUT</t>
        </r>
        <r>
          <rPr>
            <sz val="9"/>
            <color indexed="81"/>
            <rFont val="Tahoma"/>
            <family val="2"/>
          </rPr>
          <t xml:space="preserve"> extending operation to 1.5V</t>
        </r>
        <r>
          <rPr>
            <b/>
            <sz val="9"/>
            <color indexed="81"/>
            <rFont val="Tahoma"/>
            <family val="2"/>
          </rPr>
          <t xml:space="preserve">
</t>
        </r>
        <r>
          <rPr>
            <b/>
            <sz val="9"/>
            <color indexed="52"/>
            <rFont val="Tahoma"/>
            <family val="2"/>
          </rPr>
          <t>The text in the cell is flagged orange if:</t>
        </r>
        <r>
          <rPr>
            <b/>
            <sz val="9"/>
            <color indexed="81"/>
            <rFont val="Tahoma"/>
            <family val="2"/>
          </rPr>
          <t xml:space="preserve">
</t>
        </r>
        <r>
          <rPr>
            <sz val="9"/>
            <color indexed="81"/>
            <rFont val="Tahoma"/>
            <family val="2"/>
          </rPr>
          <t>-The input voltage is above 45V</t>
        </r>
        <r>
          <rPr>
            <b/>
            <sz val="9"/>
            <color indexed="81"/>
            <rFont val="Tahoma"/>
            <family val="2"/>
          </rPr>
          <t xml:space="preserve">
</t>
        </r>
        <r>
          <rPr>
            <b/>
            <sz val="9"/>
            <color indexed="10"/>
            <rFont val="Tahoma"/>
            <family val="2"/>
          </rPr>
          <t>The text in the cell is flagged red if:</t>
        </r>
        <r>
          <rPr>
            <b/>
            <sz val="9"/>
            <color indexed="81"/>
            <rFont val="Tahoma"/>
            <family val="2"/>
          </rPr>
          <t xml:space="preserve">
</t>
        </r>
        <r>
          <rPr>
            <sz val="9"/>
            <color indexed="81"/>
            <rFont val="Tahoma"/>
            <family val="2"/>
          </rPr>
          <t>-The input voltage is above 60V
-The input voltage is below 1.5V</t>
        </r>
      </text>
    </comment>
    <comment ref="G8" authorId="0" shapeId="0" xr:uid="{00000000-0006-0000-0000-000004000000}">
      <text>
        <r>
          <rPr>
            <b/>
            <sz val="9"/>
            <color indexed="81"/>
            <rFont val="Tahoma"/>
            <family val="2"/>
          </rPr>
          <t xml:space="preserve">Nominal Input Voltage:
</t>
        </r>
        <r>
          <rPr>
            <sz val="9"/>
            <color indexed="81"/>
            <rFont val="Tahoma"/>
            <family val="2"/>
          </rPr>
          <t>Enter the nominal operating input voltage.
The LM5155 input voltage operating range is 1.5V to 45V.</t>
        </r>
        <r>
          <rPr>
            <b/>
            <sz val="9"/>
            <color indexed="81"/>
            <rFont val="Tahoma"/>
            <family val="2"/>
          </rPr>
          <t xml:space="preserve">
</t>
        </r>
        <r>
          <rPr>
            <sz val="9"/>
            <color indexed="81"/>
            <rFont val="Tahoma"/>
            <family val="2"/>
          </rPr>
          <t xml:space="preserve">The LM5156 input voltage operating range is 1.5V to 60V.
</t>
        </r>
        <r>
          <rPr>
            <b/>
            <sz val="9"/>
            <color indexed="81"/>
            <rFont val="Tahoma"/>
            <family val="2"/>
          </rPr>
          <t xml:space="preserve">
</t>
        </r>
        <r>
          <rPr>
            <b/>
            <sz val="9"/>
            <color indexed="10"/>
            <rFont val="Tahoma"/>
            <family val="2"/>
          </rPr>
          <t>The text in the cell is flagged red if:</t>
        </r>
        <r>
          <rPr>
            <b/>
            <sz val="9"/>
            <color indexed="81"/>
            <rFont val="Tahoma"/>
            <family val="2"/>
          </rPr>
          <t xml:space="preserve">
</t>
        </r>
        <r>
          <rPr>
            <sz val="9"/>
            <color indexed="81"/>
            <rFont val="Tahoma"/>
            <family val="2"/>
          </rPr>
          <t>-The input voltage is above V</t>
        </r>
        <r>
          <rPr>
            <vertAlign val="subscript"/>
            <sz val="9"/>
            <color indexed="81"/>
            <rFont val="Tahoma"/>
            <family val="2"/>
          </rPr>
          <t>SUPPLY</t>
        </r>
        <r>
          <rPr>
            <sz val="9"/>
            <color indexed="81"/>
            <rFont val="Tahoma"/>
            <family val="2"/>
          </rPr>
          <t>(max)
-The input voltage is below V</t>
        </r>
        <r>
          <rPr>
            <vertAlign val="subscript"/>
            <sz val="9"/>
            <color indexed="81"/>
            <rFont val="Tahoma"/>
            <family val="2"/>
          </rPr>
          <t>SUPPLY</t>
        </r>
        <r>
          <rPr>
            <sz val="9"/>
            <color indexed="81"/>
            <rFont val="Tahoma"/>
            <family val="2"/>
          </rPr>
          <t>(min)</t>
        </r>
      </text>
    </comment>
    <comment ref="G9" authorId="0" shapeId="0" xr:uid="{00000000-0006-0000-0000-000005000000}">
      <text>
        <r>
          <rPr>
            <b/>
            <sz val="9"/>
            <color indexed="81"/>
            <rFont val="Tahoma"/>
            <family val="2"/>
          </rPr>
          <t>Maximum Input Voltage:</t>
        </r>
        <r>
          <rPr>
            <sz val="9"/>
            <color indexed="81"/>
            <rFont val="Tahoma"/>
            <family val="2"/>
          </rPr>
          <t xml:space="preserve">
Enter the maximum operating input voltage.
The LM5155 input voltage operating range is 1.5V to 45V.
The LM5156 input voltage operating range is 1.5V to 60V.
</t>
        </r>
        <r>
          <rPr>
            <b/>
            <sz val="9"/>
            <color indexed="10"/>
            <rFont val="Tahoma"/>
            <family val="2"/>
          </rPr>
          <t xml:space="preserve">
</t>
        </r>
        <r>
          <rPr>
            <b/>
            <sz val="9"/>
            <color indexed="52"/>
            <rFont val="Tahoma"/>
            <family val="2"/>
          </rPr>
          <t>The text in the cell is flagged orange if:</t>
        </r>
        <r>
          <rPr>
            <b/>
            <sz val="9"/>
            <color indexed="10"/>
            <rFont val="Tahoma"/>
            <family val="2"/>
          </rPr>
          <t xml:space="preserve">
</t>
        </r>
        <r>
          <rPr>
            <sz val="9"/>
            <color indexed="81"/>
            <rFont val="Tahoma"/>
            <family val="2"/>
          </rPr>
          <t>-The input voltage is above 45V</t>
        </r>
        <r>
          <rPr>
            <b/>
            <sz val="9"/>
            <color indexed="10"/>
            <rFont val="Tahoma"/>
            <family val="2"/>
          </rPr>
          <t xml:space="preserve">
The text in the cell is flagged red if:</t>
        </r>
        <r>
          <rPr>
            <sz val="9"/>
            <color indexed="81"/>
            <rFont val="Tahoma"/>
            <family val="2"/>
          </rPr>
          <t xml:space="preserve">
-The input voltage is above 60V
-The input voltage is below 1.5V
</t>
        </r>
      </text>
    </comment>
    <comment ref="G10" authorId="0" shapeId="0" xr:uid="{00000000-0006-0000-0000-000006000000}">
      <text>
        <r>
          <rPr>
            <b/>
            <sz val="9"/>
            <color indexed="81"/>
            <rFont val="Tahoma"/>
            <family val="2"/>
          </rPr>
          <t>Output Voltage:</t>
        </r>
        <r>
          <rPr>
            <sz val="9"/>
            <color indexed="81"/>
            <rFont val="Tahoma"/>
            <family val="2"/>
          </rPr>
          <t xml:space="preserve">
Enter the desired output voltage.
</t>
        </r>
      </text>
    </comment>
    <comment ref="G12" authorId="0" shapeId="0" xr:uid="{00000000-0006-0000-0000-000007000000}">
      <text>
        <r>
          <rPr>
            <b/>
            <sz val="9"/>
            <color indexed="81"/>
            <rFont val="Tahoma"/>
            <family val="2"/>
          </rPr>
          <t>Operating Frequency (set by RT):</t>
        </r>
        <r>
          <rPr>
            <sz val="9"/>
            <color indexed="81"/>
            <rFont val="Tahoma"/>
            <family val="2"/>
          </rPr>
          <t xml:space="preserve">
This cell defines the free-running switching frequency set by the RT resistor. 
</t>
        </r>
        <r>
          <rPr>
            <sz val="11"/>
            <color indexed="10"/>
            <rFont val="Calibri"/>
            <family val="2"/>
            <scheme val="minor"/>
          </rPr>
          <t>The text in the cell is flagged red if:</t>
        </r>
        <r>
          <rPr>
            <sz val="9"/>
            <color indexed="81"/>
            <rFont val="Tahoma"/>
            <family val="2"/>
          </rPr>
          <t xml:space="preserve">
-The frequency is below 100 kHz
-The frequency is above 2.2 MHz</t>
        </r>
      </text>
    </comment>
    <comment ref="G14" authorId="0" shapeId="0" xr:uid="{00000000-0006-0000-0000-000008000000}">
      <text>
        <r>
          <rPr>
            <b/>
            <sz val="9"/>
            <color indexed="81"/>
            <rFont val="Tahoma"/>
            <family val="2"/>
          </rPr>
          <t xml:space="preserve">Estimated Efficiency
</t>
        </r>
        <r>
          <rPr>
            <sz val="9"/>
            <color indexed="81"/>
            <rFont val="Tahoma"/>
            <family val="2"/>
          </rPr>
          <t>A good estimate at full load current and Vsupply(min) is around the 90% to 93% range</t>
        </r>
      </text>
    </comment>
    <comment ref="G16" authorId="0" shapeId="0" xr:uid="{00000000-0006-0000-0000-000009000000}">
      <text>
        <r>
          <rPr>
            <b/>
            <sz val="9"/>
            <color indexed="81"/>
            <rFont val="Tahoma"/>
            <family val="2"/>
          </rPr>
          <t xml:space="preserve">Maximum duty cycle
</t>
        </r>
        <r>
          <rPr>
            <sz val="9"/>
            <color indexed="81"/>
            <rFont val="Tahoma"/>
            <family val="2"/>
          </rPr>
          <t xml:space="preserve">Limit of the LM5155. See the datasheet for more detail on how the maximum duty cycle changes with switching frequency
</t>
        </r>
      </text>
    </comment>
    <comment ref="G17" authorId="1" shapeId="0" xr:uid="{08B8E066-477C-411E-B516-1DCAD11E8DA9}">
      <text>
        <r>
          <rPr>
            <b/>
            <sz val="9"/>
            <color indexed="81"/>
            <rFont val="Tahoma"/>
            <family val="2"/>
          </rPr>
          <t xml:space="preserve">Ideal Duty Cycle at Vsupply(MIN):
</t>
        </r>
        <r>
          <rPr>
            <sz val="9"/>
            <color indexed="81"/>
            <rFont val="Tahoma"/>
            <family val="2"/>
          </rPr>
          <t xml:space="preserve">
Calculated with  1- (VIN_min/VOUT). 
</t>
        </r>
        <r>
          <rPr>
            <b/>
            <sz val="9"/>
            <color indexed="10"/>
            <rFont val="Tahoma"/>
            <family val="2"/>
          </rPr>
          <t xml:space="preserve">The text in the cell is flagged red if:
</t>
        </r>
        <r>
          <rPr>
            <sz val="9"/>
            <color indexed="81"/>
            <rFont val="Tahoma"/>
            <family val="2"/>
          </rPr>
          <t xml:space="preserve">- The duty cycle is above the Limit value (in the cell above)
  Based on the limits given in the datasheet
</t>
        </r>
      </text>
    </comment>
    <comment ref="G18" authorId="1" shapeId="0" xr:uid="{74A21C24-1F16-4017-9418-3CDE4814AE31}">
      <text>
        <r>
          <rPr>
            <b/>
            <sz val="9"/>
            <color indexed="81"/>
            <rFont val="Tahoma"/>
            <family val="2"/>
          </rPr>
          <t xml:space="preserve">Select the Operation mode:
</t>
        </r>
        <r>
          <rPr>
            <sz val="9"/>
            <color indexed="81"/>
            <rFont val="Tahoma"/>
            <family val="2"/>
          </rPr>
          <t xml:space="preserve">Select the operation mode at maximum load:
CCM: Continious Contuction Mode
DCM: Discontinious Contuction Mode
</t>
        </r>
      </text>
    </comment>
    <comment ref="G21" authorId="0" shapeId="0" xr:uid="{00000000-0006-0000-0000-00000A000000}">
      <text>
        <r>
          <rPr>
            <b/>
            <sz val="9"/>
            <color indexed="81"/>
            <rFont val="Tahoma"/>
            <family val="2"/>
          </rPr>
          <t>Ripple Ratio</t>
        </r>
        <r>
          <rPr>
            <sz val="9"/>
            <color indexed="81"/>
            <rFont val="Tahoma"/>
            <family val="2"/>
          </rPr>
          <t xml:space="preserve">
Select the maximum ripple ratio of the inductor current. The maximum ripple ratio occurs when the duty cycle is 33%. 
Typically a good maximum ripple current is in the 50% to 70% range. In this range there is a good trade off between efficiency and the minimum RHP zero frequency of the plant</t>
        </r>
      </text>
    </comment>
    <comment ref="G23" authorId="0" shapeId="0" xr:uid="{00000000-0006-0000-0000-00000B000000}">
      <text>
        <r>
          <rPr>
            <b/>
            <sz val="9"/>
            <color indexed="81"/>
            <rFont val="Tahoma"/>
            <family val="2"/>
          </rPr>
          <t xml:space="preserve">Filter Inductance:
</t>
        </r>
        <r>
          <rPr>
            <sz val="9"/>
            <color indexed="81"/>
            <rFont val="Tahoma"/>
            <family val="2"/>
          </rPr>
          <t xml:space="preserve">Enter the filter inductance here.
</t>
        </r>
        <r>
          <rPr>
            <b/>
            <sz val="9"/>
            <color indexed="10"/>
            <rFont val="Tahoma"/>
            <family val="2"/>
          </rPr>
          <t xml:space="preserve">The text in the cell is flagged red if:
</t>
        </r>
        <r>
          <rPr>
            <sz val="9"/>
            <color indexed="81"/>
            <rFont val="Tahoma"/>
            <family val="2"/>
          </rPr>
          <t xml:space="preserve">The selected inductance will not be supported the above set operation mode at maximum load.
(Checked only at the 3 given Supply Voltages (Min/Nom/Max).
</t>
        </r>
      </text>
    </comment>
    <comment ref="G24" authorId="0" shapeId="0" xr:uid="{00000000-0006-0000-0000-00000C000000}">
      <text>
        <r>
          <rPr>
            <b/>
            <sz val="9"/>
            <color indexed="81"/>
            <rFont val="Tahoma"/>
            <family val="2"/>
          </rPr>
          <t xml:space="preserve">Inductor DCR:
</t>
        </r>
        <r>
          <rPr>
            <sz val="9"/>
            <color indexed="81"/>
            <rFont val="Tahoma"/>
            <family val="2"/>
          </rPr>
          <t xml:space="preserve">Enter the inductor DC resistance here. This is typically specified in the inductor datasheet at 25°C copper temperature.
</t>
        </r>
      </text>
    </comment>
    <comment ref="G25" authorId="0" shapeId="0" xr:uid="{00000000-0006-0000-0000-00000D000000}">
      <text>
        <r>
          <rPr>
            <b/>
            <sz val="9"/>
            <color indexed="81"/>
            <rFont val="Tahoma"/>
            <family val="2"/>
          </rPr>
          <t>Peak Inductor Current</t>
        </r>
        <r>
          <rPr>
            <sz val="9"/>
            <color indexed="81"/>
            <rFont val="Tahoma"/>
            <family val="2"/>
          </rPr>
          <t xml:space="preserve">
Maximum peak inductor current during normal operation.  The peak current limit calculations are based on this value</t>
        </r>
      </text>
    </comment>
    <comment ref="G28" authorId="0" shapeId="0" xr:uid="{00000000-0006-0000-0000-00000E000000}">
      <text>
        <r>
          <rPr>
            <b/>
            <sz val="9"/>
            <color indexed="81"/>
            <rFont val="Tahoma"/>
            <family val="2"/>
          </rPr>
          <t>Peak Current Limit Margin</t>
        </r>
        <r>
          <rPr>
            <sz val="9"/>
            <color indexed="81"/>
            <rFont val="Tahoma"/>
            <family val="2"/>
          </rPr>
          <t xml:space="preserve">
Margin above the calculated peak inductor current. Margin must be given to allow for load transients and component tolerances.
Value should be higher then 15% to avoid false triggers.
The recommended value from the Datasheet is 20%.</t>
        </r>
      </text>
    </comment>
    <comment ref="G29" authorId="0" shapeId="0" xr:uid="{00000000-0006-0000-0000-00000F000000}">
      <text>
        <r>
          <rPr>
            <b/>
            <sz val="9"/>
            <color indexed="81"/>
            <rFont val="Tahoma"/>
            <family val="2"/>
          </rPr>
          <t xml:space="preserve">Selected Peak Inductor Current Limt
</t>
        </r>
        <r>
          <rPr>
            <sz val="9"/>
            <color indexed="81"/>
            <rFont val="Tahoma"/>
            <family val="2"/>
          </rPr>
          <t xml:space="preserve">
Peak inductor current limit based on the margin and the steady state peak inductor current at V</t>
        </r>
        <r>
          <rPr>
            <vertAlign val="subscript"/>
            <sz val="9"/>
            <color indexed="81"/>
            <rFont val="Tahoma"/>
            <family val="2"/>
          </rPr>
          <t>IN_MIN</t>
        </r>
        <r>
          <rPr>
            <sz val="9"/>
            <color indexed="81"/>
            <rFont val="Tahoma"/>
            <family val="2"/>
          </rPr>
          <t xml:space="preserve"> and maximum output current</t>
        </r>
      </text>
    </comment>
    <comment ref="G30" authorId="0" shapeId="0" xr:uid="{00000000-0006-0000-0000-000010000000}">
      <text>
        <r>
          <rPr>
            <b/>
            <sz val="9"/>
            <color rgb="FF000000"/>
            <rFont val="Tahoma"/>
            <family val="2"/>
          </rPr>
          <t>Current Sense Resistor Calculation</t>
        </r>
        <r>
          <rPr>
            <sz val="9"/>
            <color rgb="FF000000"/>
            <rFont val="Tahoma"/>
            <family val="2"/>
          </rPr>
          <t xml:space="preserve">
</t>
        </r>
        <r>
          <rPr>
            <sz val="9"/>
            <color rgb="FF000000"/>
            <rFont val="Tahoma"/>
            <family val="2"/>
          </rPr>
          <t xml:space="preserve">
</t>
        </r>
        <r>
          <rPr>
            <sz val="9"/>
            <color rgb="FF000000"/>
            <rFont val="Tahoma"/>
            <family val="2"/>
          </rPr>
          <t xml:space="preserve">Calculated current sense resistor based on the desired maximum peak current limit. 
</t>
        </r>
        <r>
          <rPr>
            <sz val="9"/>
            <color rgb="FF000000"/>
            <rFont val="Tahoma"/>
            <family val="2"/>
          </rPr>
          <t xml:space="preserve">
</t>
        </r>
      </text>
    </comment>
    <comment ref="G31" authorId="0" shapeId="0" xr:uid="{00000000-0006-0000-0000-000011000000}">
      <text>
        <r>
          <rPr>
            <b/>
            <sz val="9"/>
            <color indexed="81"/>
            <rFont val="Tahoma"/>
            <family val="2"/>
          </rPr>
          <t>Calculated External Slope Compensation Resistor</t>
        </r>
        <r>
          <rPr>
            <sz val="9"/>
            <color indexed="81"/>
            <rFont val="Tahoma"/>
            <family val="2"/>
          </rPr>
          <t xml:space="preserve">
Calculated external slope compensation resistor based on the desired maximum peak current limit. 
</t>
        </r>
      </text>
    </comment>
    <comment ref="G35" authorId="0" shapeId="0" xr:uid="{00000000-0006-0000-0000-000013000000}">
      <text>
        <r>
          <rPr>
            <b/>
            <sz val="9"/>
            <color indexed="81"/>
            <rFont val="Tahoma"/>
            <family val="2"/>
          </rPr>
          <t>The saturation current of the inductor must be higher than the peak inductor current limint. 
Recommended Margin is ~15%</t>
        </r>
      </text>
    </comment>
    <comment ref="G38" authorId="1" shapeId="0" xr:uid="{34A1C02D-A92A-4231-935A-D27CE25D0CCD}">
      <text>
        <r>
          <rPr>
            <b/>
            <sz val="9"/>
            <color indexed="81"/>
            <rFont val="Tahoma"/>
            <family val="2"/>
          </rPr>
          <t xml:space="preserve">Peak to Peak Voltage Ripple
</t>
        </r>
        <r>
          <rPr>
            <sz val="9"/>
            <color indexed="81"/>
            <rFont val="Tahoma"/>
            <family val="2"/>
          </rPr>
          <t>Desired output voltage transient for 50% load to 100% load step.</t>
        </r>
      </text>
    </comment>
    <comment ref="G45" authorId="1" shapeId="0" xr:uid="{27BE2E58-6B05-4EB2-ACEC-FABDB0D92520}">
      <text>
        <r>
          <rPr>
            <b/>
            <sz val="9"/>
            <color rgb="FF000000"/>
            <rFont val="Tahoma"/>
            <family val="2"/>
          </rPr>
          <t xml:space="preserve">Suggested min. Softstart Capacitor
</t>
        </r>
        <r>
          <rPr>
            <sz val="9"/>
            <color rgb="FF000000"/>
            <rFont val="Tahoma"/>
            <family val="2"/>
          </rPr>
          <t xml:space="preserve">
</t>
        </r>
        <r>
          <rPr>
            <sz val="9"/>
            <color rgb="FF000000"/>
            <rFont val="Tahoma"/>
            <family val="2"/>
          </rPr>
          <t xml:space="preserve">The suggested min. Softstart Capacitor is set to avoid overshoot of the output voltage.
</t>
        </r>
        <r>
          <rPr>
            <sz val="9"/>
            <color rgb="FF000000"/>
            <rFont val="Tahoma"/>
            <family val="2"/>
          </rPr>
          <t xml:space="preserve">It is based on the Load Current and Output Capacitor.
</t>
        </r>
      </text>
    </comment>
    <comment ref="G57" authorId="0" shapeId="0" xr:uid="{00000000-0006-0000-0000-000014000000}">
      <text>
        <r>
          <rPr>
            <b/>
            <sz val="9"/>
            <color rgb="FF000000"/>
            <rFont val="Tahoma"/>
            <family val="2"/>
          </rPr>
          <t xml:space="preserve">Changes the input voltage value. Allow for evaluation of the control loop and efficiency at different input voltages.
</t>
        </r>
        <r>
          <rPr>
            <b/>
            <sz val="9"/>
            <color rgb="FF000000"/>
            <rFont val="Tahoma"/>
            <family val="2"/>
          </rPr>
          <t xml:space="preserve">
</t>
        </r>
        <r>
          <rPr>
            <b/>
            <sz val="9"/>
            <color rgb="FF000000"/>
            <rFont val="Tahoma"/>
            <family val="2"/>
          </rPr>
          <t xml:space="preserve">
</t>
        </r>
        <r>
          <rPr>
            <b/>
            <sz val="9"/>
            <color rgb="FFFF0000"/>
            <rFont val="Tahoma"/>
            <family val="2"/>
          </rPr>
          <t xml:space="preserve">The text in the cell is flagged red if:
</t>
        </r>
        <r>
          <rPr>
            <b/>
            <sz val="9"/>
            <color rgb="FFFF0000"/>
            <rFont val="Tahoma"/>
            <family val="2"/>
          </rPr>
          <t xml:space="preserve">-The variable input voltage is less than the minimum input voltage
</t>
        </r>
        <r>
          <rPr>
            <b/>
            <sz val="9"/>
            <color rgb="FFFF0000"/>
            <rFont val="Tahoma"/>
            <family val="2"/>
          </rPr>
          <t>-The variable input voltage is greater than the maximum input voltage</t>
        </r>
      </text>
    </comment>
    <comment ref="G62" authorId="1" shapeId="0" xr:uid="{CAA0D2B2-1619-4A36-A8E5-8EF89AE0C27B}">
      <text>
        <r>
          <rPr>
            <b/>
            <sz val="9"/>
            <color indexed="81"/>
            <rFont val="Tahoma"/>
            <family val="2"/>
          </rPr>
          <t>Select Bottomresistor R</t>
        </r>
        <r>
          <rPr>
            <b/>
            <sz val="8"/>
            <color indexed="81"/>
            <rFont val="Tahoma"/>
            <family val="2"/>
          </rPr>
          <t>FBB</t>
        </r>
        <r>
          <rPr>
            <b/>
            <sz val="9"/>
            <color indexed="81"/>
            <rFont val="Tahoma"/>
            <family val="2"/>
          </rPr>
          <t xml:space="preserve">
</t>
        </r>
        <r>
          <rPr>
            <sz val="9"/>
            <color indexed="81"/>
            <rFont val="Tahoma"/>
            <family val="2"/>
          </rPr>
          <t xml:space="preserve">
Select the closes value to the calculated bottom feedback resistor based on the used standard resistor series (e.g. E48).</t>
        </r>
      </text>
    </comment>
    <comment ref="F69" authorId="1" shapeId="0" xr:uid="{CA3EAB78-A137-4F5E-A063-15FB6763AD4F}">
      <text>
        <r>
          <rPr>
            <b/>
            <sz val="9"/>
            <color rgb="FF000000"/>
            <rFont val="Tahoma"/>
            <family val="2"/>
          </rPr>
          <t xml:space="preserve">Calculated Loop Comenstation Values:
</t>
        </r>
        <r>
          <rPr>
            <b/>
            <sz val="9"/>
            <color rgb="FF000000"/>
            <rFont val="Tahoma"/>
            <family val="2"/>
          </rPr>
          <t xml:space="preserve">
</t>
        </r>
        <r>
          <rPr>
            <sz val="9"/>
            <color rgb="FF000000"/>
            <rFont val="Tahoma"/>
            <family val="2"/>
          </rPr>
          <t xml:space="preserve">The calculation of this loop compensation values are based on the selected bandwidth (Fco) and the minimum input Voltage Vin.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BMC-BCS</author>
  </authors>
  <commentList>
    <comment ref="K21" authorId="0" shapeId="0" xr:uid="{00000000-0006-0000-0100-000001000000}">
      <text>
        <r>
          <rPr>
            <b/>
            <sz val="9"/>
            <color indexed="81"/>
            <rFont val="Tahoma"/>
            <family val="2"/>
          </rPr>
          <t>Forced off time limit? 
[2 True, 1 False]</t>
        </r>
        <r>
          <rPr>
            <sz val="9"/>
            <color indexed="81"/>
            <rFont val="Tahoma"/>
            <family val="2"/>
          </rPr>
          <t xml:space="preserve">
</t>
        </r>
      </text>
    </comment>
    <comment ref="K141" authorId="0" shapeId="0" xr:uid="{00000000-0006-0000-0100-000002000000}">
      <text>
        <r>
          <rPr>
            <b/>
            <sz val="9"/>
            <color indexed="81"/>
            <rFont val="Tahoma"/>
            <family val="2"/>
          </rPr>
          <t xml:space="preserve">Slope Compensation flag. If this flag is tripped there is not enough slope compensation. Double check the calculated values
</t>
        </r>
        <r>
          <rPr>
            <sz val="9"/>
            <color indexed="81"/>
            <rFont val="Tahoma"/>
            <family val="2"/>
          </rPr>
          <t xml:space="preserve">
</t>
        </r>
      </text>
    </comment>
    <comment ref="K142" authorId="0" shapeId="0" xr:uid="{00000000-0006-0000-0100-000003000000}">
      <text>
        <r>
          <rPr>
            <sz val="9"/>
            <color indexed="81"/>
            <rFont val="Tahoma"/>
            <family val="2"/>
          </rPr>
          <t xml:space="preserve">Tripped if the current sense resistor results in a lower current limit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BMC-BCS</author>
  </authors>
  <commentList>
    <comment ref="V6" authorId="0" shapeId="0" xr:uid="{00000000-0006-0000-0200-000001000000}">
      <text>
        <r>
          <rPr>
            <b/>
            <sz val="9"/>
            <color indexed="81"/>
            <rFont val="Tahoma"/>
            <family val="2"/>
          </rPr>
          <t xml:space="preserve">1 = DCM operation
2 = CCM operation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BMC-BCS</author>
  </authors>
  <commentList>
    <comment ref="O18" authorId="0" shapeId="0" xr:uid="{00000000-0006-0000-0300-000001000000}">
      <text>
        <r>
          <rPr>
            <b/>
            <sz val="9"/>
            <color indexed="81"/>
            <rFont val="Tahoma"/>
            <family val="2"/>
          </rPr>
          <t>BMC-BCS:</t>
        </r>
        <r>
          <rPr>
            <sz val="9"/>
            <color indexed="81"/>
            <rFont val="Tahoma"/>
            <family val="2"/>
          </rPr>
          <t xml:space="preserve">
Need to make this log not linear at some point
</t>
        </r>
      </text>
    </comment>
  </commentList>
</comments>
</file>

<file path=xl/sharedStrings.xml><?xml version="1.0" encoding="utf-8"?>
<sst xmlns="http://schemas.openxmlformats.org/spreadsheetml/2006/main" count="987" uniqueCount="582">
  <si>
    <t>TERMS OF USE</t>
  </si>
  <si>
    <t>ABOUT</t>
  </si>
  <si>
    <t>=Input Box</t>
  </si>
  <si>
    <t>Step 1: Design Specifications</t>
  </si>
  <si>
    <r>
      <t>Minimum Input Supply Voltage , V</t>
    </r>
    <r>
      <rPr>
        <vertAlign val="subscript"/>
        <sz val="10"/>
        <color theme="1"/>
        <rFont val="Calibri"/>
        <family val="2"/>
        <scheme val="minor"/>
      </rPr>
      <t>SUPPLY(min)</t>
    </r>
    <r>
      <rPr>
        <sz val="10"/>
        <color theme="1"/>
        <rFont val="Calibri"/>
        <family val="2"/>
        <scheme val="minor"/>
      </rPr>
      <t xml:space="preserve"> </t>
    </r>
  </si>
  <si>
    <r>
      <t>Typical Input Supply Voltage, V</t>
    </r>
    <r>
      <rPr>
        <vertAlign val="subscript"/>
        <sz val="10"/>
        <color theme="1"/>
        <rFont val="Calibri"/>
        <family val="2"/>
        <scheme val="minor"/>
      </rPr>
      <t>SUPPLY(typ)</t>
    </r>
    <r>
      <rPr>
        <sz val="10"/>
        <color theme="1"/>
        <rFont val="Calibri"/>
        <family val="2"/>
        <scheme val="minor"/>
      </rPr>
      <t xml:space="preserve"> </t>
    </r>
  </si>
  <si>
    <r>
      <t>Maximum Input Supply Voltage , V</t>
    </r>
    <r>
      <rPr>
        <vertAlign val="subscript"/>
        <sz val="10"/>
        <color theme="1"/>
        <rFont val="Calibri"/>
        <family val="2"/>
        <scheme val="minor"/>
      </rPr>
      <t>SUPPLY(max)</t>
    </r>
    <r>
      <rPr>
        <sz val="10"/>
        <color theme="1"/>
        <rFont val="Calibri"/>
        <family val="2"/>
        <scheme val="minor"/>
      </rPr>
      <t xml:space="preserve"> </t>
    </r>
  </si>
  <si>
    <r>
      <t>Maximum Output Current , I</t>
    </r>
    <r>
      <rPr>
        <vertAlign val="subscript"/>
        <sz val="10"/>
        <color theme="1"/>
        <rFont val="Calibri"/>
        <family val="2"/>
        <scheme val="minor"/>
      </rPr>
      <t>LOAD</t>
    </r>
    <r>
      <rPr>
        <sz val="10"/>
        <color theme="1"/>
        <rFont val="Calibri"/>
        <family val="2"/>
        <scheme val="minor"/>
      </rPr>
      <t xml:space="preserve"> </t>
    </r>
  </si>
  <si>
    <r>
      <t>Free Running Switching Frequency, F</t>
    </r>
    <r>
      <rPr>
        <vertAlign val="subscript"/>
        <sz val="10"/>
        <color theme="1"/>
        <rFont val="Calibri"/>
        <family val="2"/>
        <scheme val="minor"/>
      </rPr>
      <t>SW</t>
    </r>
  </si>
  <si>
    <t>Estimated Efficiency</t>
  </si>
  <si>
    <t>V</t>
  </si>
  <si>
    <t>A</t>
  </si>
  <si>
    <t>kHz</t>
  </si>
  <si>
    <t>%</t>
  </si>
  <si>
    <r>
      <t>Output Power, P</t>
    </r>
    <r>
      <rPr>
        <vertAlign val="subscript"/>
        <sz val="10"/>
        <color theme="1"/>
        <rFont val="Calibri"/>
        <family val="2"/>
        <scheme val="minor"/>
      </rPr>
      <t>OUT</t>
    </r>
    <r>
      <rPr>
        <sz val="10"/>
        <color theme="1"/>
        <rFont val="Calibri"/>
        <family val="2"/>
        <scheme val="minor"/>
      </rPr>
      <t xml:space="preserve"> </t>
    </r>
  </si>
  <si>
    <t>EXCEL Variables Names/Calculations</t>
  </si>
  <si>
    <t>Input from user =</t>
  </si>
  <si>
    <t>Output =</t>
  </si>
  <si>
    <t>Constant</t>
  </si>
  <si>
    <t>Variable Name</t>
  </si>
  <si>
    <t>Value</t>
  </si>
  <si>
    <t>STD Units</t>
  </si>
  <si>
    <t>Notes</t>
  </si>
  <si>
    <t>Iteration</t>
  </si>
  <si>
    <t>Step 1: Operational Specs</t>
  </si>
  <si>
    <t>VIN_min</t>
  </si>
  <si>
    <t>VIN_nom</t>
  </si>
  <si>
    <t>VIN_max</t>
  </si>
  <si>
    <t>Minimum input voltage</t>
  </si>
  <si>
    <t>Nominal input voltage</t>
  </si>
  <si>
    <t>Maximum input voltage</t>
  </si>
  <si>
    <t>VOUT</t>
  </si>
  <si>
    <t>Target Output Voltage</t>
  </si>
  <si>
    <t>IOUT</t>
  </si>
  <si>
    <t>Maximum Output current</t>
  </si>
  <si>
    <t>ROUT</t>
  </si>
  <si>
    <t>Ω</t>
  </si>
  <si>
    <t>POUT</t>
  </si>
  <si>
    <t>W</t>
  </si>
  <si>
    <t>EFF_est</t>
  </si>
  <si>
    <t>Estimated efficiency</t>
  </si>
  <si>
    <t>Total output power</t>
  </si>
  <si>
    <t>Minimum load resistance</t>
  </si>
  <si>
    <t>Dc_max_ideal</t>
  </si>
  <si>
    <t>Maximum duty cycle at the minimum input voltage</t>
  </si>
  <si>
    <t>Dc_max_IC</t>
  </si>
  <si>
    <t>Maximum IC duty cycle. Based on the forced off time. See Mathcad Calculations</t>
  </si>
  <si>
    <t>D_2p2_min</t>
  </si>
  <si>
    <t>D_2p2_nom</t>
  </si>
  <si>
    <t>D_2p2_max</t>
  </si>
  <si>
    <t>Minimum max duty cycle at 2p2MHZ operation</t>
  </si>
  <si>
    <t>t_off_max</t>
  </si>
  <si>
    <t>T_off_nom</t>
  </si>
  <si>
    <t>T_off_min</t>
  </si>
  <si>
    <t>s</t>
  </si>
  <si>
    <t>Minimum forced off time</t>
  </si>
  <si>
    <t>nominal forced off time</t>
  </si>
  <si>
    <t>Maximum forced off time</t>
  </si>
  <si>
    <t xml:space="preserve">IC Duty Cycle Limitation: </t>
  </si>
  <si>
    <t>D_limit_min</t>
  </si>
  <si>
    <t>D_limit_nom</t>
  </si>
  <si>
    <t>D_limit_max</t>
  </si>
  <si>
    <t>Nomminal max duty cycle at low frequency</t>
  </si>
  <si>
    <t xml:space="preserve">Base Calculations of </t>
  </si>
  <si>
    <t>Spec conditions</t>
  </si>
  <si>
    <t>Min max duty cycle at low frequency</t>
  </si>
  <si>
    <t>Maximum max duty cycle at low frequency</t>
  </si>
  <si>
    <t>Nominal right now</t>
  </si>
  <si>
    <t>Fsw</t>
  </si>
  <si>
    <t>Hz</t>
  </si>
  <si>
    <t xml:space="preserve">Switching frequnecy </t>
  </si>
  <si>
    <t>Flag</t>
  </si>
  <si>
    <t>Forced off time limit? [2 True, 1 False]</t>
  </si>
  <si>
    <t>RT</t>
  </si>
  <si>
    <t>Oscillator Set resistor. Based on the datasheet equation</t>
  </si>
  <si>
    <r>
      <t>Free running Oscillator Set Resistor, R</t>
    </r>
    <r>
      <rPr>
        <vertAlign val="subscript"/>
        <sz val="10"/>
        <color theme="1"/>
        <rFont val="Calibri"/>
        <family val="2"/>
        <scheme val="minor"/>
      </rPr>
      <t>T</t>
    </r>
  </si>
  <si>
    <r>
      <t>k</t>
    </r>
    <r>
      <rPr>
        <sz val="11"/>
        <color theme="1"/>
        <rFont val="Calibri"/>
        <family val="2"/>
      </rPr>
      <t>Ω</t>
    </r>
  </si>
  <si>
    <t>Step 2: Filter Inductor</t>
  </si>
  <si>
    <t>Dc_Limit</t>
  </si>
  <si>
    <t>Max duty cycle of LM5155 at Fsw</t>
  </si>
  <si>
    <t>EXCEL Constants / Values / IC Limits</t>
  </si>
  <si>
    <r>
      <t>Max Inductor DCR, R</t>
    </r>
    <r>
      <rPr>
        <vertAlign val="subscript"/>
        <sz val="10"/>
        <color theme="1"/>
        <rFont val="Calibri"/>
        <family val="2"/>
        <scheme val="minor"/>
      </rPr>
      <t>DCR</t>
    </r>
  </si>
  <si>
    <t>Dc_VIN_min</t>
  </si>
  <si>
    <t>Dc_VIN_nom</t>
  </si>
  <si>
    <t>Dc_VIN_max</t>
  </si>
  <si>
    <t>Duty cycle at the mimum input voltage (CCM)</t>
  </si>
  <si>
    <t>Duty cycle at the nominal input voltage (CCM)</t>
  </si>
  <si>
    <t>Duty cycle at the maximum input voltage (CCM)</t>
  </si>
  <si>
    <t>ton_min</t>
  </si>
  <si>
    <t>Typical Ton minimum value</t>
  </si>
  <si>
    <t>Lcalc_VIN_min</t>
  </si>
  <si>
    <t>Inductor at Minimum input voltage</t>
  </si>
  <si>
    <t>IL_avg_VIN_min</t>
  </si>
  <si>
    <t>IL_avg_VIN_nom</t>
  </si>
  <si>
    <t>IL_avg_VIN_max</t>
  </si>
  <si>
    <t>Average input current at minimum input voltage. 100% Eff assumed</t>
  </si>
  <si>
    <t>Average input current at nominal input voltage. 100% Eff assumed</t>
  </si>
  <si>
    <t>Average input current at maximum input voltage. 100% Eff assumed</t>
  </si>
  <si>
    <t>H</t>
  </si>
  <si>
    <t>ILrip</t>
  </si>
  <si>
    <t>Lopt</t>
  </si>
  <si>
    <t>Optimal inductor. Based off the average</t>
  </si>
  <si>
    <t>Lm</t>
  </si>
  <si>
    <t>Selected filter inductor</t>
  </si>
  <si>
    <t>Rdcr</t>
  </si>
  <si>
    <r>
      <t>m</t>
    </r>
    <r>
      <rPr>
        <sz val="11"/>
        <color theme="1"/>
        <rFont val="Calibri"/>
        <family val="2"/>
      </rPr>
      <t>Ω</t>
    </r>
  </si>
  <si>
    <r>
      <t>Peak inductor current, IL</t>
    </r>
    <r>
      <rPr>
        <vertAlign val="subscript"/>
        <sz val="10"/>
        <color theme="1"/>
        <rFont val="Calibri"/>
        <family val="2"/>
        <scheme val="minor"/>
      </rPr>
      <t>PK</t>
    </r>
  </si>
  <si>
    <t>Strategy 1</t>
  </si>
  <si>
    <t>Strategy 2</t>
  </si>
  <si>
    <t>VIN_33</t>
  </si>
  <si>
    <t>IIN_33</t>
  </si>
  <si>
    <t>Lopt_2</t>
  </si>
  <si>
    <t>.</t>
  </si>
  <si>
    <t>ILp_VINmin</t>
  </si>
  <si>
    <t>Peak inductor current at VIN min. Including estimated efficiency</t>
  </si>
  <si>
    <t>ILrip_VINmin</t>
  </si>
  <si>
    <t xml:space="preserve">Inductor ripple current at VIN min. </t>
  </si>
  <si>
    <t>ILrip_VINnom</t>
  </si>
  <si>
    <t>ILp_VINnom</t>
  </si>
  <si>
    <t>ILrip_VINmax</t>
  </si>
  <si>
    <t>ILp_VINmax</t>
  </si>
  <si>
    <t>Step 3: Current Sense Resistor</t>
  </si>
  <si>
    <t>Selected indutor ripple ratio. Will be changed later to a standard value just to keep things simple</t>
  </si>
  <si>
    <t xml:space="preserve">Inductor ripple current at VIN nom. </t>
  </si>
  <si>
    <t>Peak inductor current at VIN nom. Including estimated efficiency</t>
  </si>
  <si>
    <t xml:space="preserve">Inductor ripple current at VIN max. </t>
  </si>
  <si>
    <t>Peak inductor current at VIN max. Including estimated efficiency</t>
  </si>
  <si>
    <t>Step 3: Current Sense Resistor Selection</t>
  </si>
  <si>
    <t>Ipk_margin</t>
  </si>
  <si>
    <t>Peak current limit margin. 20% is a typical value</t>
  </si>
  <si>
    <t>Ipk_selected</t>
  </si>
  <si>
    <t>Selected peak current limit based on margin selection</t>
  </si>
  <si>
    <t>Peak ripple ratio: Boost this happens at 33%</t>
  </si>
  <si>
    <t>Dc_rip_max</t>
  </si>
  <si>
    <t>This value used to make the selection</t>
  </si>
  <si>
    <t>Input current at maximum ripple duty cycle</t>
  </si>
  <si>
    <t>Input voltage at maximum ripple duty cycle. If maximum input voltage Dc is &gt;.33 this value will be used</t>
  </si>
  <si>
    <t>Filter inductor DCR</t>
  </si>
  <si>
    <t>Ltol</t>
  </si>
  <si>
    <t>Assumed inductor tolerance. Constant to help simplify the user experience</t>
  </si>
  <si>
    <t>Rcs_max</t>
  </si>
  <si>
    <t>Maximum Rcs based on internal slope compensation. Assuming slope ratio of 1/2</t>
  </si>
  <si>
    <t>Rcs_sl_ratio</t>
  </si>
  <si>
    <t>ratio of down slope to slope compensation. This can be updated to give more margin</t>
  </si>
  <si>
    <t>Isl</t>
  </si>
  <si>
    <t>Internal slope compensation ramp</t>
  </si>
  <si>
    <t>Rsl_int</t>
  </si>
  <si>
    <t>Internal Slope compensation resistor</t>
  </si>
  <si>
    <t>Rcs_wo_sl</t>
  </si>
  <si>
    <t>Current sense resistor without slope compensation</t>
  </si>
  <si>
    <t>Vcl</t>
  </si>
  <si>
    <t>Current Limit Value. See datsheet for Parameters</t>
  </si>
  <si>
    <t>Flag_ext_sl</t>
  </si>
  <si>
    <t>External Compensation? (0-no, 1-yes)</t>
  </si>
  <si>
    <t>Rcs_w_sl</t>
  </si>
  <si>
    <t>Rcs_ext_sl_ratio</t>
  </si>
  <si>
    <t>External Slope compensation ratio. Constant</t>
  </si>
  <si>
    <t>R_sl_ext</t>
  </si>
  <si>
    <t>R_cs_calc</t>
  </si>
  <si>
    <t>R_sl_calc</t>
  </si>
  <si>
    <t>R_cs</t>
  </si>
  <si>
    <t>R_sl</t>
  </si>
  <si>
    <t>Current Sense Resistor calculated</t>
  </si>
  <si>
    <t>External slope compensation resistor</t>
  </si>
  <si>
    <t>Calculated external slope compensation resistor</t>
  </si>
  <si>
    <t>Calculated current sense resistor with slope compensation included</t>
  </si>
  <si>
    <r>
      <t>Recommended external slope compensation Resistor (R</t>
    </r>
    <r>
      <rPr>
        <vertAlign val="subscript"/>
        <sz val="11"/>
        <color theme="1"/>
        <rFont val="Calibri"/>
        <family val="2"/>
        <scheme val="minor"/>
      </rPr>
      <t>SL</t>
    </r>
    <r>
      <rPr>
        <sz val="11"/>
        <color theme="1"/>
        <rFont val="Calibri"/>
        <family val="2"/>
        <scheme val="minor"/>
      </rPr>
      <t>)</t>
    </r>
  </si>
  <si>
    <t>Selected current sense Resistor</t>
  </si>
  <si>
    <t>Selected external slope compensation</t>
  </si>
  <si>
    <r>
      <t>Selected external slope compensation Resistor (R</t>
    </r>
    <r>
      <rPr>
        <vertAlign val="subscript"/>
        <sz val="11"/>
        <color theme="1"/>
        <rFont val="Calibri"/>
        <family val="2"/>
        <scheme val="minor"/>
      </rPr>
      <t>SL</t>
    </r>
    <r>
      <rPr>
        <sz val="11"/>
        <color theme="1"/>
        <rFont val="Calibri"/>
        <family val="2"/>
        <scheme val="minor"/>
      </rPr>
      <t>)</t>
    </r>
  </si>
  <si>
    <t>Check to make sure that slope compensation is high enough at the minimum input voltage</t>
  </si>
  <si>
    <t>Slope Compensation</t>
  </si>
  <si>
    <t>sl_vin_min</t>
  </si>
  <si>
    <t>Actual inductor peak current limit</t>
  </si>
  <si>
    <t>IL_pk</t>
  </si>
  <si>
    <t>IL_pk_max</t>
  </si>
  <si>
    <t>Peak current limit at the minimum input voltage</t>
  </si>
  <si>
    <t>Peak inductor current limit for saturation rating.  VIN max due to the possibility of external slope comp</t>
  </si>
  <si>
    <t>sat_mar</t>
  </si>
  <si>
    <t>Margin for saturation current of the inductor</t>
  </si>
  <si>
    <t>V/V</t>
  </si>
  <si>
    <t>IL_sat</t>
  </si>
  <si>
    <t>Recommended Saturation current rating of the selected inductor</t>
  </si>
  <si>
    <t>COMP voltage Limit checks</t>
  </si>
  <si>
    <t>Will add this later. Can be left off for APL</t>
  </si>
  <si>
    <t>Step 4: Output Capacitor Selection</t>
  </si>
  <si>
    <t>mV</t>
  </si>
  <si>
    <t xml:space="preserve">Minimum output capacitance </t>
  </si>
  <si>
    <r>
      <t>Selected Output Capacitance (C</t>
    </r>
    <r>
      <rPr>
        <vertAlign val="subscript"/>
        <sz val="11"/>
        <color theme="1"/>
        <rFont val="Calibri"/>
        <family val="2"/>
        <scheme val="minor"/>
      </rPr>
      <t>OUT</t>
    </r>
    <r>
      <rPr>
        <sz val="11"/>
        <color theme="1"/>
        <rFont val="Calibri"/>
        <family val="2"/>
        <scheme val="minor"/>
      </rPr>
      <t>)</t>
    </r>
  </si>
  <si>
    <t>Desired output ripple</t>
  </si>
  <si>
    <t>Vout_rip_sel</t>
  </si>
  <si>
    <t>Recommend Minimum Inductor Saturation Current Rating</t>
  </si>
  <si>
    <t>Cout_min</t>
  </si>
  <si>
    <t>F</t>
  </si>
  <si>
    <t>Calculate minimum capacitance based simply on the capacitive ripple</t>
  </si>
  <si>
    <r>
      <t>Capacitor RMS current (I</t>
    </r>
    <r>
      <rPr>
        <vertAlign val="subscript"/>
        <sz val="11"/>
        <color theme="1"/>
        <rFont val="Calibri"/>
        <family val="2"/>
        <scheme val="minor"/>
      </rPr>
      <t>RMS_COUT</t>
    </r>
    <r>
      <rPr>
        <sz val="11"/>
        <color theme="1"/>
        <rFont val="Calibri"/>
        <family val="2"/>
        <scheme val="minor"/>
      </rPr>
      <t>)</t>
    </r>
  </si>
  <si>
    <t>IRMS_COUT</t>
  </si>
  <si>
    <t>RMS current of the output capacitor at VIN min IOUT max. RMS current rating should be larger than this.</t>
  </si>
  <si>
    <r>
      <t>Equivalent  COUT ESR (R</t>
    </r>
    <r>
      <rPr>
        <vertAlign val="subscript"/>
        <sz val="11"/>
        <color theme="1"/>
        <rFont val="Calibri"/>
        <family val="2"/>
        <scheme val="minor"/>
      </rPr>
      <t>ESR</t>
    </r>
    <r>
      <rPr>
        <sz val="11"/>
        <color theme="1"/>
        <rFont val="Calibri"/>
        <family val="2"/>
        <scheme val="minor"/>
      </rPr>
      <t>)</t>
    </r>
  </si>
  <si>
    <t>Resr</t>
  </si>
  <si>
    <t>Selected Output Capacitance</t>
  </si>
  <si>
    <t>Selected output capacitance ESR</t>
  </si>
  <si>
    <t>Cout</t>
  </si>
  <si>
    <r>
      <t>Selected Peak Current limit(IL</t>
    </r>
    <r>
      <rPr>
        <vertAlign val="subscript"/>
        <sz val="11"/>
        <color theme="1"/>
        <rFont val="Calibri"/>
        <family val="2"/>
        <scheme val="minor"/>
      </rPr>
      <t>PK_select</t>
    </r>
    <r>
      <rPr>
        <sz val="11"/>
        <color theme="1"/>
        <rFont val="Calibri"/>
        <family val="2"/>
        <scheme val="minor"/>
      </rPr>
      <t>)</t>
    </r>
  </si>
  <si>
    <t>Step 5: Loop Compensation</t>
  </si>
  <si>
    <t>Input Parameters</t>
  </si>
  <si>
    <t>Output Voltage</t>
  </si>
  <si>
    <t>Component Selection</t>
  </si>
  <si>
    <t>LM</t>
  </si>
  <si>
    <t>filter Inductor</t>
  </si>
  <si>
    <t>Current sense resi</t>
  </si>
  <si>
    <t>External Slope Compensation Resistor</t>
  </si>
  <si>
    <t>Interanl Slope Compesnation Resistor</t>
  </si>
  <si>
    <t>Interanl Slope Compesnation current</t>
  </si>
  <si>
    <t>RCOMP</t>
  </si>
  <si>
    <t>kΩ</t>
  </si>
  <si>
    <t>Feedback Resistor Selection</t>
  </si>
  <si>
    <t>pF</t>
  </si>
  <si>
    <t>nF</t>
  </si>
  <si>
    <t>CCOMP</t>
  </si>
  <si>
    <t>CHF</t>
  </si>
  <si>
    <t>Type II compensation Resistort</t>
  </si>
  <si>
    <t>Type II compensation Capacitor</t>
  </si>
  <si>
    <t>Type II high frequency capacitor</t>
  </si>
  <si>
    <t>RFBT</t>
  </si>
  <si>
    <t>RFBB</t>
  </si>
  <si>
    <t>Compensation Components</t>
  </si>
  <si>
    <t>Top feedback resistor</t>
  </si>
  <si>
    <t>Bottom feedback resistor</t>
  </si>
  <si>
    <t>Calculations</t>
  </si>
  <si>
    <t>Frequency</t>
  </si>
  <si>
    <t>Selected VIN</t>
  </si>
  <si>
    <t>VIN_var</t>
  </si>
  <si>
    <t>VIN_VAR</t>
  </si>
  <si>
    <t>Variable input voltage</t>
  </si>
  <si>
    <t>ADC</t>
  </si>
  <si>
    <t>Gcomp</t>
  </si>
  <si>
    <t>Scale down factor of the interal comp voltage divider</t>
  </si>
  <si>
    <t>Intenal step down of the divider</t>
  </si>
  <si>
    <t>DC gain of the plant function</t>
  </si>
  <si>
    <t>Acs</t>
  </si>
  <si>
    <t>Current sense Amplifier Gain (1 for this device)</t>
  </si>
  <si>
    <t>Low Frequency Pole</t>
  </si>
  <si>
    <t>RHPz zero of boost converter</t>
  </si>
  <si>
    <t>ESR zero cause by output capacitance</t>
  </si>
  <si>
    <t>wsl</t>
  </si>
  <si>
    <t>Q</t>
  </si>
  <si>
    <t>Se</t>
  </si>
  <si>
    <t xml:space="preserve">Slope compensation </t>
  </si>
  <si>
    <t>Down slope at the selected input voltage</t>
  </si>
  <si>
    <t>Sn</t>
  </si>
  <si>
    <t>Rad</t>
  </si>
  <si>
    <t>wp_lf</t>
  </si>
  <si>
    <t>wz_rhp</t>
  </si>
  <si>
    <t>wz_esr</t>
  </si>
  <si>
    <t>Gain</t>
  </si>
  <si>
    <t>Phase</t>
  </si>
  <si>
    <t>Sampling</t>
  </si>
  <si>
    <t>Complex</t>
  </si>
  <si>
    <t>Total</t>
  </si>
  <si>
    <t>Plant Transfer Function</t>
  </si>
  <si>
    <t>Error Amplifier</t>
  </si>
  <si>
    <t>Plant Parameters</t>
  </si>
  <si>
    <t>wz_ea</t>
  </si>
  <si>
    <t>Adc_ea</t>
  </si>
  <si>
    <t>gm_ea</t>
  </si>
  <si>
    <t>Error Amplifier Gain</t>
  </si>
  <si>
    <t>A/V</t>
  </si>
  <si>
    <t>wp0_ea</t>
  </si>
  <si>
    <t>wp1_ea</t>
  </si>
  <si>
    <t>ADC_ea</t>
  </si>
  <si>
    <t xml:space="preserve">Gain </t>
  </si>
  <si>
    <t>Open Loop Response</t>
  </si>
  <si>
    <t>COMPLEX</t>
  </si>
  <si>
    <t>Gain of open loop at wp_Lf</t>
  </si>
  <si>
    <t>dB</t>
  </si>
  <si>
    <r>
      <t xml:space="preserve">Variable input voltage to model the loop. </t>
    </r>
    <r>
      <rPr>
        <b/>
        <sz val="11"/>
        <color theme="1"/>
        <rFont val="Calibri"/>
        <family val="2"/>
        <scheme val="minor"/>
      </rPr>
      <t>Currently not used. Will be updated in next rev</t>
    </r>
  </si>
  <si>
    <t>Selected by user. Feedback resistor should be &gt;100uA to help reject noise</t>
  </si>
  <si>
    <t>Error Amplifier Zero</t>
  </si>
  <si>
    <t>Error Amplifier pole at the origin</t>
  </si>
  <si>
    <t>Error Amplifier pole at high frequencies</t>
  </si>
  <si>
    <t>RFBB_CALC</t>
  </si>
  <si>
    <t>Vref</t>
  </si>
  <si>
    <t>Reference voltage</t>
  </si>
  <si>
    <t>Estimated bottom feedback resistor</t>
  </si>
  <si>
    <t>Selected botton feedback resistor</t>
  </si>
  <si>
    <t>Ifb</t>
  </si>
  <si>
    <t>Current Drawn from the feedback resistors (Typically higher than 100uA to help w/ noise)</t>
  </si>
  <si>
    <r>
      <t xml:space="preserve">Plant low frequency pole. </t>
    </r>
    <r>
      <rPr>
        <b/>
        <sz val="11"/>
        <color theme="1"/>
        <rFont val="Calibri"/>
        <family val="2"/>
        <scheme val="minor"/>
      </rPr>
      <t>IN Hz!!!</t>
    </r>
  </si>
  <si>
    <r>
      <t xml:space="preserve">Plant RHP Zero, </t>
    </r>
    <r>
      <rPr>
        <b/>
        <sz val="11"/>
        <color theme="1"/>
        <rFont val="Calibri"/>
        <family val="2"/>
        <scheme val="minor"/>
      </rPr>
      <t>(IN Hz)</t>
    </r>
  </si>
  <si>
    <r>
      <t xml:space="preserve">Plant capacitor ESR zero </t>
    </r>
    <r>
      <rPr>
        <b/>
        <sz val="11"/>
        <color theme="1"/>
        <rFont val="Calibri"/>
        <family val="2"/>
        <scheme val="minor"/>
      </rPr>
      <t>(In Hz)</t>
    </r>
  </si>
  <si>
    <t>Feedback resistor selection</t>
  </si>
  <si>
    <t>Crossover Frequency Selection</t>
  </si>
  <si>
    <t>Fcross_est</t>
  </si>
  <si>
    <r>
      <t>Calculated bottom feedback resistor (R</t>
    </r>
    <r>
      <rPr>
        <vertAlign val="subscript"/>
        <sz val="11"/>
        <color theme="1"/>
        <rFont val="Calibri"/>
        <family val="2"/>
        <scheme val="minor"/>
      </rPr>
      <t>FBB_cala</t>
    </r>
    <r>
      <rPr>
        <sz val="11"/>
        <color theme="1"/>
        <rFont val="Calibri"/>
        <family val="2"/>
        <scheme val="minor"/>
      </rPr>
      <t>)</t>
    </r>
  </si>
  <si>
    <t>fcross</t>
  </si>
  <si>
    <t>Desired Crossover frequency</t>
  </si>
  <si>
    <t>1/10 the swictching frequency</t>
  </si>
  <si>
    <t>Conservative. Set Fcross to be 1/5th the RHP zero frequency or 1/10th SW: whichever is lower</t>
  </si>
  <si>
    <t>Select the lower crossover frequency</t>
  </si>
  <si>
    <t>Gplant_fc</t>
  </si>
  <si>
    <t>Gain of the plant at the desired crossover frequency</t>
  </si>
  <si>
    <t>Fcross</t>
  </si>
  <si>
    <t>wz_RHP</t>
  </si>
  <si>
    <t>Gplant_fc_dB</t>
  </si>
  <si>
    <t>Plant gain at crossover frequency (dB)</t>
  </si>
  <si>
    <t>Gea_mid_calc</t>
  </si>
  <si>
    <t>Error Amplifier Mid-band gain to set cross over frequency correctly</t>
  </si>
  <si>
    <t>Rcomp_Calc</t>
  </si>
  <si>
    <t>Calculate on based on the desired Mid-band gain needed to set the crossover frequency</t>
  </si>
  <si>
    <t>fz_ea_est</t>
  </si>
  <si>
    <t>Set the fz_ea 1/10th the cross over frequency (Common approach)</t>
  </si>
  <si>
    <t>Set the fz_ea geometerically inbetween crossover and the wp_lf</t>
  </si>
  <si>
    <t>Fz_ea_1</t>
  </si>
  <si>
    <t>Fz_ea_2</t>
  </si>
  <si>
    <t>CCOMP_calc</t>
  </si>
  <si>
    <t>CHF_Calc</t>
  </si>
  <si>
    <t>fp_ea_est</t>
  </si>
  <si>
    <r>
      <t>Select a top feedback resistor(R</t>
    </r>
    <r>
      <rPr>
        <vertAlign val="subscript"/>
        <sz val="11"/>
        <color theme="1"/>
        <rFont val="Calibri"/>
        <family val="2"/>
        <scheme val="minor"/>
      </rPr>
      <t>FBT</t>
    </r>
    <r>
      <rPr>
        <sz val="11"/>
        <color theme="1"/>
        <rFont val="Calibri"/>
        <family val="2"/>
        <scheme val="minor"/>
      </rPr>
      <t>)</t>
    </r>
  </si>
  <si>
    <t>Step 5: Soft-Start Capacitor Selection</t>
  </si>
  <si>
    <t>Step 6: UVLO Resistor Divider Selection</t>
  </si>
  <si>
    <t>Efficiency / Power Loss Analyzer</t>
  </si>
  <si>
    <r>
      <t>R</t>
    </r>
    <r>
      <rPr>
        <vertAlign val="subscript"/>
        <sz val="11"/>
        <color theme="1"/>
        <rFont val="Calibri"/>
        <family val="2"/>
        <scheme val="minor"/>
      </rPr>
      <t>COMP</t>
    </r>
  </si>
  <si>
    <t>Calculated</t>
  </si>
  <si>
    <t>Selected</t>
  </si>
  <si>
    <t>Steps</t>
  </si>
  <si>
    <t>Step size</t>
  </si>
  <si>
    <t>VIN</t>
  </si>
  <si>
    <t>DCM/CCM</t>
  </si>
  <si>
    <t>DC</t>
  </si>
  <si>
    <t>IIN</t>
  </si>
  <si>
    <t>Icrms_min</t>
  </si>
  <si>
    <t>Minimum required RMS current rating for the output capacitor bank</t>
  </si>
  <si>
    <t>On-time of the switch</t>
  </si>
  <si>
    <t>Soft-Start</t>
  </si>
  <si>
    <t>Iss</t>
  </si>
  <si>
    <t>Soft-start capacitor charge current</t>
  </si>
  <si>
    <t>Soft-Start Charge current</t>
  </si>
  <si>
    <t>Css_min</t>
  </si>
  <si>
    <t>Suggested minimum SS capacitor to minize the over shoot.</t>
  </si>
  <si>
    <t>tss</t>
  </si>
  <si>
    <t>Desired Soft-Start Capacitor</t>
  </si>
  <si>
    <r>
      <t>Suggested minimum soft-start capacitor (C</t>
    </r>
    <r>
      <rPr>
        <vertAlign val="subscript"/>
        <sz val="11"/>
        <color theme="1"/>
        <rFont val="Calibri"/>
        <family val="2"/>
        <scheme val="minor"/>
      </rPr>
      <t>SS_MIN</t>
    </r>
    <r>
      <rPr>
        <sz val="11"/>
        <color theme="1"/>
        <rFont val="Calibri"/>
        <family val="2"/>
        <scheme val="minor"/>
      </rPr>
      <t>)</t>
    </r>
  </si>
  <si>
    <t>ms</t>
  </si>
  <si>
    <t>Css_calc</t>
  </si>
  <si>
    <t>Calcualted Soft-start capacitor</t>
  </si>
  <si>
    <r>
      <t>Calculated soft-start capacitor (C</t>
    </r>
    <r>
      <rPr>
        <vertAlign val="subscript"/>
        <sz val="11"/>
        <color theme="1"/>
        <rFont val="Calibri"/>
        <family val="2"/>
        <scheme val="minor"/>
      </rPr>
      <t>SS</t>
    </r>
    <r>
      <rPr>
        <sz val="11"/>
        <color theme="1"/>
        <rFont val="Calibri"/>
        <family val="2"/>
        <scheme val="minor"/>
      </rPr>
      <t>)</t>
    </r>
  </si>
  <si>
    <r>
      <t>Desired voltage OFF (V</t>
    </r>
    <r>
      <rPr>
        <vertAlign val="subscript"/>
        <sz val="11"/>
        <color theme="1"/>
        <rFont val="Calibri"/>
        <family val="2"/>
        <scheme val="minor"/>
      </rPr>
      <t>UVLO_OFF</t>
    </r>
    <r>
      <rPr>
        <sz val="11"/>
        <color theme="1"/>
        <rFont val="Calibri"/>
        <family val="2"/>
        <scheme val="minor"/>
      </rPr>
      <t>)</t>
    </r>
  </si>
  <si>
    <r>
      <t>Desired voltage On (V</t>
    </r>
    <r>
      <rPr>
        <vertAlign val="subscript"/>
        <sz val="11"/>
        <color theme="1"/>
        <rFont val="Calibri"/>
        <family val="2"/>
        <scheme val="minor"/>
      </rPr>
      <t>UVLO_ON</t>
    </r>
    <r>
      <rPr>
        <sz val="11"/>
        <color theme="1"/>
        <rFont val="Calibri"/>
        <family val="2"/>
        <scheme val="minor"/>
      </rPr>
      <t>)</t>
    </r>
  </si>
  <si>
    <t>Step 6: UVLO Resistor Selection</t>
  </si>
  <si>
    <t>Step 5: Soft-start Capacitor selection</t>
  </si>
  <si>
    <t>Vuvlo_on</t>
  </si>
  <si>
    <t>Vuvlo_off</t>
  </si>
  <si>
    <t>Desired turn on voltage</t>
  </si>
  <si>
    <t>Desired turn off voltage</t>
  </si>
  <si>
    <t>UVLO Thresholds</t>
  </si>
  <si>
    <t>UV_rise</t>
  </si>
  <si>
    <t>UV_fall</t>
  </si>
  <si>
    <t>Falling threshold (See datasheet for more details)</t>
  </si>
  <si>
    <t>Rising Threshold (See datasheet for more details)</t>
  </si>
  <si>
    <t>Rising UV threshold</t>
  </si>
  <si>
    <t>Falling  UV threshold</t>
  </si>
  <si>
    <t>UV_I_hyst</t>
  </si>
  <si>
    <t>UVLO current hysteresis</t>
  </si>
  <si>
    <t>UVLO circuit current hysteresis</t>
  </si>
  <si>
    <t>Ruvlo_top_calc</t>
  </si>
  <si>
    <t>Ruvlo_bottom_calc</t>
  </si>
  <si>
    <t>Vuvlo_on_act</t>
  </si>
  <si>
    <t>Vuvlo_off_act</t>
  </si>
  <si>
    <t>Actual turn on voltage</t>
  </si>
  <si>
    <t>Actual turn off voltage</t>
  </si>
  <si>
    <t>Step  7: Loop Compensation</t>
  </si>
  <si>
    <t>Operation Variables</t>
  </si>
  <si>
    <t>Duty Cycle</t>
  </si>
  <si>
    <t>dIL</t>
  </si>
  <si>
    <r>
      <t>IL</t>
    </r>
    <r>
      <rPr>
        <vertAlign val="subscript"/>
        <sz val="11"/>
        <color theme="1"/>
        <rFont val="Calibri"/>
        <family val="2"/>
        <scheme val="minor"/>
      </rPr>
      <t>RMS</t>
    </r>
  </si>
  <si>
    <r>
      <t>IL</t>
    </r>
    <r>
      <rPr>
        <vertAlign val="subscript"/>
        <sz val="11"/>
        <color theme="1"/>
        <rFont val="Calibri"/>
        <family val="2"/>
        <scheme val="minor"/>
      </rPr>
      <t>PEAK</t>
    </r>
  </si>
  <si>
    <t>DC_off</t>
  </si>
  <si>
    <r>
      <t>ID</t>
    </r>
    <r>
      <rPr>
        <vertAlign val="subscript"/>
        <sz val="11"/>
        <color theme="1"/>
        <rFont val="Calibri"/>
        <family val="2"/>
        <scheme val="minor"/>
      </rPr>
      <t>RMS</t>
    </r>
  </si>
  <si>
    <t>Step 7: Component Selection</t>
  </si>
  <si>
    <t>Vd_rect</t>
  </si>
  <si>
    <t>Rect Diode forward voltage drop</t>
  </si>
  <si>
    <r>
      <t>ID</t>
    </r>
    <r>
      <rPr>
        <vertAlign val="subscript"/>
        <sz val="11"/>
        <color theme="1"/>
        <rFont val="Calibri"/>
        <family val="2"/>
        <scheme val="minor"/>
      </rPr>
      <t xml:space="preserve">AVG </t>
    </r>
    <r>
      <rPr>
        <sz val="11"/>
        <color theme="1"/>
        <rFont val="Calibri"/>
        <family val="2"/>
        <scheme val="minor"/>
      </rPr>
      <t>(A)</t>
    </r>
  </si>
  <si>
    <r>
      <t>P</t>
    </r>
    <r>
      <rPr>
        <vertAlign val="subscript"/>
        <sz val="11"/>
        <color theme="1"/>
        <rFont val="Calibri"/>
        <family val="2"/>
        <scheme val="minor"/>
      </rPr>
      <t>Lac</t>
    </r>
    <r>
      <rPr>
        <sz val="11"/>
        <color theme="1"/>
        <rFont val="Calibri"/>
        <family val="2"/>
        <scheme val="minor"/>
      </rPr>
      <t xml:space="preserve"> (W)</t>
    </r>
  </si>
  <si>
    <r>
      <t>P</t>
    </r>
    <r>
      <rPr>
        <vertAlign val="subscript"/>
        <sz val="11"/>
        <color theme="1"/>
        <rFont val="Calibri"/>
        <family val="2"/>
        <scheme val="minor"/>
      </rPr>
      <t>L_DCR</t>
    </r>
    <r>
      <rPr>
        <sz val="11"/>
        <color theme="1"/>
        <rFont val="Calibri"/>
        <family val="2"/>
        <scheme val="minor"/>
      </rPr>
      <t xml:space="preserve"> (W)</t>
    </r>
  </si>
  <si>
    <r>
      <t>P</t>
    </r>
    <r>
      <rPr>
        <vertAlign val="subscript"/>
        <sz val="11"/>
        <color theme="1"/>
        <rFont val="Calibri"/>
        <family val="2"/>
        <scheme val="minor"/>
      </rPr>
      <t xml:space="preserve">D_COND </t>
    </r>
    <r>
      <rPr>
        <sz val="11"/>
        <color theme="1"/>
        <rFont val="Calibri"/>
        <family val="2"/>
        <scheme val="minor"/>
      </rPr>
      <t>(W)</t>
    </r>
  </si>
  <si>
    <r>
      <t>P</t>
    </r>
    <r>
      <rPr>
        <vertAlign val="subscript"/>
        <sz val="11"/>
        <color theme="1"/>
        <rFont val="Calibri"/>
        <family val="2"/>
        <scheme val="minor"/>
      </rPr>
      <t xml:space="preserve">D_SW </t>
    </r>
    <r>
      <rPr>
        <sz val="11"/>
        <color theme="1"/>
        <rFont val="Calibri"/>
        <family val="2"/>
        <scheme val="minor"/>
      </rPr>
      <t>(W)</t>
    </r>
  </si>
  <si>
    <r>
      <t>On-State Resistance, R</t>
    </r>
    <r>
      <rPr>
        <vertAlign val="subscript"/>
        <sz val="10"/>
        <rFont val="Arial"/>
        <family val="2"/>
      </rPr>
      <t>DS(on)</t>
    </r>
    <r>
      <rPr>
        <sz val="10"/>
        <rFont val="Arial"/>
        <family val="2"/>
      </rPr>
      <t xml:space="preserve"> </t>
    </r>
  </si>
  <si>
    <r>
      <t>Total Gate Charge, Q</t>
    </r>
    <r>
      <rPr>
        <vertAlign val="subscript"/>
        <sz val="10"/>
        <rFont val="Arial"/>
        <family val="2"/>
      </rPr>
      <t>G</t>
    </r>
    <r>
      <rPr>
        <sz val="10"/>
        <rFont val="Arial"/>
        <family val="2"/>
      </rPr>
      <t xml:space="preserve"> </t>
    </r>
  </si>
  <si>
    <r>
      <t>Gate-Drain Charge, Q</t>
    </r>
    <r>
      <rPr>
        <vertAlign val="subscript"/>
        <sz val="10"/>
        <rFont val="Arial"/>
        <family val="2"/>
      </rPr>
      <t>GD</t>
    </r>
    <r>
      <rPr>
        <sz val="10"/>
        <rFont val="Arial"/>
        <family val="2"/>
      </rPr>
      <t xml:space="preserve"> </t>
    </r>
  </si>
  <si>
    <r>
      <t>Gate-Source Charge, Q</t>
    </r>
    <r>
      <rPr>
        <vertAlign val="subscript"/>
        <sz val="10"/>
        <rFont val="Arial"/>
        <family val="2"/>
      </rPr>
      <t>GS</t>
    </r>
    <r>
      <rPr>
        <sz val="10"/>
        <rFont val="Arial"/>
        <family val="2"/>
      </rPr>
      <t xml:space="preserve"> </t>
    </r>
  </si>
  <si>
    <r>
      <t>Gate Resistance, R</t>
    </r>
    <r>
      <rPr>
        <vertAlign val="subscript"/>
        <sz val="10"/>
        <rFont val="Arial"/>
        <family val="2"/>
      </rPr>
      <t>G</t>
    </r>
    <r>
      <rPr>
        <sz val="10"/>
        <rFont val="Arial"/>
        <family val="2"/>
      </rPr>
      <t xml:space="preserve"> </t>
    </r>
  </si>
  <si>
    <r>
      <t>Transconductance, g</t>
    </r>
    <r>
      <rPr>
        <vertAlign val="subscript"/>
        <sz val="10"/>
        <rFont val="Arial"/>
        <family val="2"/>
      </rPr>
      <t>FS</t>
    </r>
    <r>
      <rPr>
        <sz val="10"/>
        <rFont val="Arial"/>
        <family val="2"/>
      </rPr>
      <t xml:space="preserve"> </t>
    </r>
  </si>
  <si>
    <r>
      <t>Gate-Source Threshold Voltage, V</t>
    </r>
    <r>
      <rPr>
        <vertAlign val="subscript"/>
        <sz val="10"/>
        <rFont val="Arial"/>
        <family val="2"/>
      </rPr>
      <t>TH</t>
    </r>
    <r>
      <rPr>
        <sz val="10"/>
        <rFont val="Arial"/>
        <family val="2"/>
      </rPr>
      <t xml:space="preserve"> </t>
    </r>
  </si>
  <si>
    <t>mΩ</t>
  </si>
  <si>
    <t>nC</t>
  </si>
  <si>
    <t>Ω</t>
  </si>
  <si>
    <t>S</t>
  </si>
  <si>
    <t>Diode Parameters</t>
  </si>
  <si>
    <t>MOSFET parameters</t>
  </si>
  <si>
    <r>
      <t>Forward Voltage Drop (V</t>
    </r>
    <r>
      <rPr>
        <vertAlign val="subscript"/>
        <sz val="11"/>
        <color theme="1"/>
        <rFont val="Calibri"/>
        <family val="2"/>
        <scheme val="minor"/>
      </rPr>
      <t>D</t>
    </r>
    <r>
      <rPr>
        <sz val="11"/>
        <color theme="1"/>
        <rFont val="Calibri"/>
        <family val="2"/>
        <scheme val="minor"/>
      </rPr>
      <t>)</t>
    </r>
  </si>
  <si>
    <t>MOSFET Parameters</t>
  </si>
  <si>
    <t>Qg_tot</t>
  </si>
  <si>
    <t>Qgs</t>
  </si>
  <si>
    <t>Qgd</t>
  </si>
  <si>
    <t>Rgate</t>
  </si>
  <si>
    <t>gfs</t>
  </si>
  <si>
    <t>Vth</t>
  </si>
  <si>
    <t>Reverse recovery charge of Schottky  Diode (QRR)</t>
  </si>
  <si>
    <t>C</t>
  </si>
  <si>
    <t>Shottky Reverse recovery charge</t>
  </si>
  <si>
    <t>Qrr</t>
  </si>
  <si>
    <t>RDS_on</t>
  </si>
  <si>
    <t>Rgate_int</t>
  </si>
  <si>
    <t>Internal Gate resistance of the MOSFET driver.</t>
  </si>
  <si>
    <t>Vsp</t>
  </si>
  <si>
    <t>Gate voltage when MOSFET begins conducting current</t>
  </si>
  <si>
    <t>Rise time of the switch node</t>
  </si>
  <si>
    <t>Fall time of the switch node</t>
  </si>
  <si>
    <t>VCC</t>
  </si>
  <si>
    <t>VCC regulator</t>
  </si>
  <si>
    <t>Vcc</t>
  </si>
  <si>
    <t>Regulated output voltage of internal LDO. Can change if this is externally biased.</t>
  </si>
  <si>
    <t>Need to double check this value</t>
  </si>
  <si>
    <t xml:space="preserve">VCC voltage. Can be changed with external bias. </t>
  </si>
  <si>
    <t>tr_sw</t>
  </si>
  <si>
    <t>tf_sw</t>
  </si>
  <si>
    <r>
      <t>ISW</t>
    </r>
    <r>
      <rPr>
        <vertAlign val="subscript"/>
        <sz val="11"/>
        <color theme="1"/>
        <rFont val="Calibri"/>
        <family val="2"/>
        <scheme val="minor"/>
      </rPr>
      <t xml:space="preserve">AVG </t>
    </r>
    <r>
      <rPr>
        <sz val="11"/>
        <color theme="1"/>
        <rFont val="Calibri"/>
        <family val="2"/>
        <scheme val="minor"/>
      </rPr>
      <t>(A)</t>
    </r>
  </si>
  <si>
    <r>
      <t>ISW</t>
    </r>
    <r>
      <rPr>
        <vertAlign val="subscript"/>
        <sz val="11"/>
        <color theme="1"/>
        <rFont val="Calibri"/>
        <family val="2"/>
        <scheme val="minor"/>
      </rPr>
      <t>RMS</t>
    </r>
  </si>
  <si>
    <r>
      <t>P</t>
    </r>
    <r>
      <rPr>
        <vertAlign val="subscript"/>
        <sz val="11"/>
        <color theme="1"/>
        <rFont val="Calibri"/>
        <family val="2"/>
        <scheme val="minor"/>
      </rPr>
      <t xml:space="preserve">Q_SW </t>
    </r>
    <r>
      <rPr>
        <sz val="11"/>
        <color theme="1"/>
        <rFont val="Calibri"/>
        <family val="2"/>
        <scheme val="minor"/>
      </rPr>
      <t>(W)</t>
    </r>
  </si>
  <si>
    <r>
      <t>P</t>
    </r>
    <r>
      <rPr>
        <vertAlign val="subscript"/>
        <sz val="11"/>
        <color theme="1"/>
        <rFont val="Calibri"/>
        <family val="2"/>
        <scheme val="minor"/>
      </rPr>
      <t xml:space="preserve">Q_COND </t>
    </r>
    <r>
      <rPr>
        <sz val="11"/>
        <color theme="1"/>
        <rFont val="Calibri"/>
        <family val="2"/>
        <scheme val="minor"/>
      </rPr>
      <t>(W)</t>
    </r>
  </si>
  <si>
    <r>
      <t>P</t>
    </r>
    <r>
      <rPr>
        <vertAlign val="subscript"/>
        <sz val="11"/>
        <color theme="1"/>
        <rFont val="Calibri"/>
        <family val="2"/>
        <scheme val="minor"/>
      </rPr>
      <t xml:space="preserve">Q_tot </t>
    </r>
    <r>
      <rPr>
        <sz val="11"/>
        <color theme="1"/>
        <rFont val="Calibri"/>
        <family val="2"/>
        <scheme val="minor"/>
      </rPr>
      <t>(W)</t>
    </r>
  </si>
  <si>
    <r>
      <t>P</t>
    </r>
    <r>
      <rPr>
        <vertAlign val="subscript"/>
        <sz val="11"/>
        <color theme="1"/>
        <rFont val="Calibri"/>
        <family val="2"/>
        <scheme val="minor"/>
      </rPr>
      <t xml:space="preserve">D_tot </t>
    </r>
    <r>
      <rPr>
        <sz val="11"/>
        <color theme="1"/>
        <rFont val="Calibri"/>
        <family val="2"/>
        <scheme val="minor"/>
      </rPr>
      <t>(W)</t>
    </r>
  </si>
  <si>
    <r>
      <t>P</t>
    </r>
    <r>
      <rPr>
        <vertAlign val="subscript"/>
        <sz val="11"/>
        <color theme="1"/>
        <rFont val="Calibri"/>
        <family val="2"/>
        <scheme val="minor"/>
      </rPr>
      <t>L_tot</t>
    </r>
    <r>
      <rPr>
        <sz val="11"/>
        <color theme="1"/>
        <rFont val="Calibri"/>
        <family val="2"/>
        <scheme val="minor"/>
      </rPr>
      <t xml:space="preserve"> (W)</t>
    </r>
  </si>
  <si>
    <r>
      <t>P</t>
    </r>
    <r>
      <rPr>
        <vertAlign val="subscript"/>
        <sz val="11"/>
        <color theme="1"/>
        <rFont val="Calibri"/>
        <family val="2"/>
        <scheme val="minor"/>
      </rPr>
      <t>RCS</t>
    </r>
    <r>
      <rPr>
        <sz val="11"/>
        <color theme="1"/>
        <rFont val="Calibri"/>
        <family val="2"/>
        <scheme val="minor"/>
      </rPr>
      <t xml:space="preserve"> (W)</t>
    </r>
  </si>
  <si>
    <t>Total Losses</t>
  </si>
  <si>
    <r>
      <t>P</t>
    </r>
    <r>
      <rPr>
        <vertAlign val="subscript"/>
        <sz val="11"/>
        <color theme="1"/>
        <rFont val="Calibri"/>
        <family val="2"/>
        <scheme val="minor"/>
      </rPr>
      <t>TOTAL</t>
    </r>
    <r>
      <rPr>
        <sz val="11"/>
        <color theme="1"/>
        <rFont val="Calibri"/>
        <family val="2"/>
        <scheme val="minor"/>
      </rPr>
      <t xml:space="preserve"> (W)</t>
    </r>
  </si>
  <si>
    <r>
      <t>P</t>
    </r>
    <r>
      <rPr>
        <vertAlign val="subscript"/>
        <sz val="11"/>
        <color theme="1"/>
        <rFont val="Calibri"/>
        <family val="2"/>
        <scheme val="minor"/>
      </rPr>
      <t>G_drv</t>
    </r>
    <r>
      <rPr>
        <sz val="11"/>
        <color theme="1"/>
        <rFont val="Calibri"/>
        <family val="2"/>
        <scheme val="minor"/>
      </rPr>
      <t xml:space="preserve"> (W)</t>
    </r>
  </si>
  <si>
    <r>
      <t>P</t>
    </r>
    <r>
      <rPr>
        <vertAlign val="subscript"/>
        <sz val="11"/>
        <color theme="1"/>
        <rFont val="Calibri"/>
        <family val="2"/>
        <scheme val="minor"/>
      </rPr>
      <t>IQ</t>
    </r>
    <r>
      <rPr>
        <sz val="11"/>
        <color theme="1"/>
        <rFont val="Calibri"/>
        <family val="2"/>
        <scheme val="minor"/>
      </rPr>
      <t xml:space="preserve"> (W)</t>
    </r>
  </si>
  <si>
    <t>IQ current</t>
  </si>
  <si>
    <t xml:space="preserve">IQ </t>
  </si>
  <si>
    <t>Non-switching IQ current</t>
  </si>
  <si>
    <t>Other Losses</t>
  </si>
  <si>
    <t>Eff</t>
  </si>
  <si>
    <r>
      <t>P</t>
    </r>
    <r>
      <rPr>
        <vertAlign val="subscript"/>
        <sz val="11"/>
        <color theme="1"/>
        <rFont val="Calibri"/>
        <family val="2"/>
        <scheme val="minor"/>
      </rPr>
      <t>OUT</t>
    </r>
    <r>
      <rPr>
        <sz val="11"/>
        <color theme="1"/>
        <rFont val="Calibri"/>
        <family val="2"/>
        <scheme val="minor"/>
      </rPr>
      <t xml:space="preserve"> (W)</t>
    </r>
  </si>
  <si>
    <t>MOSFET</t>
  </si>
  <si>
    <t>Inductor</t>
  </si>
  <si>
    <t>Diode</t>
  </si>
  <si>
    <r>
      <t>C</t>
    </r>
    <r>
      <rPr>
        <vertAlign val="subscript"/>
        <sz val="11"/>
        <color theme="1"/>
        <rFont val="Calibri"/>
        <family val="2"/>
        <scheme val="minor"/>
      </rPr>
      <t>COMP</t>
    </r>
  </si>
  <si>
    <r>
      <t>C</t>
    </r>
    <r>
      <rPr>
        <vertAlign val="subscript"/>
        <sz val="11"/>
        <color theme="1"/>
        <rFont val="Calibri"/>
        <family val="2"/>
        <scheme val="minor"/>
      </rPr>
      <t>HF</t>
    </r>
  </si>
  <si>
    <t>IOUT_VAR</t>
  </si>
  <si>
    <t>Variable output current (Need to add this in</t>
  </si>
  <si>
    <t>RHP_zero location based on the minimum input voltage</t>
  </si>
  <si>
    <t>Low frequency pole based on the minimum input voltage</t>
  </si>
  <si>
    <t>rad</t>
  </si>
  <si>
    <t>raf</t>
  </si>
  <si>
    <t>ESR zero based on the minimum input voltage</t>
  </si>
  <si>
    <t>This is based on the minimum input voltage. T</t>
  </si>
  <si>
    <t>Input Voltage</t>
  </si>
  <si>
    <r>
      <t>Recommended Inductance (L</t>
    </r>
    <r>
      <rPr>
        <vertAlign val="subscript"/>
        <sz val="10"/>
        <color theme="1"/>
        <rFont val="Calibri"/>
        <family val="2"/>
        <scheme val="minor"/>
      </rPr>
      <t>M_CALC</t>
    </r>
    <r>
      <rPr>
        <sz val="10"/>
        <color theme="1"/>
        <rFont val="Calibri"/>
        <family val="2"/>
        <scheme val="minor"/>
      </rPr>
      <t>)</t>
    </r>
  </si>
  <si>
    <r>
      <t>User Selection. Inductance, (L</t>
    </r>
    <r>
      <rPr>
        <vertAlign val="subscript"/>
        <sz val="10"/>
        <color theme="1"/>
        <rFont val="Calibri"/>
        <family val="2"/>
        <scheme val="minor"/>
      </rPr>
      <t>M</t>
    </r>
    <r>
      <rPr>
        <sz val="10"/>
        <color theme="1"/>
        <rFont val="Calibri"/>
        <family val="2"/>
        <scheme val="minor"/>
      </rPr>
      <t>)</t>
    </r>
  </si>
  <si>
    <t>Id_AVG</t>
  </si>
  <si>
    <t xml:space="preserve">Suggested average current rating of diode. </t>
  </si>
  <si>
    <r>
      <t>Calculated top UVLO resistor value (R</t>
    </r>
    <r>
      <rPr>
        <vertAlign val="subscript"/>
        <sz val="11"/>
        <color theme="1"/>
        <rFont val="Calibri"/>
        <family val="2"/>
        <scheme val="minor"/>
      </rPr>
      <t>UVT_CALC</t>
    </r>
    <r>
      <rPr>
        <sz val="11"/>
        <color theme="1"/>
        <rFont val="Calibri"/>
        <family val="2"/>
        <scheme val="minor"/>
      </rPr>
      <t>)</t>
    </r>
  </si>
  <si>
    <r>
      <t>Selected top UVLO resistor value (R</t>
    </r>
    <r>
      <rPr>
        <vertAlign val="subscript"/>
        <sz val="11"/>
        <color theme="1"/>
        <rFont val="Calibri"/>
        <family val="2"/>
        <scheme val="minor"/>
      </rPr>
      <t>UVT</t>
    </r>
    <r>
      <rPr>
        <sz val="11"/>
        <color theme="1"/>
        <rFont val="Calibri"/>
        <family val="2"/>
        <scheme val="minor"/>
      </rPr>
      <t>)</t>
    </r>
  </si>
  <si>
    <r>
      <t>Bottom UVLO Resistor (R</t>
    </r>
    <r>
      <rPr>
        <vertAlign val="subscript"/>
        <sz val="11"/>
        <color theme="1"/>
        <rFont val="Calibri"/>
        <family val="2"/>
        <scheme val="minor"/>
      </rPr>
      <t>UVB</t>
    </r>
    <r>
      <rPr>
        <sz val="11"/>
        <color theme="1"/>
        <rFont val="Calibri"/>
        <family val="2"/>
        <scheme val="minor"/>
      </rPr>
      <t>)</t>
    </r>
  </si>
  <si>
    <t>Calcualted top UVLO resistor</t>
  </si>
  <si>
    <t>Selected top UVLO resistor</t>
  </si>
  <si>
    <t>Calcualted Bottom UBLO Resistor</t>
  </si>
  <si>
    <t>Frcoss (VIN)min</t>
  </si>
  <si>
    <t>ADC_VINmin</t>
  </si>
  <si>
    <t>wp_lf_VINmin</t>
  </si>
  <si>
    <t>fp_lf_VINmin</t>
  </si>
  <si>
    <t>wz_esr_VINmin</t>
  </si>
  <si>
    <t>fz_esr_VINmin</t>
  </si>
  <si>
    <t>wz_RHP_VINmin</t>
  </si>
  <si>
    <t>fz_rhp_VINmin</t>
  </si>
  <si>
    <t>Se_VINmin</t>
  </si>
  <si>
    <t>Sn_VINmin</t>
  </si>
  <si>
    <t>wsl_VINmin</t>
  </si>
  <si>
    <t>Q_VINmin</t>
  </si>
  <si>
    <t>Operation Raange</t>
  </si>
  <si>
    <t>Vin_op_min</t>
  </si>
  <si>
    <t>Minimum operating voltage</t>
  </si>
  <si>
    <t>Maximum BIAS pin operating voltage</t>
  </si>
  <si>
    <t>Vin_op_max</t>
  </si>
  <si>
    <r>
      <t>Boost Converter Duty Cycle Limit by LM5155 at V</t>
    </r>
    <r>
      <rPr>
        <vertAlign val="subscript"/>
        <sz val="10"/>
        <color theme="1"/>
        <rFont val="Calibri"/>
        <family val="2"/>
        <scheme val="minor"/>
      </rPr>
      <t>SUPPLY(MIN)</t>
    </r>
  </si>
  <si>
    <r>
      <t>Desired Maximum Inductor Current Ripple Ratio (I</t>
    </r>
    <r>
      <rPr>
        <vertAlign val="subscript"/>
        <sz val="10"/>
        <color theme="1"/>
        <rFont val="Calibri"/>
        <family val="2"/>
        <scheme val="minor"/>
      </rPr>
      <t>RR_MAX</t>
    </r>
    <r>
      <rPr>
        <sz val="10"/>
        <color theme="1"/>
        <rFont val="Calibri"/>
        <family val="2"/>
        <scheme val="minor"/>
      </rPr>
      <t>)</t>
    </r>
  </si>
  <si>
    <t>Peak Current Limit Margin</t>
  </si>
  <si>
    <r>
      <t>Voltage selected (V</t>
    </r>
    <r>
      <rPr>
        <vertAlign val="subscript"/>
        <sz val="11"/>
        <rFont val="Calibri"/>
        <family val="2"/>
        <scheme val="minor"/>
      </rPr>
      <t>IN_VAR</t>
    </r>
    <r>
      <rPr>
        <sz val="11"/>
        <rFont val="Calibri"/>
        <family val="2"/>
        <scheme val="minor"/>
      </rPr>
      <t>)</t>
    </r>
  </si>
  <si>
    <t>This should be set at or near the lowest RHP zero Frequency</t>
  </si>
  <si>
    <t>Set between 1/2 fsw and the RHPz in the application note. This is aggressive</t>
  </si>
  <si>
    <r>
      <t>Recommended minimum average current rating (I</t>
    </r>
    <r>
      <rPr>
        <vertAlign val="subscript"/>
        <sz val="11"/>
        <color theme="1"/>
        <rFont val="Calibri"/>
        <family val="2"/>
        <scheme val="minor"/>
      </rPr>
      <t>D_AVG</t>
    </r>
    <r>
      <rPr>
        <sz val="11"/>
        <color theme="1"/>
        <rFont val="Calibri"/>
        <family val="2"/>
        <scheme val="minor"/>
      </rPr>
      <t>)</t>
    </r>
  </si>
  <si>
    <r>
      <t>Recommended current sense Resistor (R</t>
    </r>
    <r>
      <rPr>
        <vertAlign val="subscript"/>
        <sz val="11"/>
        <color theme="1"/>
        <rFont val="Calibri"/>
        <family val="2"/>
        <scheme val="minor"/>
      </rPr>
      <t>S</t>
    </r>
    <r>
      <rPr>
        <sz val="11"/>
        <color theme="1"/>
        <rFont val="Calibri"/>
        <family val="2"/>
        <scheme val="minor"/>
      </rPr>
      <t>)</t>
    </r>
  </si>
  <si>
    <r>
      <t>Selected current sense Resistor (R</t>
    </r>
    <r>
      <rPr>
        <vertAlign val="subscript"/>
        <sz val="11"/>
        <color theme="1"/>
        <rFont val="Calibri"/>
        <family val="2"/>
        <scheme val="minor"/>
      </rPr>
      <t>S</t>
    </r>
    <r>
      <rPr>
        <sz val="11"/>
        <color theme="1"/>
        <rFont val="Calibri"/>
        <family val="2"/>
        <scheme val="minor"/>
      </rPr>
      <t>)</t>
    </r>
  </si>
  <si>
    <t>CCM</t>
  </si>
  <si>
    <t>DCM</t>
  </si>
  <si>
    <t>Dc_DCM_max_ideal</t>
  </si>
  <si>
    <t>Duty cycle at the mimum input voltage (DCM)</t>
  </si>
  <si>
    <t>Duty cycle at the nominal input voltage (DCM)</t>
  </si>
  <si>
    <t>Duty cycle at the maximum input voltage (DCM)</t>
  </si>
  <si>
    <t>Dc_DCM_VIN_min</t>
  </si>
  <si>
    <t>IL_avg_DCM_VIN_min</t>
  </si>
  <si>
    <t>Dc_DCM_VIN_nom</t>
  </si>
  <si>
    <t>IL_avg_DCM_VIN_nom</t>
  </si>
  <si>
    <t>Dc_DCM_VIN_max</t>
  </si>
  <si>
    <t xml:space="preserve">Duty cycle at the mimum input voltage </t>
  </si>
  <si>
    <t>Duty cycle at the nominal input voltage</t>
  </si>
  <si>
    <t>Duty cycle at the maximum input voltage</t>
  </si>
  <si>
    <t>Dc_CCM_max_ideal</t>
  </si>
  <si>
    <t>Dc_CCM_VIN_min</t>
  </si>
  <si>
    <t>IL_avg_CCM_VIN_min</t>
  </si>
  <si>
    <t>Dc_CCM_VIN_nom</t>
  </si>
  <si>
    <t>IL_avg_CCM_VIN_nom</t>
  </si>
  <si>
    <t>Dc_CCM_VIN_max</t>
  </si>
  <si>
    <t>IL_avg_CCM_VIN_max</t>
  </si>
  <si>
    <t>Selected Mode for Calculation</t>
  </si>
  <si>
    <t>Possible Mode due to Load and L Selection</t>
  </si>
  <si>
    <t xml:space="preserve">Ideal Duty Cycle at VSUPPLY(MIN) </t>
  </si>
  <si>
    <t>CCM/DCM selected</t>
  </si>
  <si>
    <t>Rsl_max</t>
  </si>
  <si>
    <t>Maximum Value of Rsl (DS page 21)</t>
  </si>
  <si>
    <t>Operation Mode</t>
  </si>
  <si>
    <t>Version Number</t>
  </si>
  <si>
    <t>1.0.0</t>
  </si>
  <si>
    <t>Version History</t>
  </si>
  <si>
    <t>Version</t>
  </si>
  <si>
    <t>Change List Description</t>
  </si>
  <si>
    <t>Initial Release</t>
  </si>
  <si>
    <r>
      <t>Desired soft-start time at minimum input voltage (T</t>
    </r>
    <r>
      <rPr>
        <vertAlign val="subscript"/>
        <sz val="11"/>
        <color theme="1"/>
        <rFont val="Calibri"/>
        <family val="2"/>
        <scheme val="minor"/>
      </rPr>
      <t>SS</t>
    </r>
    <r>
      <rPr>
        <sz val="11"/>
        <color theme="1"/>
        <rFont val="Calibri"/>
        <family val="2"/>
        <scheme val="minor"/>
      </rPr>
      <t>)</t>
    </r>
  </si>
  <si>
    <r>
      <t>Select a bottom resistor based on calculated value(R</t>
    </r>
    <r>
      <rPr>
        <vertAlign val="subscript"/>
        <sz val="11"/>
        <color theme="1"/>
        <rFont val="Calibri"/>
        <family val="2"/>
        <scheme val="minor"/>
      </rPr>
      <t>FBB</t>
    </r>
    <r>
      <rPr>
        <sz val="11"/>
        <color theme="1"/>
        <rFont val="Calibri"/>
        <family val="2"/>
        <scheme val="minor"/>
      </rPr>
      <t>)</t>
    </r>
  </si>
  <si>
    <t>1.1.0</t>
  </si>
  <si>
    <t>Added DCM mode</t>
  </si>
  <si>
    <t>Sel_Cond_Mode</t>
  </si>
  <si>
    <t>ConductionMode</t>
  </si>
  <si>
    <t>Gain Cross</t>
  </si>
  <si>
    <t>Phase Cross</t>
  </si>
  <si>
    <t>XOVER SEARCH</t>
  </si>
  <si>
    <t>xover</t>
  </si>
  <si>
    <t>phase margin</t>
  </si>
  <si>
    <r>
      <t>Target Output Voltage, V</t>
    </r>
    <r>
      <rPr>
        <vertAlign val="subscript"/>
        <sz val="10"/>
        <color theme="1"/>
        <rFont val="Calibri"/>
        <family val="2"/>
        <scheme val="minor"/>
      </rPr>
      <t>LOAD</t>
    </r>
    <r>
      <rPr>
        <sz val="10"/>
        <color theme="1"/>
        <rFont val="Calibri"/>
        <family val="2"/>
        <scheme val="minor"/>
      </rPr>
      <t xml:space="preserve"> </t>
    </r>
  </si>
  <si>
    <r>
      <t>Desired Output ripple voltage (</t>
    </r>
    <r>
      <rPr>
        <sz val="11"/>
        <color theme="1"/>
        <rFont val="Calibri"/>
        <family val="2"/>
      </rPr>
      <t>Δv</t>
    </r>
    <r>
      <rPr>
        <vertAlign val="subscript"/>
        <sz val="11"/>
        <color theme="1"/>
        <rFont val="Calibri"/>
        <family val="2"/>
      </rPr>
      <t>OUT</t>
    </r>
    <r>
      <rPr>
        <sz val="11"/>
        <color theme="1"/>
        <rFont val="Calibri"/>
        <family val="2"/>
      </rPr>
      <t>)</t>
    </r>
  </si>
  <si>
    <r>
      <rPr>
        <sz val="11"/>
        <color theme="1"/>
        <rFont val="Calibri"/>
        <family val="2"/>
      </rPr>
      <t>μ</t>
    </r>
    <r>
      <rPr>
        <sz val="11"/>
        <color theme="1"/>
        <rFont val="Calibri"/>
        <family val="2"/>
        <scheme val="minor"/>
      </rPr>
      <t>H</t>
    </r>
  </si>
  <si>
    <r>
      <rPr>
        <sz val="11"/>
        <color theme="1"/>
        <rFont val="Calibri"/>
        <family val="2"/>
      </rPr>
      <t>μ</t>
    </r>
    <r>
      <rPr>
        <sz val="11"/>
        <color theme="1"/>
        <rFont val="Calibri"/>
        <family val="2"/>
        <scheme val="minor"/>
      </rPr>
      <t>F</t>
    </r>
  </si>
  <si>
    <t>wp_hf</t>
  </si>
  <si>
    <t>HF pole used for DCM</t>
  </si>
  <si>
    <t>Fn</t>
  </si>
  <si>
    <t>M</t>
  </si>
  <si>
    <t>Hd</t>
  </si>
  <si>
    <t>tauL</t>
  </si>
  <si>
    <t>Suggested maximum bandwidth</t>
  </si>
  <si>
    <r>
      <t>Selected bandwidth (F</t>
    </r>
    <r>
      <rPr>
        <vertAlign val="subscript"/>
        <sz val="11"/>
        <color theme="1"/>
        <rFont val="Calibri"/>
        <family val="2"/>
        <scheme val="minor"/>
      </rPr>
      <t>CO</t>
    </r>
    <r>
      <rPr>
        <sz val="11"/>
        <color theme="1"/>
        <rFont val="Calibri"/>
        <family val="2"/>
        <scheme val="minor"/>
      </rPr>
      <t>)</t>
    </r>
  </si>
  <si>
    <t>Mode</t>
  </si>
  <si>
    <t>Valid Lm</t>
  </si>
  <si>
    <t>L dcm/ccm</t>
  </si>
  <si>
    <t>min</t>
  </si>
  <si>
    <t>max</t>
  </si>
  <si>
    <t>min10%</t>
  </si>
  <si>
    <t>max10%</t>
  </si>
  <si>
    <t>V in min</t>
  </si>
  <si>
    <t>V in nom</t>
  </si>
  <si>
    <t>DC CCM &lt; DCM</t>
  </si>
  <si>
    <t>CCM/DCM</t>
  </si>
  <si>
    <t>Dc_Mode_Loop_Loop</t>
  </si>
  <si>
    <t>Duty Cycle mode for Loop Comenstation</t>
  </si>
  <si>
    <t>CCM only</t>
  </si>
  <si>
    <t>DCM only</t>
  </si>
  <si>
    <t>ModeCheck</t>
  </si>
  <si>
    <t>Lcalc_VIN_max</t>
  </si>
  <si>
    <t>Lcalc_VIN_nom</t>
  </si>
  <si>
    <t>Inductor at Nominal input voltage</t>
  </si>
  <si>
    <t>Inductor at Maximum input voltage</t>
  </si>
  <si>
    <t>V in max</t>
  </si>
  <si>
    <t>Strategy DCM</t>
  </si>
  <si>
    <t>L_DCM</t>
  </si>
  <si>
    <t>1.1.1</t>
  </si>
  <si>
    <t>Fixed reporting of wrong phase Margin</t>
  </si>
  <si>
    <t>Rev 1.1.1</t>
  </si>
  <si>
    <t>August-2021</t>
  </si>
  <si>
    <t>LM5155/56 DC/DC BOOST Controller Design Tool</t>
  </si>
  <si>
    <t>VIN_op_max_56</t>
  </si>
  <si>
    <t>Maximum BIAS pin operating voltage LM5156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</si>
</sst>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E+00"/>
    <numFmt numFmtId="166" formatCode="0.0000"/>
    <numFmt numFmtId="167" formatCode="0.0000E+00"/>
    <numFmt numFmtId="168" formatCode="0.0"/>
    <numFmt numFmtId="169" formatCode="0.0E+00"/>
  </numFmts>
  <fonts count="47" x14ac:knownFonts="1">
    <font>
      <sz val="11"/>
      <color theme="1"/>
      <name val="Calibri"/>
      <family val="2"/>
      <scheme val="minor"/>
    </font>
    <font>
      <sz val="11"/>
      <color theme="1"/>
      <name val="Calibri"/>
      <family val="2"/>
      <scheme val="minor"/>
    </font>
    <font>
      <b/>
      <sz val="11"/>
      <color theme="0"/>
      <name val="Calibri"/>
      <family val="2"/>
      <scheme val="minor"/>
    </font>
    <font>
      <sz val="10"/>
      <name val="Arial"/>
      <family val="2"/>
    </font>
    <font>
      <sz val="10"/>
      <name val="Arial"/>
      <family val="2"/>
    </font>
    <font>
      <b/>
      <sz val="10"/>
      <name val="Arial"/>
      <family val="2"/>
    </font>
    <font>
      <b/>
      <sz val="22"/>
      <color indexed="44"/>
      <name val="Arial"/>
      <family val="2"/>
    </font>
    <font>
      <b/>
      <sz val="9"/>
      <color indexed="81"/>
      <name val="Tahoma"/>
      <family val="2"/>
    </font>
    <font>
      <sz val="9"/>
      <color indexed="81"/>
      <name val="Tahoma"/>
      <family val="2"/>
    </font>
    <font>
      <b/>
      <sz val="12"/>
      <color rgb="FF0000FF"/>
      <name val="Arial"/>
      <family val="2"/>
    </font>
    <font>
      <sz val="28"/>
      <color theme="0"/>
      <name val="Calibri"/>
      <family val="2"/>
      <scheme val="minor"/>
    </font>
    <font>
      <b/>
      <sz val="11"/>
      <color indexed="10"/>
      <name val="Tahoma"/>
      <family val="2"/>
    </font>
    <font>
      <sz val="10"/>
      <color theme="1"/>
      <name val="Calibri"/>
      <family val="2"/>
      <scheme val="minor"/>
    </font>
    <font>
      <vertAlign val="subscript"/>
      <sz val="10"/>
      <color theme="1"/>
      <name val="Calibri"/>
      <family val="2"/>
      <scheme val="minor"/>
    </font>
    <font>
      <sz val="11"/>
      <name val="Calibri"/>
      <family val="2"/>
      <scheme val="minor"/>
    </font>
    <font>
      <b/>
      <sz val="11"/>
      <color rgb="FF0070C0"/>
      <name val="Calibri"/>
      <family val="2"/>
      <scheme val="minor"/>
    </font>
    <font>
      <sz val="11"/>
      <color theme="1"/>
      <name val="Calibri"/>
      <family val="2"/>
    </font>
    <font>
      <u/>
      <sz val="11"/>
      <color theme="1"/>
      <name val="Calibri"/>
      <family val="2"/>
      <scheme val="minor"/>
    </font>
    <font>
      <vertAlign val="subscript"/>
      <sz val="11"/>
      <color theme="1"/>
      <name val="Calibri"/>
      <family val="2"/>
      <scheme val="minor"/>
    </font>
    <font>
      <b/>
      <sz val="12"/>
      <color theme="1"/>
      <name val="Calibri"/>
      <family val="2"/>
      <scheme val="minor"/>
    </font>
    <font>
      <vertAlign val="subscript"/>
      <sz val="11"/>
      <color theme="1"/>
      <name val="Calibri"/>
      <family val="2"/>
    </font>
    <font>
      <b/>
      <sz val="11"/>
      <color theme="3" tint="0.39997558519241921"/>
      <name val="Calibri"/>
      <family val="2"/>
      <scheme val="minor"/>
    </font>
    <font>
      <b/>
      <sz val="11"/>
      <color theme="1"/>
      <name val="Calibri"/>
      <family val="2"/>
      <scheme val="minor"/>
    </font>
    <font>
      <sz val="10"/>
      <name val="Calibri"/>
      <family val="2"/>
      <scheme val="minor"/>
    </font>
    <font>
      <b/>
      <sz val="12"/>
      <color rgb="FF00B0F0"/>
      <name val="Calibri"/>
      <family val="2"/>
      <scheme val="minor"/>
    </font>
    <font>
      <b/>
      <sz val="11"/>
      <color rgb="FF00B0F0"/>
      <name val="Calibri"/>
      <family val="2"/>
      <scheme val="minor"/>
    </font>
    <font>
      <b/>
      <sz val="10"/>
      <color rgb="FF00B0F0"/>
      <name val="Arial"/>
      <family val="2"/>
    </font>
    <font>
      <sz val="18"/>
      <color theme="0"/>
      <name val="Calibri"/>
      <family val="2"/>
      <scheme val="minor"/>
    </font>
    <font>
      <vertAlign val="subscript"/>
      <sz val="10"/>
      <name val="Arial"/>
      <family val="2"/>
    </font>
    <font>
      <vertAlign val="subscript"/>
      <sz val="11"/>
      <name val="Calibri"/>
      <family val="2"/>
      <scheme val="minor"/>
    </font>
    <font>
      <b/>
      <sz val="11"/>
      <color theme="4"/>
      <name val="Calibri"/>
      <family val="2"/>
      <scheme val="minor"/>
    </font>
    <font>
      <b/>
      <sz val="9"/>
      <color indexed="10"/>
      <name val="Tahoma"/>
      <family val="2"/>
    </font>
    <font>
      <vertAlign val="subscript"/>
      <sz val="9"/>
      <color indexed="81"/>
      <name val="Tahoma"/>
      <family val="2"/>
    </font>
    <font>
      <sz val="11"/>
      <color indexed="10"/>
      <name val="Calibri"/>
      <family val="2"/>
      <scheme val="minor"/>
    </font>
    <font>
      <sz val="11"/>
      <color rgb="FFFF0000"/>
      <name val="Calibri"/>
      <family val="2"/>
      <scheme val="minor"/>
    </font>
    <font>
      <u/>
      <sz val="11"/>
      <color theme="10"/>
      <name val="Calibri"/>
      <family val="2"/>
      <scheme val="minor"/>
    </font>
    <font>
      <sz val="11"/>
      <color theme="1"/>
      <name val="Arial"/>
      <family val="2"/>
    </font>
    <font>
      <b/>
      <sz val="10"/>
      <color theme="1"/>
      <name val="Arial"/>
      <family val="2"/>
    </font>
    <font>
      <sz val="10"/>
      <color theme="1"/>
      <name val="Arial"/>
      <family val="2"/>
    </font>
    <font>
      <b/>
      <u/>
      <sz val="10"/>
      <color theme="10"/>
      <name val="Arial"/>
      <family val="2"/>
    </font>
    <font>
      <b/>
      <sz val="10"/>
      <color theme="0"/>
      <name val="Arial"/>
      <family val="2"/>
    </font>
    <font>
      <b/>
      <u/>
      <sz val="11"/>
      <color theme="10"/>
      <name val="Arial"/>
      <family val="2"/>
    </font>
    <font>
      <b/>
      <sz val="8"/>
      <color indexed="81"/>
      <name val="Tahoma"/>
      <family val="2"/>
    </font>
    <font>
      <b/>
      <sz val="9"/>
      <color indexed="52"/>
      <name val="Tahoma"/>
      <family val="2"/>
    </font>
    <font>
      <b/>
      <sz val="9"/>
      <color rgb="FF000000"/>
      <name val="Tahoma"/>
      <family val="2"/>
    </font>
    <font>
      <b/>
      <sz val="9"/>
      <color rgb="FFFF0000"/>
      <name val="Tahoma"/>
      <family val="2"/>
    </font>
    <font>
      <sz val="9"/>
      <color rgb="FF000000"/>
      <name val="Tahoma"/>
      <family val="2"/>
    </font>
  </fonts>
  <fills count="20">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52"/>
        <bgColor indexed="64"/>
      </patternFill>
    </fill>
    <fill>
      <patternFill patternType="solid">
        <fgColor indexed="50"/>
        <bgColor indexed="64"/>
      </patternFill>
    </fill>
    <fill>
      <patternFill patternType="solid">
        <fgColor rgb="FFFF0000"/>
        <bgColor indexed="64"/>
      </patternFill>
    </fill>
    <fill>
      <patternFill patternType="solid">
        <fgColor rgb="FFFFFF00"/>
        <bgColor indexed="64"/>
      </patternFill>
    </fill>
    <fill>
      <patternFill patternType="solid">
        <fgColor theme="0" tint="-0.499984740745262"/>
        <bgColor indexed="64"/>
      </patternFill>
    </fill>
    <fill>
      <patternFill patternType="solid">
        <fgColor rgb="FFFFC000"/>
        <bgColor indexed="64"/>
      </patternFill>
    </fill>
    <fill>
      <patternFill patternType="solid">
        <fgColor theme="0" tint="-0.249977111117893"/>
        <bgColor indexed="64"/>
      </patternFill>
    </fill>
    <fill>
      <patternFill patternType="solid">
        <fgColor rgb="FF92D050"/>
        <bgColor indexed="64"/>
      </patternFill>
    </fill>
    <fill>
      <patternFill patternType="solid">
        <fgColor theme="0" tint="-0.34998626667073579"/>
        <bgColor indexed="64"/>
      </patternFill>
    </fill>
    <fill>
      <patternFill patternType="solid">
        <fgColor theme="1" tint="4.9989318521683403E-2"/>
        <bgColor indexed="64"/>
      </patternFill>
    </fill>
    <fill>
      <patternFill patternType="solid">
        <fgColor theme="5" tint="0.79998168889431442"/>
        <bgColor indexed="64"/>
      </patternFill>
    </fill>
    <fill>
      <patternFill patternType="solid">
        <fgColor theme="2" tint="-0.89999084444715716"/>
        <bgColor indexed="64"/>
      </patternFill>
    </fill>
    <fill>
      <patternFill patternType="solid">
        <fgColor theme="0"/>
        <bgColor indexed="64"/>
      </patternFill>
    </fill>
    <fill>
      <patternFill patternType="solid">
        <fgColor theme="1"/>
        <bgColor indexed="64"/>
      </patternFill>
    </fill>
    <fill>
      <patternFill patternType="solid">
        <fgColor rgb="FFDE0000"/>
        <bgColor indexed="64"/>
      </patternFill>
    </fill>
    <fill>
      <patternFill patternType="solid">
        <fgColor indexed="44"/>
        <bgColor indexed="64"/>
      </patternFill>
    </fill>
  </fills>
  <borders count="29">
    <border>
      <left/>
      <right/>
      <top/>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9">
    <xf numFmtId="0" fontId="0" fillId="0" borderId="0"/>
    <xf numFmtId="0" fontId="3" fillId="0" borderId="0"/>
    <xf numFmtId="43" fontId="4" fillId="0" borderId="0" applyFont="0" applyFill="0" applyBorder="0" applyAlignment="0" applyProtection="0"/>
    <xf numFmtId="0" fontId="4" fillId="0" borderId="0"/>
    <xf numFmtId="0" fontId="1" fillId="0" borderId="0"/>
    <xf numFmtId="43" fontId="1" fillId="0" borderId="0" applyFont="0" applyFill="0" applyBorder="0" applyAlignment="0" applyProtection="0"/>
    <xf numFmtId="0" fontId="4" fillId="0" borderId="0"/>
    <xf numFmtId="0" fontId="4" fillId="0" borderId="0"/>
    <xf numFmtId="0" fontId="35" fillId="0" borderId="0" applyNumberFormat="0" applyFill="0" applyBorder="0" applyAlignment="0" applyProtection="0"/>
  </cellStyleXfs>
  <cellXfs count="251">
    <xf numFmtId="0" fontId="0" fillId="0" borderId="0" xfId="0"/>
    <xf numFmtId="0" fontId="0" fillId="9" borderId="0" xfId="0" applyFill="1"/>
    <xf numFmtId="0" fontId="16" fillId="0" borderId="0" xfId="0" applyFont="1"/>
    <xf numFmtId="0" fontId="0" fillId="10" borderId="0" xfId="0" applyFill="1"/>
    <xf numFmtId="0" fontId="4" fillId="0" borderId="0" xfId="3"/>
    <xf numFmtId="0" fontId="5" fillId="0" borderId="0" xfId="3" applyFont="1" applyAlignment="1">
      <alignment horizontal="center"/>
    </xf>
    <xf numFmtId="0" fontId="5" fillId="3" borderId="0" xfId="3" applyFont="1" applyFill="1" applyAlignment="1">
      <alignment horizontal="center"/>
    </xf>
    <xf numFmtId="0" fontId="5" fillId="4" borderId="0" xfId="3" applyFont="1" applyFill="1" applyAlignment="1">
      <alignment horizontal="center"/>
    </xf>
    <xf numFmtId="0" fontId="5" fillId="5" borderId="0" xfId="3" applyFont="1" applyFill="1" applyAlignment="1">
      <alignment horizontal="center"/>
    </xf>
    <xf numFmtId="0" fontId="5" fillId="0" borderId="0" xfId="3" applyFont="1"/>
    <xf numFmtId="0" fontId="9" fillId="0" borderId="0" xfId="3" applyFont="1"/>
    <xf numFmtId="2" fontId="0" fillId="10" borderId="0" xfId="0" applyNumberFormat="1" applyFill="1"/>
    <xf numFmtId="0" fontId="0" fillId="11" borderId="0" xfId="0" applyFill="1"/>
    <xf numFmtId="165" fontId="0" fillId="9" borderId="0" xfId="0" applyNumberFormat="1" applyFill="1"/>
    <xf numFmtId="0" fontId="5" fillId="0" borderId="0" xfId="3" applyFont="1" applyAlignment="1">
      <alignment horizontal="right"/>
    </xf>
    <xf numFmtId="0" fontId="4" fillId="0" borderId="0" xfId="3" applyAlignment="1">
      <alignment horizontal="center"/>
    </xf>
    <xf numFmtId="164" fontId="0" fillId="9" borderId="0" xfId="0" applyNumberFormat="1" applyFill="1"/>
    <xf numFmtId="2" fontId="0" fillId="9" borderId="0" xfId="0" applyNumberFormat="1" applyFill="1"/>
    <xf numFmtId="1" fontId="0" fillId="9" borderId="0" xfId="0" applyNumberFormat="1" applyFill="1"/>
    <xf numFmtId="0" fontId="15" fillId="0" borderId="0" xfId="0" applyFont="1"/>
    <xf numFmtId="164" fontId="0" fillId="0" borderId="0" xfId="0" applyNumberFormat="1"/>
    <xf numFmtId="11" fontId="14" fillId="10" borderId="0" xfId="0" applyNumberFormat="1" applyFont="1" applyFill="1"/>
    <xf numFmtId="0" fontId="17" fillId="0" borderId="0" xfId="0" applyFont="1"/>
    <xf numFmtId="2" fontId="0" fillId="0" borderId="0" xfId="0" applyNumberFormat="1"/>
    <xf numFmtId="167" fontId="0" fillId="9" borderId="0" xfId="0" applyNumberFormat="1" applyFill="1"/>
    <xf numFmtId="11" fontId="0" fillId="9" borderId="0" xfId="0" applyNumberFormat="1" applyFill="1"/>
    <xf numFmtId="0" fontId="5" fillId="0" borderId="0" xfId="3" applyFont="1" applyAlignment="1">
      <alignment horizontal="left"/>
    </xf>
    <xf numFmtId="166" fontId="0" fillId="9" borderId="0" xfId="0" applyNumberFormat="1" applyFill="1"/>
    <xf numFmtId="0" fontId="14" fillId="10" borderId="0" xfId="0" applyFont="1" applyFill="1"/>
    <xf numFmtId="0" fontId="19" fillId="0" borderId="0" xfId="0" applyFont="1"/>
    <xf numFmtId="0" fontId="21" fillId="0" borderId="0" xfId="0" applyFont="1"/>
    <xf numFmtId="0" fontId="0" fillId="12" borderId="0" xfId="0" applyFill="1"/>
    <xf numFmtId="1" fontId="0" fillId="0" borderId="0" xfId="0" applyNumberFormat="1"/>
    <xf numFmtId="0" fontId="22" fillId="0" borderId="0" xfId="0" applyFont="1"/>
    <xf numFmtId="0" fontId="23" fillId="0" borderId="0" xfId="0" applyFont="1"/>
    <xf numFmtId="168" fontId="0" fillId="0" borderId="0" xfId="0" applyNumberFormat="1"/>
    <xf numFmtId="169" fontId="0" fillId="0" borderId="0" xfId="0" applyNumberFormat="1"/>
    <xf numFmtId="0" fontId="0" fillId="0" borderId="13" xfId="0" applyBorder="1"/>
    <xf numFmtId="0" fontId="0" fillId="14" borderId="0" xfId="0" applyFill="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4" fillId="0" borderId="0" xfId="3" applyAlignment="1">
      <alignment horizontal="left"/>
    </xf>
    <xf numFmtId="0" fontId="4" fillId="0" borderId="8" xfId="3" applyBorder="1" applyAlignment="1">
      <alignment horizontal="left"/>
    </xf>
    <xf numFmtId="0" fontId="0" fillId="14" borderId="13" xfId="0" applyFill="1" applyBorder="1"/>
    <xf numFmtId="0" fontId="0" fillId="0" borderId="19" xfId="0" applyBorder="1"/>
    <xf numFmtId="0" fontId="0" fillId="14" borderId="15" xfId="0" applyFill="1" applyBorder="1"/>
    <xf numFmtId="0" fontId="0" fillId="0" borderId="20" xfId="0" applyBorder="1" applyAlignment="1">
      <alignment horizontal="center" wrapText="1"/>
    </xf>
    <xf numFmtId="0" fontId="0" fillId="0" borderId="21" xfId="0" applyBorder="1"/>
    <xf numFmtId="0" fontId="0" fillId="0" borderId="22" xfId="0" applyBorder="1"/>
    <xf numFmtId="0" fontId="14" fillId="0" borderId="0" xfId="0" applyFont="1"/>
    <xf numFmtId="0" fontId="0" fillId="6" borderId="0" xfId="0" applyFill="1" applyProtection="1">
      <protection hidden="1"/>
    </xf>
    <xf numFmtId="0" fontId="10" fillId="6" borderId="0" xfId="0" applyFont="1" applyFill="1" applyAlignment="1" applyProtection="1">
      <alignment horizontal="left" vertical="center"/>
      <protection hidden="1"/>
    </xf>
    <xf numFmtId="0" fontId="0" fillId="6" borderId="0" xfId="0" applyFill="1" applyAlignment="1" applyProtection="1">
      <alignment horizontal="right"/>
      <protection hidden="1"/>
    </xf>
    <xf numFmtId="0" fontId="14" fillId="8" borderId="0" xfId="0" applyFont="1" applyFill="1" applyProtection="1">
      <protection hidden="1"/>
    </xf>
    <xf numFmtId="0" fontId="0" fillId="15" borderId="0" xfId="0" applyFill="1" applyProtection="1">
      <protection hidden="1"/>
    </xf>
    <xf numFmtId="0" fontId="0" fillId="8" borderId="0" xfId="0" applyFill="1" applyProtection="1">
      <protection hidden="1"/>
    </xf>
    <xf numFmtId="0" fontId="0" fillId="8" borderId="0" xfId="0" applyFill="1" applyAlignment="1" applyProtection="1">
      <alignment horizontal="right"/>
      <protection hidden="1"/>
    </xf>
    <xf numFmtId="0" fontId="2" fillId="8" borderId="0" xfId="0" applyFont="1" applyFill="1" applyProtection="1">
      <protection hidden="1"/>
    </xf>
    <xf numFmtId="0" fontId="0" fillId="7" borderId="0" xfId="0" applyFill="1" applyProtection="1">
      <protection hidden="1"/>
    </xf>
    <xf numFmtId="0" fontId="2" fillId="8" borderId="0" xfId="0" quotePrefix="1" applyFont="1" applyFill="1" applyProtection="1">
      <protection hidden="1"/>
    </xf>
    <xf numFmtId="0" fontId="0" fillId="8" borderId="1" xfId="0" applyFill="1" applyBorder="1" applyProtection="1">
      <protection hidden="1"/>
    </xf>
    <xf numFmtId="0" fontId="0" fillId="8" borderId="1" xfId="0" applyFill="1" applyBorder="1" applyAlignment="1" applyProtection="1">
      <alignment horizontal="right"/>
      <protection hidden="1"/>
    </xf>
    <xf numFmtId="0" fontId="14" fillId="8" borderId="1" xfId="0" applyFont="1" applyFill="1" applyBorder="1" applyProtection="1">
      <protection hidden="1"/>
    </xf>
    <xf numFmtId="0" fontId="0" fillId="15" borderId="1" xfId="0" applyFill="1" applyBorder="1" applyProtection="1">
      <protection hidden="1"/>
    </xf>
    <xf numFmtId="0" fontId="0" fillId="16" borderId="0" xfId="0" applyFill="1" applyProtection="1">
      <protection hidden="1"/>
    </xf>
    <xf numFmtId="0" fontId="0" fillId="16" borderId="0" xfId="0" applyFill="1" applyAlignment="1" applyProtection="1">
      <alignment horizontal="right"/>
      <protection hidden="1"/>
    </xf>
    <xf numFmtId="49" fontId="0" fillId="16" borderId="0" xfId="0" applyNumberFormat="1" applyFill="1" applyProtection="1">
      <protection hidden="1"/>
    </xf>
    <xf numFmtId="0" fontId="15" fillId="16" borderId="0" xfId="0" applyFont="1" applyFill="1" applyProtection="1">
      <protection hidden="1"/>
    </xf>
    <xf numFmtId="0" fontId="0" fillId="16" borderId="2" xfId="0" applyFill="1" applyBorder="1" applyProtection="1">
      <protection hidden="1"/>
    </xf>
    <xf numFmtId="0" fontId="0" fillId="16" borderId="3" xfId="0" applyFill="1" applyBorder="1" applyProtection="1">
      <protection hidden="1"/>
    </xf>
    <xf numFmtId="0" fontId="12" fillId="16" borderId="3" xfId="3" applyFont="1" applyFill="1" applyBorder="1" applyAlignment="1" applyProtection="1">
      <alignment horizontal="right"/>
      <protection hidden="1"/>
    </xf>
    <xf numFmtId="0" fontId="0" fillId="16" borderId="4" xfId="0" applyFill="1" applyBorder="1" applyProtection="1">
      <protection hidden="1"/>
    </xf>
    <xf numFmtId="0" fontId="0" fillId="16" borderId="5" xfId="0" applyFill="1" applyBorder="1" applyProtection="1">
      <protection hidden="1"/>
    </xf>
    <xf numFmtId="0" fontId="12" fillId="16" borderId="0" xfId="3" applyFont="1" applyFill="1" applyAlignment="1" applyProtection="1">
      <alignment horizontal="right"/>
      <protection hidden="1"/>
    </xf>
    <xf numFmtId="0" fontId="0" fillId="16" borderId="6" xfId="0" applyFill="1" applyBorder="1" applyProtection="1">
      <protection hidden="1"/>
    </xf>
    <xf numFmtId="0" fontId="12" fillId="16" borderId="5" xfId="0" applyFont="1" applyFill="1" applyBorder="1" applyProtection="1">
      <protection hidden="1"/>
    </xf>
    <xf numFmtId="0" fontId="12" fillId="16" borderId="0" xfId="0" applyFont="1" applyFill="1" applyProtection="1">
      <protection hidden="1"/>
    </xf>
    <xf numFmtId="0" fontId="12" fillId="16" borderId="0" xfId="0" applyFont="1" applyFill="1" applyAlignment="1" applyProtection="1">
      <alignment horizontal="right"/>
      <protection hidden="1"/>
    </xf>
    <xf numFmtId="0" fontId="12" fillId="16" borderId="7" xfId="0" applyFont="1" applyFill="1" applyBorder="1" applyProtection="1">
      <protection hidden="1"/>
    </xf>
    <xf numFmtId="0" fontId="12" fillId="16" borderId="8" xfId="0" applyFont="1" applyFill="1" applyBorder="1" applyProtection="1">
      <protection hidden="1"/>
    </xf>
    <xf numFmtId="0" fontId="0" fillId="16" borderId="8" xfId="0" applyFill="1" applyBorder="1" applyProtection="1">
      <protection hidden="1"/>
    </xf>
    <xf numFmtId="0" fontId="12" fillId="16" borderId="8" xfId="0" applyFont="1" applyFill="1" applyBorder="1" applyAlignment="1" applyProtection="1">
      <alignment horizontal="right"/>
      <protection hidden="1"/>
    </xf>
    <xf numFmtId="0" fontId="0" fillId="16" borderId="9" xfId="0" applyFill="1" applyBorder="1" applyProtection="1">
      <protection hidden="1"/>
    </xf>
    <xf numFmtId="0" fontId="12" fillId="16" borderId="2" xfId="0" applyFont="1" applyFill="1" applyBorder="1" applyProtection="1">
      <protection hidden="1"/>
    </xf>
    <xf numFmtId="0" fontId="12" fillId="16" borderId="3" xfId="0" applyFont="1" applyFill="1" applyBorder="1" applyProtection="1">
      <protection hidden="1"/>
    </xf>
    <xf numFmtId="0" fontId="0" fillId="16" borderId="7" xfId="0" applyFill="1" applyBorder="1" applyProtection="1">
      <protection hidden="1"/>
    </xf>
    <xf numFmtId="0" fontId="12" fillId="16" borderId="8" xfId="3" applyFont="1" applyFill="1" applyBorder="1" applyAlignment="1" applyProtection="1">
      <alignment horizontal="right"/>
      <protection hidden="1"/>
    </xf>
    <xf numFmtId="0" fontId="16" fillId="16" borderId="6" xfId="0" applyFont="1" applyFill="1" applyBorder="1" applyProtection="1">
      <protection hidden="1"/>
    </xf>
    <xf numFmtId="0" fontId="0" fillId="16" borderId="8" xfId="0" applyFill="1" applyBorder="1" applyAlignment="1" applyProtection="1">
      <alignment horizontal="right"/>
      <protection hidden="1"/>
    </xf>
    <xf numFmtId="0" fontId="16" fillId="16" borderId="9" xfId="0" applyFont="1" applyFill="1" applyBorder="1" applyProtection="1">
      <protection hidden="1"/>
    </xf>
    <xf numFmtId="0" fontId="0" fillId="16" borderId="3" xfId="0" applyFill="1" applyBorder="1" applyAlignment="1" applyProtection="1">
      <alignment horizontal="right"/>
      <protection hidden="1"/>
    </xf>
    <xf numFmtId="0" fontId="15" fillId="16" borderId="2" xfId="0" applyFont="1" applyFill="1" applyBorder="1" applyProtection="1">
      <protection hidden="1"/>
    </xf>
    <xf numFmtId="0" fontId="14" fillId="16" borderId="3" xfId="0" applyFont="1" applyFill="1" applyBorder="1" applyAlignment="1" applyProtection="1">
      <alignment horizontal="right"/>
      <protection hidden="1"/>
    </xf>
    <xf numFmtId="0" fontId="15" fillId="16" borderId="5" xfId="0" applyFont="1" applyFill="1" applyBorder="1" applyProtection="1">
      <protection hidden="1"/>
    </xf>
    <xf numFmtId="0" fontId="22" fillId="16" borderId="0" xfId="0" applyFont="1" applyFill="1" applyAlignment="1" applyProtection="1">
      <alignment horizontal="right"/>
      <protection hidden="1"/>
    </xf>
    <xf numFmtId="0" fontId="0" fillId="0" borderId="0" xfId="0" applyProtection="1">
      <protection hidden="1"/>
    </xf>
    <xf numFmtId="0" fontId="0" fillId="16" borderId="0" xfId="0" applyFill="1" applyAlignment="1" applyProtection="1">
      <alignment horizontal="center"/>
      <protection hidden="1"/>
    </xf>
    <xf numFmtId="0" fontId="0" fillId="16" borderId="6" xfId="0" applyFill="1" applyBorder="1" applyAlignment="1" applyProtection="1">
      <alignment horizontal="center"/>
      <protection hidden="1"/>
    </xf>
    <xf numFmtId="1" fontId="0" fillId="16" borderId="0" xfId="0" applyNumberFormat="1" applyFill="1" applyProtection="1">
      <protection hidden="1"/>
    </xf>
    <xf numFmtId="0" fontId="27" fillId="13" borderId="0" xfId="0" applyFont="1" applyFill="1" applyProtection="1">
      <protection hidden="1"/>
    </xf>
    <xf numFmtId="0" fontId="0" fillId="13" borderId="0" xfId="0" applyFill="1" applyProtection="1">
      <protection hidden="1"/>
    </xf>
    <xf numFmtId="0" fontId="0" fillId="13" borderId="0" xfId="0" applyFill="1" applyAlignment="1" applyProtection="1">
      <alignment horizontal="right"/>
      <protection hidden="1"/>
    </xf>
    <xf numFmtId="0" fontId="0" fillId="17" borderId="0" xfId="0" applyFill="1" applyProtection="1">
      <protection hidden="1"/>
    </xf>
    <xf numFmtId="0" fontId="30" fillId="16" borderId="0" xfId="0" applyFont="1" applyFill="1" applyAlignment="1" applyProtection="1">
      <alignment horizontal="left"/>
      <protection hidden="1"/>
    </xf>
    <xf numFmtId="0" fontId="4" fillId="16" borderId="3" xfId="3" applyFill="1" applyBorder="1" applyAlignment="1" applyProtection="1">
      <alignment horizontal="right"/>
      <protection hidden="1"/>
    </xf>
    <xf numFmtId="0" fontId="4" fillId="16" borderId="4" xfId="3" applyFill="1" applyBorder="1" applyProtection="1">
      <protection hidden="1"/>
    </xf>
    <xf numFmtId="0" fontId="4" fillId="16" borderId="0" xfId="3" applyFill="1" applyAlignment="1" applyProtection="1">
      <alignment horizontal="right"/>
      <protection hidden="1"/>
    </xf>
    <xf numFmtId="0" fontId="4" fillId="16" borderId="6" xfId="3" applyFill="1" applyBorder="1" applyProtection="1">
      <protection hidden="1"/>
    </xf>
    <xf numFmtId="0" fontId="4" fillId="16" borderId="8" xfId="3" applyFill="1" applyBorder="1" applyAlignment="1" applyProtection="1">
      <alignment horizontal="right"/>
      <protection hidden="1"/>
    </xf>
    <xf numFmtId="0" fontId="4" fillId="16" borderId="9" xfId="3" applyFill="1" applyBorder="1" applyProtection="1">
      <protection hidden="1"/>
    </xf>
    <xf numFmtId="0" fontId="0" fillId="15" borderId="0" xfId="0" applyFill="1" applyAlignment="1" applyProtection="1">
      <alignment horizontal="right"/>
      <protection hidden="1"/>
    </xf>
    <xf numFmtId="0" fontId="14" fillId="15" borderId="0" xfId="0" applyFont="1" applyFill="1" applyProtection="1">
      <protection hidden="1"/>
    </xf>
    <xf numFmtId="0" fontId="34" fillId="16" borderId="0" xfId="0" applyFont="1" applyFill="1" applyProtection="1">
      <protection hidden="1"/>
    </xf>
    <xf numFmtId="0" fontId="0" fillId="7" borderId="24" xfId="0" applyFill="1" applyBorder="1" applyProtection="1">
      <protection locked="0" hidden="1"/>
    </xf>
    <xf numFmtId="0" fontId="0" fillId="7" borderId="25" xfId="0" applyFill="1" applyBorder="1" applyProtection="1">
      <protection locked="0" hidden="1"/>
    </xf>
    <xf numFmtId="2" fontId="0" fillId="16" borderId="25" xfId="0" applyNumberFormat="1" applyFill="1" applyBorder="1" applyProtection="1">
      <protection hidden="1"/>
    </xf>
    <xf numFmtId="0" fontId="0" fillId="16" borderId="25" xfId="0" applyFill="1" applyBorder="1" applyProtection="1">
      <protection hidden="1"/>
    </xf>
    <xf numFmtId="164" fontId="0" fillId="0" borderId="25" xfId="0" applyNumberFormat="1" applyBorder="1" applyProtection="1">
      <protection hidden="1"/>
    </xf>
    <xf numFmtId="2" fontId="0" fillId="0" borderId="26" xfId="0" applyNumberFormat="1" applyBorder="1" applyProtection="1">
      <protection hidden="1"/>
    </xf>
    <xf numFmtId="1" fontId="0" fillId="16" borderId="25" xfId="0" applyNumberFormat="1" applyFill="1" applyBorder="1" applyProtection="1">
      <protection hidden="1"/>
    </xf>
    <xf numFmtId="2" fontId="0" fillId="16" borderId="26" xfId="0" applyNumberFormat="1" applyFill="1" applyBorder="1" applyProtection="1">
      <protection hidden="1"/>
    </xf>
    <xf numFmtId="0" fontId="0" fillId="7" borderId="26" xfId="0" applyFill="1" applyBorder="1" applyProtection="1">
      <protection locked="0" hidden="1"/>
    </xf>
    <xf numFmtId="2" fontId="0" fillId="0" borderId="25" xfId="0" applyNumberFormat="1" applyBorder="1" applyProtection="1">
      <protection hidden="1"/>
    </xf>
    <xf numFmtId="2" fontId="0" fillId="0" borderId="24" xfId="0" applyNumberFormat="1" applyBorder="1" applyProtection="1">
      <protection hidden="1"/>
    </xf>
    <xf numFmtId="1" fontId="0" fillId="0" borderId="26" xfId="0" applyNumberFormat="1" applyBorder="1" applyProtection="1">
      <protection hidden="1"/>
    </xf>
    <xf numFmtId="0" fontId="0" fillId="7" borderId="24" xfId="0" applyFill="1" applyBorder="1" applyAlignment="1" applyProtection="1">
      <alignment vertical="top"/>
      <protection hidden="1"/>
    </xf>
    <xf numFmtId="0" fontId="0" fillId="0" borderId="25" xfId="0" applyBorder="1" applyAlignment="1" applyProtection="1">
      <alignment vertical="top"/>
      <protection hidden="1"/>
    </xf>
    <xf numFmtId="0" fontId="0" fillId="16" borderId="25" xfId="0" applyFill="1" applyBorder="1" applyAlignment="1" applyProtection="1">
      <alignment horizontal="center"/>
      <protection hidden="1"/>
    </xf>
    <xf numFmtId="1" fontId="0" fillId="16" borderId="7" xfId="0" applyNumberFormat="1" applyFill="1" applyBorder="1" applyProtection="1">
      <protection hidden="1"/>
    </xf>
    <xf numFmtId="0" fontId="0" fillId="7" borderId="23" xfId="0" applyFill="1" applyBorder="1" applyProtection="1">
      <protection locked="0" hidden="1"/>
    </xf>
    <xf numFmtId="2" fontId="0" fillId="16" borderId="10" xfId="0" applyNumberFormat="1" applyFill="1" applyBorder="1" applyProtection="1">
      <protection hidden="1"/>
    </xf>
    <xf numFmtId="0" fontId="0" fillId="0" borderId="24" xfId="0" applyBorder="1" applyProtection="1">
      <protection hidden="1"/>
    </xf>
    <xf numFmtId="0" fontId="16" fillId="16" borderId="23" xfId="0" applyFont="1" applyFill="1" applyBorder="1" applyAlignment="1" applyProtection="1">
      <alignment horizontal="left"/>
      <protection hidden="1"/>
    </xf>
    <xf numFmtId="0" fontId="0" fillId="16" borderId="26" xfId="0" applyFill="1" applyBorder="1" applyAlignment="1" applyProtection="1">
      <alignment horizontal="left"/>
      <protection hidden="1"/>
    </xf>
    <xf numFmtId="48" fontId="0" fillId="0" borderId="0" xfId="0" applyNumberFormat="1"/>
    <xf numFmtId="0" fontId="0" fillId="7" borderId="26" xfId="0" applyFill="1" applyBorder="1" applyAlignment="1" applyProtection="1">
      <alignment horizontal="right"/>
      <protection locked="0" hidden="1"/>
    </xf>
    <xf numFmtId="0" fontId="3" fillId="3" borderId="0" xfId="3" applyFont="1" applyFill="1" applyAlignment="1">
      <alignment horizontal="right"/>
    </xf>
    <xf numFmtId="2" fontId="0" fillId="9" borderId="0" xfId="0" applyNumberFormat="1" applyFill="1" applyAlignment="1">
      <alignment horizontal="right"/>
    </xf>
    <xf numFmtId="168" fontId="0" fillId="16" borderId="10" xfId="0" applyNumberFormat="1" applyFill="1" applyBorder="1" applyProtection="1">
      <protection hidden="1"/>
    </xf>
    <xf numFmtId="1" fontId="0" fillId="16" borderId="26" xfId="0" applyNumberFormat="1" applyFill="1" applyBorder="1" applyProtection="1">
      <protection hidden="1"/>
    </xf>
    <xf numFmtId="4" fontId="0" fillId="16" borderId="25" xfId="0" applyNumberFormat="1" applyFill="1" applyBorder="1" applyProtection="1">
      <protection hidden="1"/>
    </xf>
    <xf numFmtId="0" fontId="36" fillId="0" borderId="0" xfId="0" applyFont="1"/>
    <xf numFmtId="0" fontId="37" fillId="0" borderId="0" xfId="0" applyFont="1" applyAlignment="1">
      <alignment horizontal="center"/>
    </xf>
    <xf numFmtId="0" fontId="37" fillId="0" borderId="0" xfId="0" applyFont="1" applyAlignment="1">
      <alignment horizontal="left"/>
    </xf>
    <xf numFmtId="0" fontId="38" fillId="0" borderId="0" xfId="0" applyFont="1"/>
    <xf numFmtId="0" fontId="39" fillId="0" borderId="0" xfId="8" applyFont="1" applyFill="1" applyBorder="1" applyAlignment="1">
      <alignment vertical="center"/>
    </xf>
    <xf numFmtId="0" fontId="39" fillId="0" borderId="0" xfId="8" applyFont="1" applyFill="1" applyBorder="1" applyAlignment="1">
      <alignment horizontal="right" vertical="center"/>
    </xf>
    <xf numFmtId="0" fontId="36" fillId="0" borderId="0" xfId="0" applyFont="1" applyAlignment="1">
      <alignment horizontal="center"/>
    </xf>
    <xf numFmtId="0" fontId="36" fillId="0" borderId="0" xfId="0" applyFont="1" applyAlignment="1">
      <alignment horizontal="left"/>
    </xf>
    <xf numFmtId="0" fontId="38" fillId="0" borderId="0" xfId="0" applyFont="1" applyAlignment="1">
      <alignment horizontal="center"/>
    </xf>
    <xf numFmtId="0" fontId="3" fillId="0" borderId="0" xfId="0" applyFont="1"/>
    <xf numFmtId="0" fontId="40" fillId="17" borderId="0" xfId="0" applyFont="1" applyFill="1" applyAlignment="1">
      <alignment horizontal="center"/>
    </xf>
    <xf numFmtId="0" fontId="41" fillId="0" borderId="0" xfId="8" applyFont="1" applyFill="1" applyBorder="1" applyAlignment="1">
      <alignment vertical="center"/>
    </xf>
    <xf numFmtId="49" fontId="38" fillId="0" borderId="0" xfId="0" applyNumberFormat="1" applyFont="1" applyAlignment="1">
      <alignment horizontal="center"/>
    </xf>
    <xf numFmtId="49" fontId="37" fillId="0" borderId="0" xfId="0" applyNumberFormat="1" applyFont="1" applyAlignment="1">
      <alignment horizontal="left"/>
    </xf>
    <xf numFmtId="0" fontId="5" fillId="0" borderId="0" xfId="3" applyFont="1" applyAlignment="1" applyProtection="1">
      <alignment horizontal="center"/>
      <protection hidden="1"/>
    </xf>
    <xf numFmtId="0" fontId="5" fillId="3" borderId="0" xfId="3" applyFont="1" applyFill="1" applyAlignment="1" applyProtection="1">
      <alignment horizontal="center"/>
      <protection hidden="1"/>
    </xf>
    <xf numFmtId="0" fontId="4" fillId="0" borderId="0" xfId="3" applyProtection="1">
      <protection hidden="1"/>
    </xf>
    <xf numFmtId="0" fontId="5" fillId="4" borderId="0" xfId="3" applyFont="1" applyFill="1" applyAlignment="1" applyProtection="1">
      <alignment horizontal="center"/>
      <protection hidden="1"/>
    </xf>
    <xf numFmtId="0" fontId="5" fillId="0" borderId="0" xfId="3" applyFont="1" applyAlignment="1" applyProtection="1">
      <alignment horizontal="right"/>
      <protection hidden="1"/>
    </xf>
    <xf numFmtId="0" fontId="4" fillId="0" borderId="0" xfId="3" applyAlignment="1" applyProtection="1">
      <alignment horizontal="center"/>
      <protection hidden="1"/>
    </xf>
    <xf numFmtId="0" fontId="5" fillId="0" borderId="0" xfId="3" applyFont="1" applyAlignment="1" applyProtection="1">
      <alignment horizontal="left"/>
      <protection hidden="1"/>
    </xf>
    <xf numFmtId="0" fontId="5" fillId="5" borderId="0" xfId="3" applyFont="1" applyFill="1" applyAlignment="1" applyProtection="1">
      <alignment horizontal="center"/>
      <protection hidden="1"/>
    </xf>
    <xf numFmtId="0" fontId="0" fillId="0" borderId="10" xfId="0" applyBorder="1" applyProtection="1">
      <protection hidden="1"/>
    </xf>
    <xf numFmtId="0" fontId="0" fillId="0" borderId="12" xfId="0" applyBorder="1" applyProtection="1">
      <protection hidden="1"/>
    </xf>
    <xf numFmtId="0" fontId="0" fillId="0" borderId="5" xfId="0" applyBorder="1" applyProtection="1">
      <protection hidden="1"/>
    </xf>
    <xf numFmtId="0" fontId="0" fillId="0" borderId="6" xfId="0" applyBorder="1" applyProtection="1">
      <protection hidden="1"/>
    </xf>
    <xf numFmtId="0" fontId="5" fillId="0" borderId="0" xfId="3" applyFont="1" applyProtection="1">
      <protection hidden="1"/>
    </xf>
    <xf numFmtId="0" fontId="4" fillId="0" borderId="5" xfId="3" applyBorder="1" applyProtection="1">
      <protection hidden="1"/>
    </xf>
    <xf numFmtId="0" fontId="4" fillId="0" borderId="6" xfId="3" applyBorder="1" applyProtection="1">
      <protection hidden="1"/>
    </xf>
    <xf numFmtId="164" fontId="4" fillId="0" borderId="11" xfId="3" applyNumberFormat="1" applyBorder="1" applyProtection="1">
      <protection hidden="1"/>
    </xf>
    <xf numFmtId="0" fontId="4" fillId="0" borderId="11" xfId="3" applyBorder="1" applyProtection="1">
      <protection hidden="1"/>
    </xf>
    <xf numFmtId="0" fontId="0" fillId="0" borderId="11" xfId="0" applyBorder="1" applyProtection="1">
      <protection hidden="1"/>
    </xf>
    <xf numFmtId="0" fontId="4" fillId="0" borderId="10" xfId="3" applyBorder="1" applyProtection="1">
      <protection hidden="1"/>
    </xf>
    <xf numFmtId="164" fontId="0" fillId="0" borderId="11" xfId="0" applyNumberFormat="1" applyBorder="1" applyProtection="1">
      <protection hidden="1"/>
    </xf>
    <xf numFmtId="0" fontId="26" fillId="0" borderId="0" xfId="3" applyFont="1" applyProtection="1">
      <protection hidden="1"/>
    </xf>
    <xf numFmtId="0" fontId="0" fillId="0" borderId="2" xfId="0" applyBorder="1" applyProtection="1">
      <protection hidden="1"/>
    </xf>
    <xf numFmtId="1" fontId="0" fillId="0" borderId="4" xfId="0" applyNumberFormat="1" applyBorder="1" applyProtection="1">
      <protection hidden="1"/>
    </xf>
    <xf numFmtId="164" fontId="4" fillId="0" borderId="3" xfId="3" applyNumberFormat="1" applyBorder="1" applyProtection="1">
      <protection hidden="1"/>
    </xf>
    <xf numFmtId="0" fontId="4" fillId="0" borderId="3" xfId="3" applyBorder="1" applyProtection="1">
      <protection hidden="1"/>
    </xf>
    <xf numFmtId="0" fontId="0" fillId="0" borderId="3" xfId="0" applyBorder="1" applyProtection="1">
      <protection hidden="1"/>
    </xf>
    <xf numFmtId="0" fontId="4" fillId="0" borderId="2" xfId="3" applyBorder="1" applyProtection="1">
      <protection hidden="1"/>
    </xf>
    <xf numFmtId="164" fontId="0" fillId="0" borderId="3" xfId="0" applyNumberFormat="1" applyBorder="1" applyProtection="1">
      <protection hidden="1"/>
    </xf>
    <xf numFmtId="0" fontId="0" fillId="0" borderId="4" xfId="0" applyBorder="1" applyProtection="1">
      <protection hidden="1"/>
    </xf>
    <xf numFmtId="0" fontId="0" fillId="10" borderId="0" xfId="0" applyFill="1" applyProtection="1">
      <protection hidden="1"/>
    </xf>
    <xf numFmtId="1" fontId="0" fillId="0" borderId="6" xfId="0" applyNumberFormat="1" applyBorder="1" applyProtection="1">
      <protection hidden="1"/>
    </xf>
    <xf numFmtId="164" fontId="4" fillId="0" borderId="0" xfId="3" applyNumberFormat="1" applyProtection="1">
      <protection hidden="1"/>
    </xf>
    <xf numFmtId="164" fontId="0" fillId="0" borderId="0" xfId="0" applyNumberFormat="1" applyProtection="1">
      <protection hidden="1"/>
    </xf>
    <xf numFmtId="0" fontId="0" fillId="0" borderId="7" xfId="0" applyBorder="1" applyProtection="1">
      <protection hidden="1"/>
    </xf>
    <xf numFmtId="1" fontId="0" fillId="0" borderId="9" xfId="0" applyNumberFormat="1" applyBorder="1" applyProtection="1">
      <protection hidden="1"/>
    </xf>
    <xf numFmtId="164" fontId="4" fillId="0" borderId="8" xfId="3" applyNumberFormat="1" applyBorder="1" applyProtection="1">
      <protection hidden="1"/>
    </xf>
    <xf numFmtId="0" fontId="4" fillId="0" borderId="8" xfId="3" applyBorder="1" applyProtection="1">
      <protection hidden="1"/>
    </xf>
    <xf numFmtId="0" fontId="0" fillId="0" borderId="8" xfId="0" applyBorder="1" applyProtection="1">
      <protection hidden="1"/>
    </xf>
    <xf numFmtId="0" fontId="4" fillId="0" borderId="7" xfId="3" applyBorder="1" applyProtection="1">
      <protection hidden="1"/>
    </xf>
    <xf numFmtId="164" fontId="0" fillId="0" borderId="8" xfId="0" applyNumberFormat="1" applyBorder="1" applyProtection="1">
      <protection hidden="1"/>
    </xf>
    <xf numFmtId="0" fontId="0" fillId="0" borderId="9" xfId="0" applyBorder="1" applyProtection="1">
      <protection hidden="1"/>
    </xf>
    <xf numFmtId="2" fontId="0" fillId="0" borderId="0" xfId="0" applyNumberFormat="1" applyProtection="1">
      <protection hidden="1"/>
    </xf>
    <xf numFmtId="0" fontId="25" fillId="0" borderId="0" xfId="0" applyFont="1" applyProtection="1">
      <protection hidden="1"/>
    </xf>
    <xf numFmtId="2" fontId="0" fillId="0" borderId="10" xfId="0" applyNumberFormat="1" applyBorder="1" applyProtection="1">
      <protection hidden="1"/>
    </xf>
    <xf numFmtId="2" fontId="0" fillId="0" borderId="5" xfId="0" applyNumberFormat="1" applyBorder="1" applyProtection="1">
      <protection hidden="1"/>
    </xf>
    <xf numFmtId="2" fontId="0" fillId="0" borderId="7" xfId="0" applyNumberFormat="1" applyBorder="1" applyProtection="1">
      <protection hidden="1"/>
    </xf>
    <xf numFmtId="0" fontId="4" fillId="0" borderId="9" xfId="3" applyBorder="1" applyProtection="1">
      <protection hidden="1"/>
    </xf>
    <xf numFmtId="0" fontId="0" fillId="12" borderId="0" xfId="0" applyFill="1" applyProtection="1">
      <protection hidden="1"/>
    </xf>
    <xf numFmtId="0" fontId="16" fillId="0" borderId="0" xfId="0" applyFont="1" applyProtection="1">
      <protection hidden="1"/>
    </xf>
    <xf numFmtId="0" fontId="0" fillId="11" borderId="0" xfId="0" applyFill="1" applyProtection="1">
      <protection hidden="1"/>
    </xf>
    <xf numFmtId="164" fontId="0" fillId="9" borderId="0" xfId="0" applyNumberFormat="1" applyFill="1" applyProtection="1">
      <protection hidden="1"/>
    </xf>
    <xf numFmtId="1" fontId="0" fillId="9" borderId="0" xfId="0" applyNumberFormat="1" applyFill="1" applyProtection="1">
      <protection hidden="1"/>
    </xf>
    <xf numFmtId="2" fontId="0" fillId="9" borderId="0" xfId="0" applyNumberFormat="1" applyFill="1" applyProtection="1">
      <protection hidden="1"/>
    </xf>
    <xf numFmtId="0" fontId="0" fillId="9" borderId="0" xfId="0" applyFill="1" applyProtection="1">
      <protection hidden="1"/>
    </xf>
    <xf numFmtId="0" fontId="24" fillId="0" borderId="0" xfId="0" applyFont="1" applyProtection="1">
      <protection hidden="1"/>
    </xf>
    <xf numFmtId="0" fontId="0" fillId="19" borderId="0" xfId="0" applyFill="1"/>
    <xf numFmtId="0" fontId="0" fillId="0" borderId="5" xfId="0" applyBorder="1"/>
    <xf numFmtId="0" fontId="5" fillId="0" borderId="0" xfId="0" applyFont="1"/>
    <xf numFmtId="2" fontId="3" fillId="0" borderId="0" xfId="0" quotePrefix="1" applyNumberFormat="1" applyFont="1"/>
    <xf numFmtId="0" fontId="0" fillId="0" borderId="0" xfId="0" applyAlignment="1">
      <alignment horizontal="left"/>
    </xf>
    <xf numFmtId="0" fontId="5" fillId="0" borderId="0" xfId="0" applyFont="1" applyAlignment="1">
      <alignment horizontal="left"/>
    </xf>
    <xf numFmtId="164" fontId="0" fillId="0" borderId="26" xfId="0" applyNumberFormat="1" applyBorder="1" applyAlignment="1" applyProtection="1">
      <alignment horizontal="right"/>
      <protection hidden="1"/>
    </xf>
    <xf numFmtId="168" fontId="0" fillId="16" borderId="25" xfId="0" applyNumberFormat="1" applyFill="1" applyBorder="1" applyProtection="1">
      <protection hidden="1"/>
    </xf>
    <xf numFmtId="0" fontId="0" fillId="0" borderId="27" xfId="0" applyBorder="1"/>
    <xf numFmtId="0" fontId="0" fillId="0" borderId="28" xfId="0" applyBorder="1"/>
    <xf numFmtId="0" fontId="0" fillId="0" borderId="24" xfId="0" applyBorder="1"/>
    <xf numFmtId="0" fontId="4" fillId="0" borderId="25" xfId="3" applyBorder="1"/>
    <xf numFmtId="2" fontId="4" fillId="0" borderId="25" xfId="3" applyNumberFormat="1" applyBorder="1" applyAlignment="1">
      <alignment horizontal="center"/>
    </xf>
    <xf numFmtId="0" fontId="38" fillId="0" borderId="0" xfId="0" applyFont="1" applyAlignment="1">
      <alignment wrapText="1"/>
    </xf>
    <xf numFmtId="48" fontId="0" fillId="9" borderId="0" xfId="0" applyNumberFormat="1" applyFill="1"/>
    <xf numFmtId="0" fontId="35" fillId="8" borderId="0" xfId="8" applyFill="1" applyBorder="1" applyAlignment="1" applyProtection="1">
      <alignment horizontal="center"/>
      <protection hidden="1"/>
    </xf>
    <xf numFmtId="0" fontId="6" fillId="2" borderId="0" xfId="3" applyFont="1" applyFill="1" applyAlignment="1">
      <alignment horizontal="center"/>
    </xf>
    <xf numFmtId="0" fontId="5" fillId="0" borderId="0" xfId="3" applyFont="1" applyAlignment="1">
      <alignment horizontal="center"/>
    </xf>
    <xf numFmtId="0" fontId="0" fillId="0" borderId="20" xfId="0" applyBorder="1" applyAlignment="1">
      <alignment horizontal="center" wrapText="1"/>
    </xf>
    <xf numFmtId="0" fontId="0" fillId="0" borderId="21" xfId="0" applyBorder="1" applyAlignment="1">
      <alignment horizontal="center" wrapText="1"/>
    </xf>
    <xf numFmtId="0" fontId="0" fillId="0" borderId="22" xfId="0" applyBorder="1" applyAlignment="1">
      <alignment horizontal="center" wrapText="1"/>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5" xfId="0" applyBorder="1" applyAlignment="1" applyProtection="1">
      <alignment horizontal="center"/>
      <protection hidden="1"/>
    </xf>
    <xf numFmtId="0" fontId="0" fillId="0" borderId="0" xfId="0" applyAlignment="1" applyProtection="1">
      <alignment horizontal="center"/>
      <protection hidden="1"/>
    </xf>
    <xf numFmtId="0" fontId="0" fillId="0" borderId="6" xfId="0" applyBorder="1" applyAlignment="1" applyProtection="1">
      <alignment horizontal="center"/>
      <protection hidden="1"/>
    </xf>
    <xf numFmtId="0" fontId="22" fillId="0" borderId="10" xfId="0" applyFont="1" applyBorder="1" applyAlignment="1" applyProtection="1">
      <alignment horizontal="center"/>
      <protection hidden="1"/>
    </xf>
    <xf numFmtId="0" fontId="22" fillId="0" borderId="11" xfId="0" applyFont="1" applyBorder="1" applyAlignment="1" applyProtection="1">
      <alignment horizontal="center"/>
      <protection hidden="1"/>
    </xf>
    <xf numFmtId="0" fontId="22" fillId="0" borderId="12" xfId="0" applyFont="1" applyBorder="1" applyAlignment="1" applyProtection="1">
      <alignment horizontal="center"/>
      <protection hidden="1"/>
    </xf>
    <xf numFmtId="0" fontId="4" fillId="0" borderId="0" xfId="3" applyAlignment="1" applyProtection="1">
      <alignment horizontal="center"/>
      <protection hidden="1"/>
    </xf>
    <xf numFmtId="0" fontId="6" fillId="2" borderId="0" xfId="3" applyFont="1" applyFill="1" applyAlignment="1" applyProtection="1">
      <alignment horizontal="center"/>
      <protection hidden="1"/>
    </xf>
    <xf numFmtId="0" fontId="5" fillId="0" borderId="0" xfId="3" applyFont="1" applyAlignment="1" applyProtection="1">
      <alignment horizontal="center"/>
      <protection hidden="1"/>
    </xf>
    <xf numFmtId="0" fontId="36" fillId="0" borderId="0" xfId="0" applyFont="1" applyAlignment="1">
      <alignment horizontal="center"/>
    </xf>
    <xf numFmtId="0" fontId="36" fillId="18" borderId="0" xfId="0" applyFont="1" applyFill="1" applyAlignment="1">
      <alignment horizontal="center"/>
    </xf>
    <xf numFmtId="0" fontId="40" fillId="17" borderId="0" xfId="0" applyFont="1" applyFill="1" applyAlignment="1">
      <alignment horizontal="left"/>
    </xf>
    <xf numFmtId="0" fontId="38" fillId="0" borderId="0" xfId="0" applyFont="1" applyAlignment="1">
      <alignment horizontal="left"/>
    </xf>
    <xf numFmtId="0" fontId="38" fillId="0" borderId="0" xfId="0" applyFont="1" applyAlignment="1">
      <alignment wrapText="1"/>
    </xf>
  </cellXfs>
  <cellStyles count="9">
    <cellStyle name="Comma 2" xfId="5" xr:uid="{00000000-0005-0000-0000-000000000000}"/>
    <cellStyle name="Comma 3" xfId="2" xr:uid="{00000000-0005-0000-0000-000001000000}"/>
    <cellStyle name="Hyperlink" xfId="8" builtinId="8"/>
    <cellStyle name="Normal" xfId="0" builtinId="0"/>
    <cellStyle name="Normal 2" xfId="3" xr:uid="{00000000-0005-0000-0000-000003000000}"/>
    <cellStyle name="Normal 3" xfId="4" xr:uid="{00000000-0005-0000-0000-000004000000}"/>
    <cellStyle name="Normal 4" xfId="1" xr:uid="{00000000-0005-0000-0000-000005000000}"/>
    <cellStyle name="Normal 4 2" xfId="7" xr:uid="{00000000-0005-0000-0000-000006000000}"/>
    <cellStyle name="Normal 4 3" xfId="6" xr:uid="{00000000-0005-0000-0000-000007000000}"/>
  </cellStyles>
  <dxfs count="11">
    <dxf>
      <fill>
        <patternFill>
          <bgColor rgb="FFFF0000"/>
        </patternFill>
      </fill>
    </dxf>
    <dxf>
      <fill>
        <patternFill>
          <bgColor rgb="FFFF0000"/>
        </patternFill>
      </fill>
    </dxf>
    <dxf>
      <font>
        <color rgb="FFC00000"/>
      </font>
      <fill>
        <patternFill>
          <bgColor theme="5" tint="0.59996337778862885"/>
        </patternFill>
      </fill>
    </dxf>
    <dxf>
      <font>
        <color rgb="FF9C0006"/>
      </font>
      <fill>
        <patternFill>
          <bgColor rgb="FFFFC7CE"/>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ont>
        <color auto="1"/>
      </font>
      <fill>
        <patternFill>
          <bgColor rgb="FFFFC000"/>
        </patternFill>
      </fill>
    </dxf>
    <dxf>
      <fill>
        <patternFill>
          <bgColor rgb="FFFF0000"/>
        </patternFill>
      </fill>
    </dxf>
  </dxfs>
  <tableStyles count="0" defaultTableStyle="TableStyleMedium2" defaultPivotStyle="PivotStyleLight16"/>
  <colors>
    <mruColors>
      <color rgb="FF9C0006"/>
      <color rgb="FFFFC7CE"/>
      <color rgb="FFEAEA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a:pPr>
            <a:r>
              <a:rPr lang="en-US" sz="1600" baseline="0"/>
              <a:t>Bode Plot</a:t>
            </a:r>
          </a:p>
        </c:rich>
      </c:tx>
      <c:layout>
        <c:manualLayout>
          <c:xMode val="edge"/>
          <c:yMode val="edge"/>
          <c:x val="9.4354157174953393E-2"/>
          <c:y val="3.9916010498687662E-3"/>
        </c:manualLayout>
      </c:layout>
      <c:overlay val="0"/>
    </c:title>
    <c:autoTitleDeleted val="0"/>
    <c:plotArea>
      <c:layout>
        <c:manualLayout>
          <c:layoutTarget val="inner"/>
          <c:xMode val="edge"/>
          <c:yMode val="edge"/>
          <c:x val="9.0594052720499751E-2"/>
          <c:y val="8.9158108013693851E-2"/>
          <c:w val="0.80965876742891785"/>
          <c:h val="0.76159168715027026"/>
        </c:manualLayout>
      </c:layout>
      <c:scatterChart>
        <c:scatterStyle val="smoothMarker"/>
        <c:varyColors val="0"/>
        <c:ser>
          <c:idx val="0"/>
          <c:order val="0"/>
          <c:tx>
            <c:v>Gain (dB)</c:v>
          </c:tx>
          <c:spPr>
            <a:ln w="28575">
              <a:solidFill>
                <a:srgbClr val="FF0000"/>
              </a:solidFill>
            </a:ln>
          </c:spPr>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Loop_Modeling!$AT$19:$AT$560</c:f>
              <c:numCache>
                <c:formatCode>0.000</c:formatCode>
                <c:ptCount val="542"/>
                <c:pt idx="0">
                  <c:v>76.780394143442805</c:v>
                </c:pt>
                <c:pt idx="1">
                  <c:v>76.530950353373527</c:v>
                </c:pt>
                <c:pt idx="2">
                  <c:v>76.27977859206554</c:v>
                </c:pt>
                <c:pt idx="3">
                  <c:v>76.02684006466086</c:v>
                </c:pt>
                <c:pt idx="4">
                  <c:v>75.772096601725124</c:v>
                </c:pt>
                <c:pt idx="5">
                  <c:v>75.515510770717668</c:v>
                </c:pt>
                <c:pt idx="6">
                  <c:v>75.25704598952224</c:v>
                </c:pt>
                <c:pt idx="7">
                  <c:v>74.996666641466675</c:v>
                </c:pt>
                <c:pt idx="8">
                  <c:v>74.734338191217574</c:v>
                </c:pt>
                <c:pt idx="9">
                  <c:v>74.470027300891829</c:v>
                </c:pt>
                <c:pt idx="10">
                  <c:v>74.203701945691719</c:v>
                </c:pt>
                <c:pt idx="11">
                  <c:v>73.935331528340257</c:v>
                </c:pt>
                <c:pt idx="12">
                  <c:v>73.664886991568181</c:v>
                </c:pt>
                <c:pt idx="13">
                  <c:v>73.392340927889876</c:v>
                </c:pt>
                <c:pt idx="14">
                  <c:v>73.117667685895071</c:v>
                </c:pt>
                <c:pt idx="15">
                  <c:v>72.840843472284433</c:v>
                </c:pt>
                <c:pt idx="16">
                  <c:v>72.561846448888673</c:v>
                </c:pt>
                <c:pt idx="17">
                  <c:v>72.280656823927586</c:v>
                </c:pt>
                <c:pt idx="18">
                  <c:v>71.997256936795225</c:v>
                </c:pt>
                <c:pt idx="19">
                  <c:v>71.711631335696339</c:v>
                </c:pt>
                <c:pt idx="20">
                  <c:v>71.423766847507025</c:v>
                </c:pt>
                <c:pt idx="21">
                  <c:v>71.133652639286723</c:v>
                </c:pt>
                <c:pt idx="22">
                  <c:v>70.841280270938242</c:v>
                </c:pt>
                <c:pt idx="23">
                  <c:v>70.546643738579021</c:v>
                </c:pt>
                <c:pt idx="24">
                  <c:v>70.24973950827129</c:v>
                </c:pt>
                <c:pt idx="25">
                  <c:v>69.950566539838576</c:v>
                </c:pt>
                <c:pt idx="26">
                  <c:v>69.649126300588136</c:v>
                </c:pt>
                <c:pt idx="27">
                  <c:v>69.345422768846916</c:v>
                </c:pt>
                <c:pt idx="28">
                  <c:v>69.039462427314305</c:v>
                </c:pt>
                <c:pt idx="29">
                  <c:v>68.731254246325818</c:v>
                </c:pt>
                <c:pt idx="30">
                  <c:v>68.420809657215344</c:v>
                </c:pt>
                <c:pt idx="31">
                  <c:v>68.108142516049028</c:v>
                </c:pt>
                <c:pt idx="32">
                  <c:v>67.793269058093728</c:v>
                </c:pt>
                <c:pt idx="33">
                  <c:v>67.476207843456407</c:v>
                </c:pt>
                <c:pt idx="34">
                  <c:v>67.156979694407596</c:v>
                </c:pt>
                <c:pt idx="35">
                  <c:v>66.835607624967736</c:v>
                </c:pt>
                <c:pt idx="36">
                  <c:v>66.512116763389017</c:v>
                </c:pt>
                <c:pt idx="37">
                  <c:v>66.186534268217329</c:v>
                </c:pt>
                <c:pt idx="38">
                  <c:v>65.858889238655706</c:v>
                </c:pt>
                <c:pt idx="39">
                  <c:v>65.529212619983085</c:v>
                </c:pt>
                <c:pt idx="40">
                  <c:v>65.197537104797277</c:v>
                </c:pt>
                <c:pt idx="41">
                  <c:v>64.863897030866752</c:v>
                </c:pt>
                <c:pt idx="42">
                  <c:v>64.528328276374054</c:v>
                </c:pt>
                <c:pt idx="43">
                  <c:v>64.190868153326932</c:v>
                </c:pt>
                <c:pt idx="44">
                  <c:v>63.851555299897235</c:v>
                </c:pt>
                <c:pt idx="45">
                  <c:v>63.510429572424528</c:v>
                </c:pt>
                <c:pt idx="46">
                  <c:v>63.167531937791559</c:v>
                </c:pt>
                <c:pt idx="47">
                  <c:v>62.822904366842671</c:v>
                </c:pt>
                <c:pt idx="48">
                  <c:v>62.476589729473027</c:v>
                </c:pt>
                <c:pt idx="49">
                  <c:v>62.128631691975954</c:v>
                </c:pt>
                <c:pt idx="50">
                  <c:v>61.779074617181294</c:v>
                </c:pt>
                <c:pt idx="51">
                  <c:v>61.427963467871052</c:v>
                </c:pt>
                <c:pt idx="52">
                  <c:v>61.075343713904985</c:v>
                </c:pt>
                <c:pt idx="53">
                  <c:v>60.721261243434093</c:v>
                </c:pt>
                <c:pt idx="54">
                  <c:v>60.365762278528443</c:v>
                </c:pt>
                <c:pt idx="55">
                  <c:v>60.008893295493394</c:v>
                </c:pt>
                <c:pt idx="56">
                  <c:v>59.650700950095185</c:v>
                </c:pt>
                <c:pt idx="57">
                  <c:v>59.291232007868892</c:v>
                </c:pt>
                <c:pt idx="58">
                  <c:v>58.930533279635</c:v>
                </c:pt>
                <c:pt idx="59">
                  <c:v>58.568651562305178</c:v>
                </c:pt>
                <c:pt idx="60">
                  <c:v>58.205633585015278</c:v>
                </c:pt>
                <c:pt idx="61">
                  <c:v>57.841525960588349</c:v>
                </c:pt>
                <c:pt idx="62">
                  <c:v>57.476375142291118</c:v>
                </c:pt>
                <c:pt idx="63">
                  <c:v>57.110227385817666</c:v>
                </c:pt>
                <c:pt idx="64">
                  <c:v>56.743128716404371</c:v>
                </c:pt>
                <c:pt idx="65">
                  <c:v>56.3751249009551</c:v>
                </c:pt>
                <c:pt idx="66">
                  <c:v>56.006261425032385</c:v>
                </c:pt>
                <c:pt idx="67">
                  <c:v>55.636583474551109</c:v>
                </c:pt>
                <c:pt idx="68">
                  <c:v>55.266135921996607</c:v>
                </c:pt>
                <c:pt idx="69">
                  <c:v>54.894963316970468</c:v>
                </c:pt>
                <c:pt idx="70">
                  <c:v>54.523109880862719</c:v>
                </c:pt>
                <c:pt idx="71">
                  <c:v>54.150619505433284</c:v>
                </c:pt>
                <c:pt idx="72">
                  <c:v>53.77753575508298</c:v>
                </c:pt>
                <c:pt idx="73">
                  <c:v>53.403901872587731</c:v>
                </c:pt>
                <c:pt idx="74">
                  <c:v>53.02976078806541</c:v>
                </c:pt>
                <c:pt idx="75">
                  <c:v>52.655155130943186</c:v>
                </c:pt>
                <c:pt idx="76">
                  <c:v>52.280127244691776</c:v>
                </c:pt>
                <c:pt idx="77">
                  <c:v>51.904719204093375</c:v>
                </c:pt>
                <c:pt idx="78">
                  <c:v>51.528972834809721</c:v>
                </c:pt>
                <c:pt idx="79">
                  <c:v>51.152929735018084</c:v>
                </c:pt>
                <c:pt idx="80">
                  <c:v>50.776631298885931</c:v>
                </c:pt>
                <c:pt idx="81">
                  <c:v>50.400118741653237</c:v>
                </c:pt>
                <c:pt idx="82">
                  <c:v>50.023433126098745</c:v>
                </c:pt>
                <c:pt idx="83">
                  <c:v>49.646615390161671</c:v>
                </c:pt>
                <c:pt idx="84">
                  <c:v>49.269706375498849</c:v>
                </c:pt>
                <c:pt idx="85">
                  <c:v>48.892746856752545</c:v>
                </c:pt>
                <c:pt idx="86">
                  <c:v>48.515777571310721</c:v>
                </c:pt>
                <c:pt idx="87">
                  <c:v>48.138839249338588</c:v>
                </c:pt>
                <c:pt idx="88">
                  <c:v>47.761972643862819</c:v>
                </c:pt>
                <c:pt idx="89">
                  <c:v>47.385218560688685</c:v>
                </c:pt>
                <c:pt idx="90">
                  <c:v>47.008617887932019</c:v>
                </c:pt>
                <c:pt idx="91">
                  <c:v>46.632211624944368</c:v>
                </c:pt>
                <c:pt idx="92">
                  <c:v>46.256040910410249</c:v>
                </c:pt>
                <c:pt idx="93">
                  <c:v>45.880147049396314</c:v>
                </c:pt>
                <c:pt idx="94">
                  <c:v>45.504571539123653</c:v>
                </c:pt>
                <c:pt idx="95">
                  <c:v>45.129356093242805</c:v>
                </c:pt>
                <c:pt idx="96">
                  <c:v>44.754542664378548</c:v>
                </c:pt>
                <c:pt idx="97">
                  <c:v>44.380173464718816</c:v>
                </c:pt>
                <c:pt idx="98">
                  <c:v>44.006290984413141</c:v>
                </c:pt>
                <c:pt idx="99">
                  <c:v>43.632938007551154</c:v>
                </c:pt>
                <c:pt idx="100">
                  <c:v>43.26015762548473</c:v>
                </c:pt>
                <c:pt idx="101">
                  <c:v>42.887993247262209</c:v>
                </c:pt>
                <c:pt idx="102">
                  <c:v>42.516488606940584</c:v>
                </c:pt>
                <c:pt idx="103">
                  <c:v>42.145687767544942</c:v>
                </c:pt>
                <c:pt idx="104">
                  <c:v>41.775635121446058</c:v>
                </c:pt>
                <c:pt idx="105">
                  <c:v>41.406375386933462</c:v>
                </c:pt>
                <c:pt idx="106">
                  <c:v>41.037953600764894</c:v>
                </c:pt>
                <c:pt idx="107">
                  <c:v>40.670415106483595</c:v>
                </c:pt>
                <c:pt idx="108">
                  <c:v>40.303805538303479</c:v>
                </c:pt>
                <c:pt idx="109">
                  <c:v>39.938170800375552</c:v>
                </c:pt>
                <c:pt idx="110">
                  <c:v>39.573557041264372</c:v>
                </c:pt>
                <c:pt idx="111">
                  <c:v>39.210010623480379</c:v>
                </c:pt>
                <c:pt idx="112">
                  <c:v>38.847578087936753</c:v>
                </c:pt>
                <c:pt idx="113">
                  <c:v>38.486306113220706</c:v>
                </c:pt>
                <c:pt idx="114">
                  <c:v>38.126241469599748</c:v>
                </c:pt>
                <c:pt idx="115">
                  <c:v>37.767430967710986</c:v>
                </c:pt>
                <c:pt idx="116">
                  <c:v>37.409921401917487</c:v>
                </c:pt>
                <c:pt idx="117">
                  <c:v>37.053759488351503</c:v>
                </c:pt>
                <c:pt idx="118">
                  <c:v>36.698991797705503</c:v>
                </c:pt>
                <c:pt idx="119">
                  <c:v>36.345664682874471</c:v>
                </c:pt>
                <c:pt idx="120">
                  <c:v>35.993824201599622</c:v>
                </c:pt>
                <c:pt idx="121">
                  <c:v>35.643516034311084</c:v>
                </c:pt>
                <c:pt idx="122">
                  <c:v>35.294785397419389</c:v>
                </c:pt>
                <c:pt idx="123">
                  <c:v>34.947676952354435</c:v>
                </c:pt>
                <c:pt idx="124">
                  <c:v>34.602234710707471</c:v>
                </c:pt>
                <c:pt idx="125">
                  <c:v>34.258501935881725</c:v>
                </c:pt>
                <c:pt idx="126">
                  <c:v>33.916521041711505</c:v>
                </c:pt>
                <c:pt idx="127">
                  <c:v>33.576333488562163</c:v>
                </c:pt>
                <c:pt idx="128">
                  <c:v>33.237979677471856</c:v>
                </c:pt>
                <c:pt idx="129">
                  <c:v>32.901498842942523</c:v>
                </c:pt>
                <c:pt idx="130">
                  <c:v>32.56692894503373</c:v>
                </c:pt>
                <c:pt idx="131">
                  <c:v>32.234306561447909</c:v>
                </c:pt>
                <c:pt idx="132">
                  <c:v>31.903666780331275</c:v>
                </c:pt>
                <c:pt idx="133">
                  <c:v>31.575043094539758</c:v>
                </c:pt>
                <c:pt idx="134">
                  <c:v>31.248467298139406</c:v>
                </c:pt>
                <c:pt idx="135">
                  <c:v>30.923969385923211</c:v>
                </c:pt>
                <c:pt idx="136">
                  <c:v>30.601577456727071</c:v>
                </c:pt>
                <c:pt idx="137">
                  <c:v>30.281317621323801</c:v>
                </c:pt>
                <c:pt idx="138">
                  <c:v>29.963213915657278</c:v>
                </c:pt>
                <c:pt idx="139">
                  <c:v>29.64728822015536</c:v>
                </c:pt>
                <c:pt idx="140">
                  <c:v>29.333560185823046</c:v>
                </c:pt>
                <c:pt idx="141">
                  <c:v>29.022047167777139</c:v>
                </c:pt>
                <c:pt idx="142">
                  <c:v>28.71276416682602</c:v>
                </c:pt>
                <c:pt idx="143">
                  <c:v>28.405723779641416</c:v>
                </c:pt>
                <c:pt idx="144">
                  <c:v>28.100936157995555</c:v>
                </c:pt>
                <c:pt idx="145">
                  <c:v>27.798408977462458</c:v>
                </c:pt>
                <c:pt idx="146">
                  <c:v>27.498147415900679</c:v>
                </c:pt>
                <c:pt idx="147">
                  <c:v>27.200154141946228</c:v>
                </c:pt>
                <c:pt idx="148">
                  <c:v>26.90442931365456</c:v>
                </c:pt>
                <c:pt idx="149">
                  <c:v>26.610970587339175</c:v>
                </c:pt>
                <c:pt idx="150">
                  <c:v>26.319773136559412</c:v>
                </c:pt>
                <c:pt idx="151">
                  <c:v>26.030829681119357</c:v>
                </c:pt>
                <c:pt idx="152">
                  <c:v>25.744130525849918</c:v>
                </c:pt>
                <c:pt idx="153">
                  <c:v>25.459663608857085</c:v>
                </c:pt>
                <c:pt idx="154">
                  <c:v>25.177414558841491</c:v>
                </c:pt>
                <c:pt idx="155">
                  <c:v>24.897366761016212</c:v>
                </c:pt>
                <c:pt idx="156">
                  <c:v>24.619501431082021</c:v>
                </c:pt>
                <c:pt idx="157">
                  <c:v>24.343797696657468</c:v>
                </c:pt>
                <c:pt idx="158">
                  <c:v>24.070232685512774</c:v>
                </c:pt>
                <c:pt idx="159">
                  <c:v>23.798781619908326</c:v>
                </c:pt>
                <c:pt idx="160">
                  <c:v>23.529417916309438</c:v>
                </c:pt>
                <c:pt idx="161">
                  <c:v>23.262113289723292</c:v>
                </c:pt>
                <c:pt idx="162">
                  <c:v>22.996837861889343</c:v>
                </c:pt>
                <c:pt idx="163">
                  <c:v>22.733560272551401</c:v>
                </c:pt>
                <c:pt idx="164">
                  <c:v>22.472247793040957</c:v>
                </c:pt>
                <c:pt idx="165">
                  <c:v>22.2128664414168</c:v>
                </c:pt>
                <c:pt idx="166">
                  <c:v>21.955381098422862</c:v>
                </c:pt>
                <c:pt idx="167">
                  <c:v>21.699755623557493</c:v>
                </c:pt>
                <c:pt idx="168">
                  <c:v>21.445952970577608</c:v>
                </c:pt>
                <c:pt idx="169">
                  <c:v>21.19393530180168</c:v>
                </c:pt>
                <c:pt idx="170">
                  <c:v>20.943664100620033</c:v>
                </c:pt>
                <c:pt idx="171">
                  <c:v>20.695100281666573</c:v>
                </c:pt>
                <c:pt idx="172">
                  <c:v>20.448204298155758</c:v>
                </c:pt>
                <c:pt idx="173">
                  <c:v>20.202936245943384</c:v>
                </c:pt>
                <c:pt idx="174">
                  <c:v>19.959255963916874</c:v>
                </c:pt>
                <c:pt idx="175">
                  <c:v>19.717123130381282</c:v>
                </c:pt>
                <c:pt idx="176">
                  <c:v>19.47649735515132</c:v>
                </c:pt>
                <c:pt idx="177">
                  <c:v>19.237338267118787</c:v>
                </c:pt>
                <c:pt idx="178">
                  <c:v>18.999605597108442</c:v>
                </c:pt>
                <c:pt idx="179">
                  <c:v>18.763259255887142</c:v>
                </c:pt>
                <c:pt idx="180">
                  <c:v>18.528259407233545</c:v>
                </c:pt>
                <c:pt idx="181">
                  <c:v>18.294566536018472</c:v>
                </c:pt>
                <c:pt idx="182">
                  <c:v>18.062141511286054</c:v>
                </c:pt>
                <c:pt idx="183">
                  <c:v>17.830945644358913</c:v>
                </c:pt>
                <c:pt idx="184">
                  <c:v>17.600940742027106</c:v>
                </c:pt>
                <c:pt idx="185">
                  <c:v>17.372089154904263</c:v>
                </c:pt>
                <c:pt idx="186">
                  <c:v>17.144353821064492</c:v>
                </c:pt>
                <c:pt idx="187">
                  <c:v>16.917698305093673</c:v>
                </c:pt>
                <c:pt idx="188">
                  <c:v>16.692086832706167</c:v>
                </c:pt>
                <c:pt idx="189">
                  <c:v>16.467484321097817</c:v>
                </c:pt>
                <c:pt idx="190">
                  <c:v>16.243856405214437</c:v>
                </c:pt>
                <c:pt idx="191">
                  <c:v>16.021169460128235</c:v>
                </c:pt>
                <c:pt idx="192">
                  <c:v>15.799390619720086</c:v>
                </c:pt>
                <c:pt idx="193">
                  <c:v>15.578487791872144</c:v>
                </c:pt>
                <c:pt idx="194">
                  <c:v>15.358429670376569</c:v>
                </c:pt>
                <c:pt idx="195">
                  <c:v>15.139185743769426</c:v>
                </c:pt>
                <c:pt idx="196">
                  <c:v>14.920726301294492</c:v>
                </c:pt>
                <c:pt idx="197">
                  <c:v>14.703022436203701</c:v>
                </c:pt>
                <c:pt idx="198">
                  <c:v>14.486046046594064</c:v>
                </c:pt>
                <c:pt idx="199">
                  <c:v>14.269769833977183</c:v>
                </c:pt>
                <c:pt idx="200">
                  <c:v>14.05416729977186</c:v>
                </c:pt>
                <c:pt idx="201">
                  <c:v>13.839212739904701</c:v>
                </c:pt>
                <c:pt idx="202">
                  <c:v>13.624881237693749</c:v>
                </c:pt>
                <c:pt idx="203">
                  <c:v>13.411148655185983</c:v>
                </c:pt>
                <c:pt idx="204">
                  <c:v>13.197991623108706</c:v>
                </c:pt>
                <c:pt idx="205">
                  <c:v>12.985387529588106</c:v>
                </c:pt>
                <c:pt idx="206">
                  <c:v>12.773314507779387</c:v>
                </c:pt>
                <c:pt idx="207">
                  <c:v>12.561751422544432</c:v>
                </c:pt>
                <c:pt idx="208">
                  <c:v>12.350677856304324</c:v>
                </c:pt>
                <c:pt idx="209">
                  <c:v>12.140074094185673</c:v>
                </c:pt>
                <c:pt idx="210">
                  <c:v>11.929921108572536</c:v>
                </c:pt>
                <c:pt idx="211">
                  <c:v>11.720200543165671</c:v>
                </c:pt>
                <c:pt idx="212">
                  <c:v>11.510894696644762</c:v>
                </c:pt>
                <c:pt idx="213">
                  <c:v>11.301986506020709</c:v>
                </c:pt>
                <c:pt idx="214">
                  <c:v>11.09345952975989</c:v>
                </c:pt>
                <c:pt idx="215">
                  <c:v>10.885297930750594</c:v>
                </c:pt>
                <c:pt idx="216">
                  <c:v>10.67748645918207</c:v>
                </c:pt>
                <c:pt idx="217">
                  <c:v>10.470010435393922</c:v>
                </c:pt>
                <c:pt idx="218">
                  <c:v>10.262855732752005</c:v>
                </c:pt>
                <c:pt idx="219">
                  <c:v>10.056008760599127</c:v>
                </c:pt>
                <c:pt idx="220">
                  <c:v>9.8494564473247959</c:v>
                </c:pt>
                <c:pt idx="221">
                  <c:v>9.6431862235921848</c:v>
                </c:pt>
                <c:pt idx="222">
                  <c:v>9.43718600575796</c:v>
                </c:pt>
                <c:pt idx="223">
                  <c:v>9.2314441795128381</c:v>
                </c:pt>
                <c:pt idx="224">
                  <c:v>9.0259495837711547</c:v>
                </c:pt>
                <c:pt idx="225">
                  <c:v>8.8206914948302622</c:v>
                </c:pt>
                <c:pt idx="226">
                  <c:v>8.6156596108191046</c:v>
                </c:pt>
                <c:pt idx="227">
                  <c:v>8.4108440364528434</c:v>
                </c:pt>
                <c:pt idx="228">
                  <c:v>8.2062352681035851</c:v>
                </c:pt>
                <c:pt idx="229">
                  <c:v>8.0018241792019289</c:v>
                </c:pt>
                <c:pt idx="230">
                  <c:v>7.7976020059724149</c:v>
                </c:pt>
                <c:pt idx="231">
                  <c:v>7.5935603335124702</c:v>
                </c:pt>
                <c:pt idx="232">
                  <c:v>7.3896910822159603</c:v>
                </c:pt>
                <c:pt idx="233">
                  <c:v>7.1859864945446175</c:v>
                </c:pt>
                <c:pt idx="234">
                  <c:v>6.9824391221465163</c:v>
                </c:pt>
                <c:pt idx="235">
                  <c:v>6.7790418133210846</c:v>
                </c:pt>
                <c:pt idx="236">
                  <c:v>6.5757877008275845</c:v>
                </c:pt>
                <c:pt idx="237">
                  <c:v>6.3726701900328333</c:v>
                </c:pt>
                <c:pt idx="238">
                  <c:v>6.1696829473936567</c:v>
                </c:pt>
                <c:pt idx="239">
                  <c:v>5.9668198892679527</c:v>
                </c:pt>
                <c:pt idx="240">
                  <c:v>5.7640751710470717</c:v>
                </c:pt>
                <c:pt idx="241">
                  <c:v>5.5614431766023511</c:v>
                </c:pt>
                <c:pt idx="242">
                  <c:v>5.3589185080364405</c:v>
                </c:pt>
                <c:pt idx="243">
                  <c:v>5.1564959757320041</c:v>
                </c:pt>
                <c:pt idx="244">
                  <c:v>4.954170588685642</c:v>
                </c:pt>
                <c:pt idx="245">
                  <c:v>4.7519375451190546</c:v>
                </c:pt>
                <c:pt idx="246">
                  <c:v>4.549792223355273</c:v>
                </c:pt>
                <c:pt idx="247">
                  <c:v>4.347730172949718</c:v>
                </c:pt>
                <c:pt idx="248">
                  <c:v>4.1457471060634123</c:v>
                </c:pt>
                <c:pt idx="249">
                  <c:v>3.9438388890669667</c:v>
                </c:pt>
                <c:pt idx="250">
                  <c:v>3.7420015343630064</c:v>
                </c:pt>
                <c:pt idx="251">
                  <c:v>3.5402311924136969</c:v>
                </c:pt>
                <c:pt idx="252">
                  <c:v>3.3385241439603215</c:v>
                </c:pt>
                <c:pt idx="253">
                  <c:v>3.1368767924214165</c:v>
                </c:pt>
                <c:pt idx="254">
                  <c:v>2.9352856564559451</c:v>
                </c:pt>
                <c:pt idx="255">
                  <c:v>2.7337473626753406</c:v>
                </c:pt>
                <c:pt idx="256">
                  <c:v>2.5322586384923667</c:v>
                </c:pt>
                <c:pt idx="257">
                  <c:v>2.3308163050882631</c:v>
                </c:pt>
                <c:pt idx="258">
                  <c:v>2.1294172704851504</c:v>
                </c:pt>
                <c:pt idx="259">
                  <c:v>1.9280585227055846</c:v>
                </c:pt>
                <c:pt idx="260">
                  <c:v>1.7267371230030313</c:v>
                </c:pt>
                <c:pt idx="261">
                  <c:v>1.5254501991450689</c:v>
                </c:pt>
                <c:pt idx="262">
                  <c:v>1.3241949387308463</c:v>
                </c:pt>
                <c:pt idx="263">
                  <c:v>1.1229685825254876</c:v>
                </c:pt>
                <c:pt idx="264">
                  <c:v>0.92176841778839558</c:v>
                </c:pt>
                <c:pt idx="265">
                  <c:v>0.72059177157622645</c:v>
                </c:pt>
                <c:pt idx="266">
                  <c:v>0.5194360039987157</c:v>
                </c:pt>
                <c:pt idx="267">
                  <c:v>0.31829850140247984</c:v>
                </c:pt>
                <c:pt idx="268">
                  <c:v>0.11717666946010556</c:v>
                </c:pt>
                <c:pt idx="269">
                  <c:v>-8.3932073863700718E-2</c:v>
                </c:pt>
                <c:pt idx="270">
                  <c:v>-0.28503030549431774</c:v>
                </c:pt>
                <c:pt idx="271">
                  <c:v>-0.48612060460910739</c:v>
                </c:pt>
                <c:pt idx="272">
                  <c:v>-0.68720556020963153</c:v>
                </c:pt>
                <c:pt idx="273">
                  <c:v>-0.88828777893671818</c:v>
                </c:pt>
                <c:pt idx="274">
                  <c:v>-1.0893698931663738</c:v>
                </c:pt>
                <c:pt idx="275">
                  <c:v>-1.2904545694228344</c:v>
                </c:pt>
                <c:pt idx="276">
                  <c:v>-1.4915445171512209</c:v>
                </c:pt>
                <c:pt idx="277">
                  <c:v>-1.6926424978935528</c:v>
                </c:pt>
                <c:pt idx="278">
                  <c:v>-1.8937513349159438</c:v>
                </c:pt>
                <c:pt idx="279">
                  <c:v>-2.0948739233386631</c:v>
                </c:pt>
                <c:pt idx="280">
                  <c:v>-2.2960132408234588</c:v>
                </c:pt>
                <c:pt idx="281">
                  <c:v>-2.497172358879431</c:v>
                </c:pt>
                <c:pt idx="282">
                  <c:v>-2.6983544548508753</c:v>
                </c:pt>
                <c:pt idx="283">
                  <c:v>-2.8995628246577625</c:v>
                </c:pt>
                <c:pt idx="284">
                  <c:v>-3.1008008963638329</c:v>
                </c:pt>
                <c:pt idx="285">
                  <c:v>-3.3020722446552551</c:v>
                </c:pt>
                <c:pt idx="286">
                  <c:v>-3.5033806063175299</c:v>
                </c:pt>
                <c:pt idx="287">
                  <c:v>-3.7047298968073719</c:v>
                </c:pt>
                <c:pt idx="288">
                  <c:v>-3.9061242280240971</c:v>
                </c:pt>
                <c:pt idx="289">
                  <c:v>-4.1075679273926262</c:v>
                </c:pt>
                <c:pt idx="290">
                  <c:v>-4.3090655583817705</c:v>
                </c:pt>
                <c:pt idx="291">
                  <c:v>-4.5106219425895215</c:v>
                </c:pt>
                <c:pt idx="292">
                  <c:v>-4.7122421835408783</c:v>
                </c:pt>
                <c:pt idx="293">
                  <c:v>-4.9139316923528948</c:v>
                </c:pt>
                <c:pt idx="294">
                  <c:v>-5.1156962154374463</c:v>
                </c:pt>
                <c:pt idx="295">
                  <c:v>-5.3175418644243386</c:v>
                </c:pt>
                <c:pt idx="296">
                  <c:v>-5.5194751485047169</c:v>
                </c:pt>
                <c:pt idx="297">
                  <c:v>-5.7215030094081953</c:v>
                </c:pt>
                <c:pt idx="298">
                  <c:v>-5.9236328592488094</c:v>
                </c:pt>
                <c:pt idx="299">
                  <c:v>-6.1258726214893322</c:v>
                </c:pt>
                <c:pt idx="300">
                  <c:v>-6.3282307752981204</c:v>
                </c:pt>
                <c:pt idx="301">
                  <c:v>-6.5307164035912715</c:v>
                </c:pt>
                <c:pt idx="302">
                  <c:v>-6.7333392450773353</c:v>
                </c:pt>
                <c:pt idx="303">
                  <c:v>-6.9361097506462155</c:v>
                </c:pt>
                <c:pt idx="304">
                  <c:v>-7.1390391444702637</c:v>
                </c:pt>
                <c:pt idx="305">
                  <c:v>-7.3421394902112649</c:v>
                </c:pt>
                <c:pt idx="306">
                  <c:v>-7.5454237627585368</c:v>
                </c:pt>
                <c:pt idx="307">
                  <c:v>-7.7489059259516404</c:v>
                </c:pt>
                <c:pt idx="308">
                  <c:v>-7.9526010167718191</c:v>
                </c:pt>
                <c:pt idx="309">
                  <c:v>-8.1565252365208885</c:v>
                </c:pt>
                <c:pt idx="310">
                  <c:v>-8.3606960495358447</c:v>
                </c:pt>
                <c:pt idx="311">
                  <c:v>-8.565132290023632</c:v>
                </c:pt>
                <c:pt idx="312">
                  <c:v>-8.769854277632211</c:v>
                </c:pt>
                <c:pt idx="313">
                  <c:v>-8.9748839424047073</c:v>
                </c:pt>
                <c:pt idx="314">
                  <c:v>-9.1802449597985252</c:v>
                </c:pt>
                <c:pt idx="315">
                  <c:v>-9.3859628964751192</c:v>
                </c:pt>
                <c:pt idx="316">
                  <c:v>-9.5920653675948948</c:v>
                </c:pt>
                <c:pt idx="317">
                  <c:v>-9.79858220637011</c:v>
                </c:pt>
                <c:pt idx="318">
                  <c:v>-10.005545646644308</c:v>
                </c:pt>
                <c:pt idx="319">
                  <c:v>-10.212990519271173</c:v>
                </c:pt>
                <c:pt idx="320">
                  <c:v>-10.420954463062479</c:v>
                </c:pt>
                <c:pt idx="321">
                  <c:v>-10.629478151056764</c:v>
                </c:pt>
                <c:pt idx="322">
                  <c:v>-10.838605532825348</c:v>
                </c:pt>
                <c:pt idx="323">
                  <c:v>-11.048384093480168</c:v>
                </c:pt>
                <c:pt idx="324">
                  <c:v>-11.258865129967884</c:v>
                </c:pt>
                <c:pt idx="325">
                  <c:v>-11.470104045129052</c:v>
                </c:pt>
                <c:pt idx="326">
                  <c:v>-11.682160659858251</c:v>
                </c:pt>
                <c:pt idx="327">
                  <c:v>-11.895099543519962</c:v>
                </c:pt>
                <c:pt idx="328">
                  <c:v>-12.108990362545013</c:v>
                </c:pt>
                <c:pt idx="329">
                  <c:v>-12.32390824684666</c:v>
                </c:pt>
                <c:pt idx="330">
                  <c:v>-12.539934173350431</c:v>
                </c:pt>
                <c:pt idx="331">
                  <c:v>-12.757155365509306</c:v>
                </c:pt>
                <c:pt idx="332">
                  <c:v>-12.975665707177477</c:v>
                </c:pt>
                <c:pt idx="333">
                  <c:v>-13.195566168628519</c:v>
                </c:pt>
                <c:pt idx="334">
                  <c:v>-13.416965241812282</c:v>
                </c:pt>
                <c:pt idx="335">
                  <c:v>-13.639979381154507</c:v>
                </c:pt>
                <c:pt idx="336">
                  <c:v>-13.864733445297475</c:v>
                </c:pt>
                <c:pt idx="337">
                  <c:v>-14.091361134156157</c:v>
                </c:pt>
                <c:pt idx="338">
                  <c:v>-14.320005414528779</c:v>
                </c:pt>
                <c:pt idx="339">
                  <c:v>-14.550818926247253</c:v>
                </c:pt>
                <c:pt idx="340">
                  <c:v>-14.783964359499437</c:v>
                </c:pt>
                <c:pt idx="341">
                  <c:v>-15.019614792518375</c:v>
                </c:pt>
                <c:pt idx="342">
                  <c:v>-15.257953977332523</c:v>
                </c:pt>
                <c:pt idx="343">
                  <c:v>-15.49917655975946</c:v>
                </c:pt>
                <c:pt idx="344">
                  <c:v>-15.74348821833912</c:v>
                </c:pt>
                <c:pt idx="345">
                  <c:v>-15.991105705517711</c:v>
                </c:pt>
                <c:pt idx="346">
                  <c:v>-16.242256773191006</c:v>
                </c:pt>
                <c:pt idx="347">
                  <c:v>-16.497179963786085</c:v>
                </c:pt>
                <c:pt idx="348">
                  <c:v>-16.756124247536366</c:v>
                </c:pt>
                <c:pt idx="349">
                  <c:v>-17.01934848658459</c:v>
                </c:pt>
                <c:pt idx="350">
                  <c:v>-17.287120707198934</c:v>
                </c:pt>
                <c:pt idx="351">
                  <c:v>-17.55971716282836</c:v>
                </c:pt>
                <c:pt idx="352">
                  <c:v>-17.837421173089268</c:v>
                </c:pt>
                <c:pt idx="353">
                  <c:v>-18.120521727198991</c:v>
                </c:pt>
                <c:pt idx="354">
                  <c:v>-18.409311844910928</c:v>
                </c:pt>
                <c:pt idx="355">
                  <c:v>-18.704086693726715</c:v>
                </c:pt>
                <c:pt idx="356">
                  <c:v>-19.005141468019506</c:v>
                </c:pt>
                <c:pt idx="357">
                  <c:v>-19.312769043605186</c:v>
                </c:pt>
                <c:pt idx="358">
                  <c:v>-19.627257430048733</c:v>
                </c:pt>
                <c:pt idx="359">
                  <c:v>-19.948887052300186</c:v>
                </c:pt>
                <c:pt idx="360">
                  <c:v>-20.277927902725843</c:v>
                </c:pt>
                <c:pt idx="361">
                  <c:v>-20.614636613756197</c:v>
                </c:pt>
                <c:pt idx="362">
                  <c:v>-20.959253509663004</c:v>
                </c:pt>
                <c:pt idx="363">
                  <c:v>-21.311999702820291</c:v>
                </c:pt>
                <c:pt idx="364">
                  <c:v>-21.673074304621103</c:v>
                </c:pt>
                <c:pt idx="365">
                  <c:v>-22.042651823485372</c:v>
                </c:pt>
                <c:pt idx="366">
                  <c:v>-22.420879821708265</c:v>
                </c:pt>
                <c:pt idx="367">
                  <c:v>-22.807876898998177</c:v>
                </c:pt>
                <c:pt idx="368">
                  <c:v>-23.203731063406035</c:v>
                </c:pt>
                <c:pt idx="369">
                  <c:v>-23.608498540117534</c:v>
                </c:pt>
                <c:pt idx="370">
                  <c:v>-24.02220305569578</c:v>
                </c:pt>
                <c:pt idx="371">
                  <c:v>-24.444835620419994</c:v>
                </c:pt>
                <c:pt idx="372">
                  <c:v>-24.876354815175446</c:v>
                </c:pt>
                <c:pt idx="373">
                  <c:v>-25.316687572786009</c:v>
                </c:pt>
                <c:pt idx="374">
                  <c:v>-25.765730427680261</c:v>
                </c:pt>
                <c:pt idx="375">
                  <c:v>-26.223351193209336</c:v>
                </c:pt>
                <c:pt idx="376">
                  <c:v>-26.689391013558922</c:v>
                </c:pt>
                <c:pt idx="377">
                  <c:v>-27.163666727585483</c:v>
                </c:pt>
                <c:pt idx="378">
                  <c:v>-27.645973475435074</c:v>
                </c:pt>
                <c:pt idx="379">
                  <c:v>-28.136087475588116</c:v>
                </c:pt>
                <c:pt idx="380">
                  <c:v>-28.633768899935433</c:v>
                </c:pt>
                <c:pt idx="381">
                  <c:v>-29.138764777344509</c:v>
                </c:pt>
                <c:pt idx="382">
                  <c:v>-29.650811861467265</c:v>
                </c:pt>
                <c:pt idx="383">
                  <c:v>-30.16963940576186</c:v>
                </c:pt>
                <c:pt idx="384">
                  <c:v>-30.694971797237937</c:v>
                </c:pt>
                <c:pt idx="385">
                  <c:v>-31.226531009733904</c:v>
                </c:pt>
                <c:pt idx="386">
                  <c:v>-31.764038847038375</c:v>
                </c:pt>
                <c:pt idx="387">
                  <c:v>-32.307218955426833</c:v>
                </c:pt>
                <c:pt idx="388">
                  <c:v>-32.855798593817752</c:v>
                </c:pt>
                <c:pt idx="389">
                  <c:v>-33.409510157495575</c:v>
                </c:pt>
                <c:pt idx="390">
                  <c:v>-33.968092458019356</c:v>
                </c:pt>
                <c:pt idx="391">
                  <c:v>-34.531291767461077</c:v>
                </c:pt>
                <c:pt idx="392">
                  <c:v>-35.098862639466788</c:v>
                </c:pt>
                <c:pt idx="393">
                  <c:v>-35.670568522883002</c:v>
                </c:pt>
                <c:pt idx="394">
                  <c:v>-36.24618218590355</c:v>
                </c:pt>
                <c:pt idx="395">
                  <c:v>-36.825485970012245</c:v>
                </c:pt>
                <c:pt idx="396">
                  <c:v>-37.408271893545191</c:v>
                </c:pt>
                <c:pt idx="397">
                  <c:v>-37.994341624613789</c:v>
                </c:pt>
                <c:pt idx="398">
                  <c:v>-38.58350634255693</c:v>
                </c:pt>
                <c:pt idx="399">
                  <c:v>-39.175586506146594</c:v>
                </c:pt>
                <c:pt idx="400">
                  <c:v>-39.770411545556627</c:v>
                </c:pt>
                <c:pt idx="401">
                  <c:v>-40.367819493740377</c:v>
                </c:pt>
                <c:pt idx="402">
                  <c:v>-40.967656571390314</c:v>
                </c:pt>
                <c:pt idx="403">
                  <c:v>-41.569776738169686</c:v>
                </c:pt>
                <c:pt idx="404">
                  <c:v>-42.174041221431992</c:v>
                </c:pt>
                <c:pt idx="405">
                  <c:v>-42.780318032233104</c:v>
                </c:pt>
                <c:pt idx="406">
                  <c:v>-43.388481477107618</c:v>
                </c:pt>
                <c:pt idx="407">
                  <c:v>-43.998411672841577</c:v>
                </c:pt>
                <c:pt idx="408">
                  <c:v>-44.60999407034145</c:v>
                </c:pt>
                <c:pt idx="409">
                  <c:v>-45.223118992668205</c:v>
                </c:pt>
                <c:pt idx="410">
                  <c:v>-45.837681191381932</c:v>
                </c:pt>
                <c:pt idx="411">
                  <c:v>-46.453579424518246</c:v>
                </c:pt>
                <c:pt idx="412">
                  <c:v>-47.07071605878221</c:v>
                </c:pt>
                <c:pt idx="413">
                  <c:v>-47.688996697901018</c:v>
                </c:pt>
                <c:pt idx="414">
                  <c:v>-48.308329838507419</c:v>
                </c:pt>
                <c:pt idx="415">
                  <c:v>-48.928626554420205</c:v>
                </c:pt>
                <c:pt idx="416">
                  <c:v>-49.549800209754522</c:v>
                </c:pt>
                <c:pt idx="417">
                  <c:v>-50.171766200904287</c:v>
                </c:pt>
                <c:pt idx="418">
                  <c:v>-50.794441727103148</c:v>
                </c:pt>
                <c:pt idx="419">
                  <c:v>-51.417745588975087</c:v>
                </c:pt>
                <c:pt idx="420">
                  <c:v>-52.041598014227631</c:v>
                </c:pt>
                <c:pt idx="421">
                  <c:v>-52.6659205094155</c:v>
                </c:pt>
                <c:pt idx="422">
                  <c:v>-53.290635736508392</c:v>
                </c:pt>
                <c:pt idx="423">
                  <c:v>-53.9156674128349</c:v>
                </c:pt>
                <c:pt idx="424">
                  <c:v>-54.540940232828149</c:v>
                </c:pt>
                <c:pt idx="425">
                  <c:v>-55.166379809891062</c:v>
                </c:pt>
                <c:pt idx="426">
                  <c:v>-55.791912636606668</c:v>
                </c:pt>
                <c:pt idx="427">
                  <c:v>-56.417466061446397</c:v>
                </c:pt>
                <c:pt idx="428">
                  <c:v>-57.042968280092616</c:v>
                </c:pt>
                <c:pt idx="429">
                  <c:v>-57.668348339466853</c:v>
                </c:pt>
                <c:pt idx="430">
                  <c:v>-58.293536152545613</c:v>
                </c:pt>
                <c:pt idx="431">
                  <c:v>-58.918462522080503</c:v>
                </c:pt>
                <c:pt idx="432">
                  <c:v>-59.543059171365314</c:v>
                </c:pt>
                <c:pt idx="433">
                  <c:v>-60.167258780262742</c:v>
                </c:pt>
                <c:pt idx="434">
                  <c:v>-60.790995024774482</c:v>
                </c:pt>
                <c:pt idx="435">
                  <c:v>-61.414202618535811</c:v>
                </c:pt>
                <c:pt idx="436">
                  <c:v>-62.036817354725628</c:v>
                </c:pt>
                <c:pt idx="437">
                  <c:v>-62.658776147006606</c:v>
                </c:pt>
                <c:pt idx="438">
                  <c:v>-63.280017068243161</c:v>
                </c:pt>
                <c:pt idx="439">
                  <c:v>-63.900479385891096</c:v>
                </c:pt>
                <c:pt idx="440">
                  <c:v>-64.520103593104466</c:v>
                </c:pt>
                <c:pt idx="441">
                  <c:v>-65.13883143476157</c:v>
                </c:pt>
                <c:pt idx="442">
                  <c:v>-65.75660592776876</c:v>
                </c:pt>
                <c:pt idx="443">
                  <c:v>-66.37337137516414</c:v>
                </c:pt>
                <c:pt idx="444">
                  <c:v>-66.989073373697366</c:v>
                </c:pt>
                <c:pt idx="445">
                  <c:v>-67.603658814716837</c:v>
                </c:pt>
                <c:pt idx="446">
                  <c:v>-68.217075878340367</c:v>
                </c:pt>
                <c:pt idx="447">
                  <c:v>-68.82927402102824</c:v>
                </c:pt>
                <c:pt idx="448">
                  <c:v>-69.440203956803046</c:v>
                </c:pt>
                <c:pt idx="449">
                  <c:v>-70.049817632485897</c:v>
                </c:pt>
                <c:pt idx="450">
                  <c:v>-70.658068197415318</c:v>
                </c:pt>
                <c:pt idx="451">
                  <c:v>-71.26490996822389</c:v>
                </c:pt>
                <c:pt idx="452">
                  <c:v>-71.870298389313149</c:v>
                </c:pt>
                <c:pt idx="453">
                  <c:v>-72.474189989748936</c:v>
                </c:pt>
                <c:pt idx="454">
                  <c:v>-73.076542337339404</c:v>
                </c:pt>
                <c:pt idx="455">
                  <c:v>-73.677313990712662</c:v>
                </c:pt>
                <c:pt idx="456">
                  <c:v>-74.276464450217631</c:v>
                </c:pt>
                <c:pt idx="457">
                  <c:v>-74.873954108508713</c:v>
                </c:pt>
                <c:pt idx="458">
                  <c:v>-75.469744201651594</c:v>
                </c:pt>
                <c:pt idx="459">
                  <c:v>-76.063796761595526</c:v>
                </c:pt>
                <c:pt idx="460">
                  <c:v>-76.656074570822568</c:v>
                </c:pt>
                <c:pt idx="461">
                  <c:v>-77.246541119956788</c:v>
                </c:pt>
                <c:pt idx="462">
                  <c:v>-77.835160569077885</c:v>
                </c:pt>
                <c:pt idx="463">
                  <c:v>-78.421897713422965</c:v>
                </c:pt>
                <c:pt idx="464">
                  <c:v>-79.006717954114322</c:v>
                </c:pt>
                <c:pt idx="465">
                  <c:v>-79.589587274477111</c:v>
                </c:pt>
                <c:pt idx="466">
                  <c:v>-80.170472222446577</c:v>
                </c:pt>
                <c:pt idx="467">
                  <c:v>-80.749339899482763</c:v>
                </c:pt>
                <c:pt idx="468">
                  <c:v>-81.326157956338548</c:v>
                </c:pt>
                <c:pt idx="469">
                  <c:v>-81.900894595937089</c:v>
                </c:pt>
                <c:pt idx="470">
                  <c:v>-82.473518583532552</c:v>
                </c:pt>
                <c:pt idx="471">
                  <c:v>-83.0439992642427</c:v>
                </c:pt>
                <c:pt idx="472">
                  <c:v>-83.612306587947799</c:v>
                </c:pt>
                <c:pt idx="473">
                  <c:v>-84.178411141469553</c:v>
                </c:pt>
                <c:pt idx="474">
                  <c:v>-84.742284187850956</c:v>
                </c:pt>
                <c:pt idx="475">
                  <c:v>-85.303897712471993</c:v>
                </c:pt>
                <c:pt idx="476">
                  <c:v>-85.863224475656239</c:v>
                </c:pt>
                <c:pt idx="477">
                  <c:v>-86.4202380713362</c:v>
                </c:pt>
                <c:pt idx="478">
                  <c:v>-86.974912991272646</c:v>
                </c:pt>
                <c:pt idx="479">
                  <c:v>-87.527224694248702</c:v>
                </c:pt>
                <c:pt idx="480">
                  <c:v>-88.077149679591841</c:v>
                </c:pt>
                <c:pt idx="481">
                  <c:v>-88.624665564315279</c:v>
                </c:pt>
                <c:pt idx="482">
                  <c:v>-89.169751163119443</c:v>
                </c:pt>
                <c:pt idx="483">
                  <c:v>-89.712386570442561</c:v>
                </c:pt>
                <c:pt idx="484">
                  <c:v>-90.252553243716832</c:v>
                </c:pt>
                <c:pt idx="485">
                  <c:v>-90.790234086954612</c:v>
                </c:pt>
                <c:pt idx="486">
                  <c:v>-91.3254135337707</c:v>
                </c:pt>
                <c:pt idx="487">
                  <c:v>-91.858077628941231</c:v>
                </c:pt>
                <c:pt idx="488">
                  <c:v>-92.388214107594592</c:v>
                </c:pt>
                <c:pt idx="489">
                  <c:v>-92.91581247115144</c:v>
                </c:pt>
                <c:pt idx="490">
                  <c:v>-93.440864059144957</c:v>
                </c:pt>
                <c:pt idx="491">
                  <c:v>-93.963362116094515</c:v>
                </c:pt>
                <c:pt idx="492">
                  <c:v>-94.483301852644672</c:v>
                </c:pt>
                <c:pt idx="493">
                  <c:v>-95.000680500238616</c:v>
                </c:pt>
                <c:pt idx="494">
                  <c:v>-95.51549735865791</c:v>
                </c:pt>
                <c:pt idx="495">
                  <c:v>-96.027753835832897</c:v>
                </c:pt>
                <c:pt idx="496">
                  <c:v>-96.537453479407759</c:v>
                </c:pt>
                <c:pt idx="497">
                  <c:v>-97.044601999628796</c:v>
                </c:pt>
                <c:pt idx="498">
                  <c:v>-97.549207283218138</c:v>
                </c:pt>
                <c:pt idx="499">
                  <c:v>-98.051279397988012</c:v>
                </c:pt>
                <c:pt idx="500">
                  <c:v>-98.550830588047532</c:v>
                </c:pt>
                <c:pt idx="501">
                  <c:v>-99.047875259554345</c:v>
                </c:pt>
                <c:pt idx="502">
                  <c:v>-99.542429957058914</c:v>
                </c:pt>
                <c:pt idx="503">
                  <c:v>-100.03451333058409</c:v>
                </c:pt>
                <c:pt idx="504">
                  <c:v>-100.52414609367682</c:v>
                </c:pt>
                <c:pt idx="505">
                  <c:v>-101.01135097275417</c:v>
                </c:pt>
                <c:pt idx="506">
                  <c:v>-101.49615264814658</c:v>
                </c:pt>
                <c:pt idx="507">
                  <c:v>-101.97857768731691</c:v>
                </c:pt>
                <c:pt idx="508">
                  <c:v>-102.45865447079771</c:v>
                </c:pt>
                <c:pt idx="509">
                  <c:v>-102.93641311144923</c:v>
                </c:pt>
                <c:pt idx="510">
                  <c:v>-103.41188536768441</c:v>
                </c:pt>
                <c:pt idx="511">
                  <c:v>-103.88510455135068</c:v>
                </c:pt>
                <c:pt idx="512">
                  <c:v>-104.35610543098204</c:v>
                </c:pt>
                <c:pt idx="513">
                  <c:v>-104.82492413115779</c:v>
                </c:pt>
                <c:pt idx="514">
                  <c:v>-105.2915980287098</c:v>
                </c:pt>
                <c:pt idx="515">
                  <c:v>-105.75616564652407</c:v>
                </c:pt>
                <c:pt idx="516">
                  <c:v>-106.21866654566904</c:v>
                </c:pt>
                <c:pt idx="517">
                  <c:v>-106.67914121657148</c:v>
                </c:pt>
                <c:pt idx="518">
                  <c:v>-107.13763096993222</c:v>
                </c:pt>
                <c:pt idx="519">
                  <c:v>-107.59417782804459</c:v>
                </c:pt>
                <c:pt idx="520">
                  <c:v>-108.04882441714456</c:v>
                </c:pt>
                <c:pt idx="521">
                  <c:v>-108.50161386137572</c:v>
                </c:pt>
                <c:pt idx="522">
                  <c:v>-108.95258967891056</c:v>
                </c:pt>
                <c:pt idx="523">
                  <c:v>-109.40179568072138</c:v>
                </c:pt>
                <c:pt idx="524">
                  <c:v>-109.84927587244138</c:v>
                </c:pt>
                <c:pt idx="525">
                  <c:v>-110.29507435970906</c:v>
                </c:pt>
                <c:pt idx="526">
                  <c:v>-110.73923525733298</c:v>
                </c:pt>
                <c:pt idx="527">
                  <c:v>-111.18180260256622</c:v>
                </c:pt>
                <c:pt idx="528">
                  <c:v>-111.62282027272654</c:v>
                </c:pt>
                <c:pt idx="529">
                  <c:v>-112.06233190735273</c:v>
                </c:pt>
                <c:pt idx="530">
                  <c:v>-112.50038083503361</c:v>
                </c:pt>
                <c:pt idx="531">
                  <c:v>-112.93701000501247</c:v>
                </c:pt>
                <c:pt idx="532">
                  <c:v>-113.37226192361427</c:v>
                </c:pt>
                <c:pt idx="533">
                  <c:v>-113.80617859551907</c:v>
                </c:pt>
                <c:pt idx="534">
                  <c:v>-114.23880146985562</c:v>
                </c:pt>
                <c:pt idx="535">
                  <c:v>-114.67017139106611</c:v>
                </c:pt>
                <c:pt idx="536">
                  <c:v>-115.10032855446028</c:v>
                </c:pt>
                <c:pt idx="537">
                  <c:v>-115.52931246635218</c:v>
                </c:pt>
                <c:pt idx="538">
                  <c:v>-115.95716190865124</c:v>
                </c:pt>
                <c:pt idx="539">
                  <c:v>-116.38391490775753</c:v>
                </c:pt>
                <c:pt idx="540">
                  <c:v>-116.80960870760035</c:v>
                </c:pt>
                <c:pt idx="541">
                  <c:v>-117.23427974664175</c:v>
                </c:pt>
              </c:numCache>
            </c:numRef>
          </c:yVal>
          <c:smooth val="1"/>
          <c:extLst>
            <c:ext xmlns:c16="http://schemas.microsoft.com/office/drawing/2014/chart" uri="{C3380CC4-5D6E-409C-BE32-E72D297353CC}">
              <c16:uniqueId val="{00000000-2470-421C-8EF3-DF4BAC2DF802}"/>
            </c:ext>
          </c:extLst>
        </c:ser>
        <c:ser>
          <c:idx val="2"/>
          <c:order val="2"/>
          <c:tx>
            <c:v>f_LP</c:v>
          </c:tx>
          <c:spPr>
            <a:ln w="38100" cmpd="sng"/>
          </c:spPr>
          <c:marker>
            <c:symbol val="x"/>
            <c:size val="7"/>
            <c:spPr>
              <a:noFill/>
            </c:spPr>
          </c:marker>
          <c:dPt>
            <c:idx val="0"/>
            <c:marker>
              <c:spPr>
                <a:noFill/>
                <a:ln w="19050">
                  <a:solidFill>
                    <a:schemeClr val="tx1"/>
                  </a:solidFill>
                </a:ln>
              </c:spPr>
            </c:marker>
            <c:bubble3D val="0"/>
            <c:extLst>
              <c:ext xmlns:c16="http://schemas.microsoft.com/office/drawing/2014/chart" uri="{C3380CC4-5D6E-409C-BE32-E72D297353CC}">
                <c16:uniqueId val="{00000001-2470-421C-8EF3-DF4BAC2DF802}"/>
              </c:ext>
            </c:extLst>
          </c:dPt>
          <c:dLbls>
            <c:dLbl>
              <c:idx val="0"/>
              <c:tx>
                <c:rich>
                  <a:bodyPr/>
                  <a:lstStyle/>
                  <a:p>
                    <a:r>
                      <a:rPr lang="en-US" sz="1100" b="1"/>
                      <a:t>f</a:t>
                    </a:r>
                    <a:r>
                      <a:rPr lang="en-US" sz="1100" b="1" baseline="-25000"/>
                      <a:t>LP</a:t>
                    </a:r>
                    <a:endParaRPr lang="en-US" b="1" baseline="-25000"/>
                  </a:p>
                </c:rich>
              </c:tx>
              <c:dLblPos val="b"/>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2470-421C-8EF3-DF4BAC2DF802}"/>
                </c:ext>
              </c:extLst>
            </c:dLbl>
            <c:spPr>
              <a:noFill/>
              <a:ln>
                <a:noFill/>
              </a:ln>
              <a:effectLst/>
            </c:sp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Loop_Modeling!$O$11</c:f>
              <c:numCache>
                <c:formatCode>0</c:formatCode>
                <c:ptCount val="1"/>
                <c:pt idx="0">
                  <c:v>18.003952838449699</c:v>
                </c:pt>
              </c:numCache>
            </c:numRef>
          </c:xVal>
          <c:yVal>
            <c:numRef>
              <c:f>Loop_Modeling!$AT$11</c:f>
              <c:numCache>
                <c:formatCode>0.000</c:formatCode>
                <c:ptCount val="1"/>
                <c:pt idx="0">
                  <c:v>70.089429471153039</c:v>
                </c:pt>
              </c:numCache>
            </c:numRef>
          </c:yVal>
          <c:smooth val="0"/>
          <c:extLst>
            <c:ext xmlns:c16="http://schemas.microsoft.com/office/drawing/2014/chart" uri="{C3380CC4-5D6E-409C-BE32-E72D297353CC}">
              <c16:uniqueId val="{00000002-2470-421C-8EF3-DF4BAC2DF802}"/>
            </c:ext>
          </c:extLst>
        </c:ser>
        <c:ser>
          <c:idx val="3"/>
          <c:order val="3"/>
          <c:tx>
            <c:v>fz_rhp</c:v>
          </c:tx>
          <c:spPr>
            <a:ln>
              <a:solidFill>
                <a:schemeClr val="tx1"/>
              </a:solidFill>
            </a:ln>
          </c:spPr>
          <c:marker>
            <c:symbol val="circle"/>
            <c:size val="7"/>
            <c:spPr>
              <a:noFill/>
              <a:ln w="19050">
                <a:solidFill>
                  <a:schemeClr val="tx1"/>
                </a:solidFill>
              </a:ln>
            </c:spPr>
          </c:marker>
          <c:dLbls>
            <c:dLbl>
              <c:idx val="0"/>
              <c:layout>
                <c:manualLayout>
                  <c:x val="8.0501209561423519E-3"/>
                  <c:y val="-1.5493667278504181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2470-421C-8EF3-DF4BAC2DF802}"/>
                </c:ext>
              </c:extLst>
            </c:dLbl>
            <c:spPr>
              <a:noFill/>
              <a:ln>
                <a:noFill/>
              </a:ln>
              <a:effectLst/>
            </c:spPr>
            <c:txPr>
              <a:bodyPr/>
              <a:lstStyle/>
              <a:p>
                <a:pPr>
                  <a:defRPr b="1"/>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Loop_Modeling!$O$9</c:f>
              <c:numCache>
                <c:formatCode>0</c:formatCode>
                <c:ptCount val="1"/>
                <c:pt idx="0">
                  <c:v>234051.38689984611</c:v>
                </c:pt>
              </c:numCache>
            </c:numRef>
          </c:xVal>
          <c:yVal>
            <c:numRef>
              <c:f>Loop_Modeling!$AT$9</c:f>
              <c:numCache>
                <c:formatCode>0.000</c:formatCode>
                <c:ptCount val="1"/>
                <c:pt idx="0">
                  <c:v>-61.993953150316358</c:v>
                </c:pt>
              </c:numCache>
            </c:numRef>
          </c:yVal>
          <c:smooth val="1"/>
          <c:extLst>
            <c:ext xmlns:c16="http://schemas.microsoft.com/office/drawing/2014/chart" uri="{C3380CC4-5D6E-409C-BE32-E72D297353CC}">
              <c16:uniqueId val="{00000004-2470-421C-8EF3-DF4BAC2DF802}"/>
            </c:ext>
          </c:extLst>
        </c:ser>
        <c:ser>
          <c:idx val="4"/>
          <c:order val="4"/>
          <c:tx>
            <c:v>f_esr</c:v>
          </c:tx>
          <c:spPr>
            <a:ln>
              <a:noFill/>
            </a:ln>
          </c:spPr>
          <c:marker>
            <c:symbol val="circle"/>
            <c:size val="5"/>
            <c:spPr>
              <a:noFill/>
              <a:ln w="19050">
                <a:solidFill>
                  <a:schemeClr val="tx1"/>
                </a:solidFill>
              </a:ln>
            </c:spPr>
          </c:marker>
          <c:dPt>
            <c:idx val="0"/>
            <c:marker>
              <c:symbol val="circle"/>
              <c:size val="7"/>
            </c:marker>
            <c:bubble3D val="0"/>
            <c:extLst>
              <c:ext xmlns:c16="http://schemas.microsoft.com/office/drawing/2014/chart" uri="{C3380CC4-5D6E-409C-BE32-E72D297353CC}">
                <c16:uniqueId val="{00000005-2470-421C-8EF3-DF4BAC2DF802}"/>
              </c:ext>
            </c:extLst>
          </c:dPt>
          <c:dLbls>
            <c:dLbl>
              <c:idx val="0"/>
              <c:layout>
                <c:manualLayout>
                  <c:x val="-5.990474489899654E-2"/>
                  <c:y val="-1.2457193490087108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2470-421C-8EF3-DF4BAC2DF802}"/>
                </c:ext>
              </c:extLst>
            </c:dLbl>
            <c:spPr>
              <a:noFill/>
              <a:ln>
                <a:noFill/>
              </a:ln>
              <a:effectLst/>
            </c:spPr>
            <c:txPr>
              <a:bodyPr/>
              <a:lstStyle/>
              <a:p>
                <a:pPr>
                  <a:defRPr b="1"/>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Loop_Modeling!$O$10</c:f>
              <c:numCache>
                <c:formatCode>0</c:formatCode>
                <c:ptCount val="1"/>
                <c:pt idx="0">
                  <c:v>956459.99454264017</c:v>
                </c:pt>
              </c:numCache>
            </c:numRef>
          </c:xVal>
          <c:yVal>
            <c:numRef>
              <c:f>Loop_Modeling!$AT$10</c:f>
              <c:numCache>
                <c:formatCode>0.000</c:formatCode>
                <c:ptCount val="1"/>
                <c:pt idx="0">
                  <c:v>-97.078328607709793</c:v>
                </c:pt>
              </c:numCache>
            </c:numRef>
          </c:yVal>
          <c:smooth val="1"/>
          <c:extLst>
            <c:ext xmlns:c16="http://schemas.microsoft.com/office/drawing/2014/chart" uri="{C3380CC4-5D6E-409C-BE32-E72D297353CC}">
              <c16:uniqueId val="{00000006-2470-421C-8EF3-DF4BAC2DF802}"/>
            </c:ext>
          </c:extLst>
        </c:ser>
        <c:ser>
          <c:idx val="5"/>
          <c:order val="5"/>
          <c:tx>
            <c:v>fz_ea</c:v>
          </c:tx>
          <c:marker>
            <c:symbol val="circle"/>
            <c:size val="8"/>
            <c:spPr>
              <a:noFill/>
              <a:ln w="25400">
                <a:solidFill>
                  <a:srgbClr val="00B0F0"/>
                </a:solidFill>
              </a:ln>
            </c:spPr>
          </c:marker>
          <c:dLbls>
            <c:dLbl>
              <c:idx val="0"/>
              <c:spPr/>
              <c:txPr>
                <a:bodyPr/>
                <a:lstStyle/>
                <a:p>
                  <a:pPr>
                    <a:defRPr b="1"/>
                  </a:pPr>
                  <a:endParaRPr lang="en-US"/>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2470-421C-8EF3-DF4BAC2DF802}"/>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Loop_Modeling!$O$12</c:f>
              <c:numCache>
                <c:formatCode>General</c:formatCode>
                <c:ptCount val="1"/>
                <c:pt idx="0">
                  <c:v>294.73137609610245</c:v>
                </c:pt>
              </c:numCache>
            </c:numRef>
          </c:xVal>
          <c:yVal>
            <c:numRef>
              <c:f>Loop_Modeling!$AT$12</c:f>
              <c:numCache>
                <c:formatCode>0.000</c:formatCode>
                <c:ptCount val="1"/>
                <c:pt idx="0">
                  <c:v>27.515309953252864</c:v>
                </c:pt>
              </c:numCache>
            </c:numRef>
          </c:yVal>
          <c:smooth val="1"/>
          <c:extLst>
            <c:ext xmlns:c16="http://schemas.microsoft.com/office/drawing/2014/chart" uri="{C3380CC4-5D6E-409C-BE32-E72D297353CC}">
              <c16:uniqueId val="{00000008-2470-421C-8EF3-DF4BAC2DF802}"/>
            </c:ext>
          </c:extLst>
        </c:ser>
        <c:ser>
          <c:idx val="6"/>
          <c:order val="6"/>
          <c:tx>
            <c:v>fp_ea</c:v>
          </c:tx>
          <c:marker>
            <c:symbol val="x"/>
            <c:size val="7"/>
            <c:spPr>
              <a:noFill/>
              <a:ln w="25400">
                <a:solidFill>
                  <a:srgbClr val="00B0F0"/>
                </a:solidFill>
              </a:ln>
            </c:spPr>
          </c:marker>
          <c:dLbls>
            <c:dLbl>
              <c:idx val="0"/>
              <c:layout>
                <c:manualLayout>
                  <c:x val="-5.3995739911983948E-2"/>
                  <c:y val="3.3712510009006609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470-421C-8EF3-DF4BAC2DF802}"/>
                </c:ext>
              </c:extLst>
            </c:dLbl>
            <c:spPr>
              <a:noFill/>
              <a:ln>
                <a:noFill/>
              </a:ln>
              <a:effectLst/>
            </c:spPr>
            <c:txPr>
              <a:bodyPr/>
              <a:lstStyle/>
              <a:p>
                <a:pPr>
                  <a:defRPr b="1"/>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Loop_Modeling!$O$13</c:f>
              <c:numCache>
                <c:formatCode>General</c:formatCode>
                <c:ptCount val="1"/>
                <c:pt idx="0">
                  <c:v>161057.30015578837</c:v>
                </c:pt>
              </c:numCache>
            </c:numRef>
          </c:xVal>
          <c:yVal>
            <c:numRef>
              <c:f>Loop_Modeling!$AT$13</c:f>
              <c:numCache>
                <c:formatCode>0.000</c:formatCode>
                <c:ptCount val="1"/>
                <c:pt idx="0">
                  <c:v>-51.853167341309366</c:v>
                </c:pt>
              </c:numCache>
            </c:numRef>
          </c:yVal>
          <c:smooth val="1"/>
          <c:extLst>
            <c:ext xmlns:c16="http://schemas.microsoft.com/office/drawing/2014/chart" uri="{C3380CC4-5D6E-409C-BE32-E72D297353CC}">
              <c16:uniqueId val="{0000000A-2470-421C-8EF3-DF4BAC2DF802}"/>
            </c:ext>
          </c:extLst>
        </c:ser>
        <c:dLbls>
          <c:showLegendKey val="0"/>
          <c:showVal val="0"/>
          <c:showCatName val="0"/>
          <c:showSerName val="0"/>
          <c:showPercent val="0"/>
          <c:showBubbleSize val="0"/>
        </c:dLbls>
        <c:axId val="144369152"/>
        <c:axId val="144371072"/>
      </c:scatterChart>
      <c:scatterChart>
        <c:scatterStyle val="smoothMarker"/>
        <c:varyColors val="0"/>
        <c:ser>
          <c:idx val="1"/>
          <c:order val="1"/>
          <c:tx>
            <c:v>Phase (deg)</c:v>
          </c:tx>
          <c:spPr>
            <a:ln w="28575">
              <a:solidFill>
                <a:schemeClr val="tx1">
                  <a:lumMod val="95000"/>
                  <a:lumOff val="5000"/>
                </a:schemeClr>
              </a:solidFill>
              <a:prstDash val="sysDash"/>
            </a:ln>
          </c:spPr>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Loop_Modeling!$AU$19:$AU$560</c:f>
              <c:numCache>
                <c:formatCode>General</c:formatCode>
                <c:ptCount val="542"/>
                <c:pt idx="0">
                  <c:v>62.38744514304944</c:v>
                </c:pt>
                <c:pt idx="1">
                  <c:v>61.863925537778471</c:v>
                </c:pt>
                <c:pt idx="2">
                  <c:v>61.334960508997327</c:v>
                </c:pt>
                <c:pt idx="3">
                  <c:v>60.800736519802037</c:v>
                </c:pt>
                <c:pt idx="4">
                  <c:v>60.261452865357022</c:v>
                </c:pt>
                <c:pt idx="5">
                  <c:v>59.717321681379929</c:v>
                </c:pt>
                <c:pt idx="6">
                  <c:v>59.168567903440049</c:v>
                </c:pt>
                <c:pt idx="7">
                  <c:v>58.615429174901145</c:v>
                </c:pt>
                <c:pt idx="8">
                  <c:v>58.058155701646619</c:v>
                </c:pt>
                <c:pt idx="9">
                  <c:v>57.497010052089642</c:v>
                </c:pt>
                <c:pt idx="10">
                  <c:v>56.932266901350374</c:v>
                </c:pt>
                <c:pt idx="11">
                  <c:v>56.364212718917429</c:v>
                </c:pt>
                <c:pt idx="12">
                  <c:v>55.793145399578137</c:v>
                </c:pt>
                <c:pt idx="13">
                  <c:v>55.219373837875452</c:v>
                </c:pt>
                <c:pt idx="14">
                  <c:v>54.643217446872164</c:v>
                </c:pt>
                <c:pt idx="15">
                  <c:v>54.065005622523891</c:v>
                </c:pt>
                <c:pt idx="16">
                  <c:v>53.485077155489165</c:v>
                </c:pt>
                <c:pt idx="17">
                  <c:v>52.903779592742289</c:v>
                </c:pt>
                <c:pt idx="18">
                  <c:v>52.321468551879896</c:v>
                </c:pt>
                <c:pt idx="19">
                  <c:v>51.738506991511848</c:v>
                </c:pt>
                <c:pt idx="20">
                  <c:v>51.155264441614683</c:v>
                </c:pt>
                <c:pt idx="21">
                  <c:v>50.572116198173141</c:v>
                </c:pt>
                <c:pt idx="22">
                  <c:v>49.989442486842947</c:v>
                </c:pt>
                <c:pt idx="23">
                  <c:v>49.407627600720929</c:v>
                </c:pt>
                <c:pt idx="24">
                  <c:v>48.827059017625174</c:v>
                </c:pt>
                <c:pt idx="25">
                  <c:v>48.2481265025095</c:v>
                </c:pt>
                <c:pt idx="26">
                  <c:v>47.671221200839156</c:v>
                </c:pt>
                <c:pt idx="27">
                  <c:v>47.096734728837028</c:v>
                </c:pt>
                <c:pt idx="28">
                  <c:v>46.525058266565154</c:v>
                </c:pt>
                <c:pt idx="29">
                  <c:v>45.956581659762897</c:v>
                </c:pt>
                <c:pt idx="30">
                  <c:v>45.391692536257189</c:v>
                </c:pt>
                <c:pt idx="31">
                  <c:v>44.830775442586031</c:v>
                </c:pt>
                <c:pt idx="32">
                  <c:v>44.274211006242204</c:v>
                </c:pt>
                <c:pt idx="33">
                  <c:v>43.722375128624321</c:v>
                </c:pt>
                <c:pt idx="34">
                  <c:v>43.175638213444515</c:v>
                </c:pt>
                <c:pt idx="35">
                  <c:v>42.634364434918396</c:v>
                </c:pt>
                <c:pt idx="36">
                  <c:v>42.098911049625386</c:v>
                </c:pt>
                <c:pt idx="37">
                  <c:v>41.569627755434119</c:v>
                </c:pt>
                <c:pt idx="38">
                  <c:v>41.046856100384829</c:v>
                </c:pt>
                <c:pt idx="39">
                  <c:v>40.530928943892754</c:v>
                </c:pt>
                <c:pt idx="40">
                  <c:v>40.022169972097821</c:v>
                </c:pt>
                <c:pt idx="41">
                  <c:v>39.520893268649218</c:v>
                </c:pt>
                <c:pt idx="42">
                  <c:v>39.027402941693445</c:v>
                </c:pt>
                <c:pt idx="43">
                  <c:v>38.541992807298847</c:v>
                </c:pt>
                <c:pt idx="44">
                  <c:v>38.064946129075949</c:v>
                </c:pt>
                <c:pt idx="45">
                  <c:v>37.596535413269137</c:v>
                </c:pt>
                <c:pt idx="46">
                  <c:v>37.137022258167477</c:v>
                </c:pt>
                <c:pt idx="47">
                  <c:v>36.68665725627698</c:v>
                </c:pt>
                <c:pt idx="48">
                  <c:v>36.245679947330267</c:v>
                </c:pt>
                <c:pt idx="49">
                  <c:v>35.814318819899611</c:v>
                </c:pt>
                <c:pt idx="50">
                  <c:v>35.392791359090488</c:v>
                </c:pt>
                <c:pt idx="51">
                  <c:v>34.981304137556037</c:v>
                </c:pt>
                <c:pt idx="52">
                  <c:v>34.5800529468927</c:v>
                </c:pt>
                <c:pt idx="53">
                  <c:v>34.189222966308293</c:v>
                </c:pt>
                <c:pt idx="54">
                  <c:v>33.808988965357493</c:v>
                </c:pt>
                <c:pt idx="55">
                  <c:v>33.439515537462604</c:v>
                </c:pt>
                <c:pt idx="56">
                  <c:v>33.080957360899852</c:v>
                </c:pt>
                <c:pt idx="57">
                  <c:v>32.733459483929089</c:v>
                </c:pt>
                <c:pt idx="58">
                  <c:v>32.397157630777208</c:v>
                </c:pt>
                <c:pt idx="59">
                  <c:v>32.07217852522767</c:v>
                </c:pt>
                <c:pt idx="60">
                  <c:v>31.758640228663996</c:v>
                </c:pt>
                <c:pt idx="61">
                  <c:v>31.456652489490136</c:v>
                </c:pt>
                <c:pt idx="62">
                  <c:v>31.166317100989627</c:v>
                </c:pt>
                <c:pt idx="63">
                  <c:v>30.887728264794344</c:v>
                </c:pt>
                <c:pt idx="64">
                  <c:v>30.620972957283232</c:v>
                </c:pt>
                <c:pt idx="65">
                  <c:v>30.366131296377528</c:v>
                </c:pt>
                <c:pt idx="66">
                  <c:v>30.123276906351421</c:v>
                </c:pt>
                <c:pt idx="67">
                  <c:v>29.892477278426988</c:v>
                </c:pt>
                <c:pt idx="68">
                  <c:v>29.673794125091629</c:v>
                </c:pt>
                <c:pt idx="69">
                  <c:v>29.467283726218685</c:v>
                </c:pt>
                <c:pt idx="70">
                  <c:v>29.272997265231396</c:v>
                </c:pt>
                <c:pt idx="71">
                  <c:v>29.09098115370233</c:v>
                </c:pt>
                <c:pt idx="72">
                  <c:v>28.921277342915193</c:v>
                </c:pt>
                <c:pt idx="73">
                  <c:v>28.763923621062933</c:v>
                </c:pt>
                <c:pt idx="74">
                  <c:v>28.618953894881884</c:v>
                </c:pt>
                <c:pt idx="75">
                  <c:v>28.486398454649638</c:v>
                </c:pt>
                <c:pt idx="76">
                  <c:v>28.366284221586554</c:v>
                </c:pt>
                <c:pt idx="77">
                  <c:v>28.258634976815873</c:v>
                </c:pt>
                <c:pt idx="78">
                  <c:v>28.163471571133236</c:v>
                </c:pt>
                <c:pt idx="79">
                  <c:v>28.080812114936691</c:v>
                </c:pt>
                <c:pt idx="80">
                  <c:v>28.010672147754253</c:v>
                </c:pt>
                <c:pt idx="81">
                  <c:v>27.953064786883225</c:v>
                </c:pt>
                <c:pt idx="82">
                  <c:v>27.908000854738845</c:v>
                </c:pt>
                <c:pt idx="83">
                  <c:v>27.875488984574275</c:v>
                </c:pt>
                <c:pt idx="84">
                  <c:v>27.855535704301097</c:v>
                </c:pt>
                <c:pt idx="85">
                  <c:v>27.848145498201035</c:v>
                </c:pt>
                <c:pt idx="86">
                  <c:v>27.853320846378686</c:v>
                </c:pt>
                <c:pt idx="87">
                  <c:v>27.871062241861193</c:v>
                </c:pt>
                <c:pt idx="88">
                  <c:v>27.901368185303848</c:v>
                </c:pt>
                <c:pt idx="89">
                  <c:v>27.944235157317912</c:v>
                </c:pt>
                <c:pt idx="90">
                  <c:v>27.999657568486484</c:v>
                </c:pt>
                <c:pt idx="91">
                  <c:v>28.067627687195877</c:v>
                </c:pt>
                <c:pt idx="92">
                  <c:v>28.148135545461106</c:v>
                </c:pt>
                <c:pt idx="93">
                  <c:v>28.241168822986797</c:v>
                </c:pt>
                <c:pt idx="94">
                  <c:v>28.346712709773065</c:v>
                </c:pt>
                <c:pt idx="95">
                  <c:v>28.464749747630151</c:v>
                </c:pt>
                <c:pt idx="96">
                  <c:v>28.595259651058303</c:v>
                </c:pt>
                <c:pt idx="97">
                  <c:v>28.738219108006795</c:v>
                </c:pt>
                <c:pt idx="98">
                  <c:v>28.893601561130804</c:v>
                </c:pt>
                <c:pt idx="99">
                  <c:v>29.061376970236687</c:v>
                </c:pt>
                <c:pt idx="100">
                  <c:v>29.241511556724497</c:v>
                </c:pt>
                <c:pt idx="101">
                  <c:v>29.433967530921642</c:v>
                </c:pt>
                <c:pt idx="102">
                  <c:v>29.638702803337182</c:v>
                </c:pt>
                <c:pt idx="103">
                  <c:v>29.855670680963261</c:v>
                </c:pt>
                <c:pt idx="104">
                  <c:v>30.084819549902079</c:v>
                </c:pt>
                <c:pt idx="105">
                  <c:v>30.326092545708907</c:v>
                </c:pt>
                <c:pt idx="106">
                  <c:v>30.579427213003132</c:v>
                </c:pt>
                <c:pt idx="107">
                  <c:v>30.844755156029496</c:v>
                </c:pt>
                <c:pt idx="108">
                  <c:v>31.122001682012939</c:v>
                </c:pt>
                <c:pt idx="109">
                  <c:v>31.411085439304188</c:v>
                </c:pt>
                <c:pt idx="110">
                  <c:v>31.711918052463822</c:v>
                </c:pt>
                <c:pt idx="111">
                  <c:v>32.024403756594943</c:v>
                </c:pt>
                <c:pt idx="112">
                  <c:v>32.348439033386136</c:v>
                </c:pt>
                <c:pt idx="113">
                  <c:v>32.683912251478276</c:v>
                </c:pt>
                <c:pt idx="114">
                  <c:v>33.030703313910415</c:v>
                </c:pt>
                <c:pt idx="115">
                  <c:v>33.388683315536774</c:v>
                </c:pt>
                <c:pt idx="116">
                  <c:v>33.757714213423789</c:v>
                </c:pt>
                <c:pt idx="117">
                  <c:v>34.137648513351344</c:v>
                </c:pt>
                <c:pt idx="118">
                  <c:v>34.528328975618329</c:v>
                </c:pt>
                <c:pt idx="119">
                  <c:v>34.929588343430069</c:v>
                </c:pt>
                <c:pt idx="120">
                  <c:v>35.341249097176075</c:v>
                </c:pt>
                <c:pt idx="121">
                  <c:v>35.763123237925043</c:v>
                </c:pt>
                <c:pt idx="122">
                  <c:v>36.195012103439446</c:v>
                </c:pt>
                <c:pt idx="123">
                  <c:v>36.636706219963258</c:v>
                </c:pt>
                <c:pt idx="124">
                  <c:v>37.087985192935392</c:v>
                </c:pt>
                <c:pt idx="125">
                  <c:v>37.548617639662652</c:v>
                </c:pt>
                <c:pt idx="126">
                  <c:v>38.018361166801085</c:v>
                </c:pt>
                <c:pt idx="127">
                  <c:v>38.49696239528604</c:v>
                </c:pt>
                <c:pt idx="128">
                  <c:v>38.984157035094064</c:v>
                </c:pt>
                <c:pt idx="129">
                  <c:v>39.479670011914401</c:v>
                </c:pt>
                <c:pt idx="130">
                  <c:v>39.983215647465833</c:v>
                </c:pt>
                <c:pt idx="131">
                  <c:v>40.494497894815694</c:v>
                </c:pt>
                <c:pt idx="132">
                  <c:v>41.013210629630343</c:v>
                </c:pt>
                <c:pt idx="133">
                  <c:v>41.539037997840857</c:v>
                </c:pt>
                <c:pt idx="134">
                  <c:v>42.071654819717061</c:v>
                </c:pt>
                <c:pt idx="135">
                  <c:v>42.610727049841188</c:v>
                </c:pt>
                <c:pt idx="136">
                  <c:v>43.155912291947359</c:v>
                </c:pt>
                <c:pt idx="137">
                  <c:v>43.706860367058255</c:v>
                </c:pt>
                <c:pt idx="138">
                  <c:v>44.263213932811333</c:v>
                </c:pt>
                <c:pt idx="139">
                  <c:v>44.82460915134142</c:v>
                </c:pt>
                <c:pt idx="140">
                  <c:v>45.390676402557034</c:v>
                </c:pt>
                <c:pt idx="141">
                  <c:v>45.961041039161607</c:v>
                </c:pt>
                <c:pt idx="142">
                  <c:v>46.535324179297092</c:v>
                </c:pt>
                <c:pt idx="143">
                  <c:v>47.113143532260558</c:v>
                </c:pt>
                <c:pt idx="144">
                  <c:v>47.69411425236212</c:v>
                </c:pt>
                <c:pt idx="145">
                  <c:v>48.277849815666841</c:v>
                </c:pt>
                <c:pt idx="146">
                  <c:v>48.863962914079558</c:v>
                </c:pt>
                <c:pt idx="147">
                  <c:v>49.452066361040494</c:v>
                </c:pt>
                <c:pt idx="148">
                  <c:v>50.041774002948657</c:v>
                </c:pt>
                <c:pt idx="149">
                  <c:v>50.632701630360863</c:v>
                </c:pt>
                <c:pt idx="150">
                  <c:v>51.224467883028886</c:v>
                </c:pt>
                <c:pt idx="151">
                  <c:v>51.816695142891803</c:v>
                </c:pt>
                <c:pt idx="152">
                  <c:v>52.409010409303697</c:v>
                </c:pt>
                <c:pt idx="153">
                  <c:v>53.001046150974631</c:v>
                </c:pt>
                <c:pt idx="154">
                  <c:v>53.592441129385911</c:v>
                </c:pt>
                <c:pt idx="155">
                  <c:v>54.182841188769643</c:v>
                </c:pt>
                <c:pt idx="156">
                  <c:v>54.771900008126863</c:v>
                </c:pt>
                <c:pt idx="157">
                  <c:v>55.359279811190071</c:v>
                </c:pt>
                <c:pt idx="158">
                  <c:v>55.944652030706195</c:v>
                </c:pt>
                <c:pt idx="159">
                  <c:v>56.527697923898089</c:v>
                </c:pt>
                <c:pt idx="160">
                  <c:v>57.108109136502513</c:v>
                </c:pt>
                <c:pt idx="161">
                  <c:v>57.685588213287843</c:v>
                </c:pt>
                <c:pt idx="162">
                  <c:v>58.259849053500993</c:v>
                </c:pt>
                <c:pt idx="163">
                  <c:v>58.830617310224447</c:v>
                </c:pt>
                <c:pt idx="164">
                  <c:v>59.397630733128352</c:v>
                </c:pt>
                <c:pt idx="165">
                  <c:v>59.960639454619411</c:v>
                </c:pt>
                <c:pt idx="166">
                  <c:v>60.519406219844576</c:v>
                </c:pt>
                <c:pt idx="167">
                  <c:v>61.073706561470125</c:v>
                </c:pt>
                <c:pt idx="168">
                  <c:v>61.623328920555998</c:v>
                </c:pt>
                <c:pt idx="169">
                  <c:v>62.168074715218026</c:v>
                </c:pt>
                <c:pt idx="170">
                  <c:v>62.707758359110407</c:v>
                </c:pt>
                <c:pt idx="171">
                  <c:v>63.242207232045189</c:v>
                </c:pt>
                <c:pt idx="172">
                  <c:v>63.771261605310627</c:v>
                </c:pt>
                <c:pt idx="173">
                  <c:v>64.294774524456741</c:v>
                </c:pt>
                <c:pt idx="174">
                  <c:v>64.812611652479021</c:v>
                </c:pt>
                <c:pt idx="175">
                  <c:v>65.324651076443331</c:v>
                </c:pt>
                <c:pt idx="176">
                  <c:v>65.830783080680717</c:v>
                </c:pt>
                <c:pt idx="177">
                  <c:v>66.330909889719791</c:v>
                </c:pt>
                <c:pt idx="178">
                  <c:v>66.824945384132704</c:v>
                </c:pt>
                <c:pt idx="179">
                  <c:v>67.312814792447739</c:v>
                </c:pt>
                <c:pt idx="180">
                  <c:v>67.794454362224499</c:v>
                </c:pt>
                <c:pt idx="181">
                  <c:v>68.269811013316371</c:v>
                </c:pt>
                <c:pt idx="182">
                  <c:v>68.738841976236913</c:v>
                </c:pt>
                <c:pt idx="183">
                  <c:v>69.201514418436005</c:v>
                </c:pt>
                <c:pt idx="184">
                  <c:v>69.657805061153553</c:v>
                </c:pt>
                <c:pt idx="185">
                  <c:v>70.107699789370571</c:v>
                </c:pt>
                <c:pt idx="186">
                  <c:v>70.551193257228419</c:v>
                </c:pt>
                <c:pt idx="187">
                  <c:v>70.98828849111743</c:v>
                </c:pt>
                <c:pt idx="188">
                  <c:v>71.418996492477348</c:v>
                </c:pt>
                <c:pt idx="189">
                  <c:v>71.84333584217454</c:v>
                </c:pt>
                <c:pt idx="190">
                  <c:v>72.261332308167368</c:v>
                </c:pt>
                <c:pt idx="191">
                  <c:v>72.673018457988604</c:v>
                </c:pt>
                <c:pt idx="192">
                  <c:v>73.078433277426811</c:v>
                </c:pt>
                <c:pt idx="193">
                  <c:v>73.47762179662017</c:v>
                </c:pt>
                <c:pt idx="194">
                  <c:v>73.870634724635039</c:v>
                </c:pt>
                <c:pt idx="195">
                  <c:v>74.257528093446155</c:v>
                </c:pt>
                <c:pt idx="196">
                  <c:v>74.63836291211031</c:v>
                </c:pt>
                <c:pt idx="197">
                  <c:v>75.013204831786993</c:v>
                </c:pt>
                <c:pt idx="198">
                  <c:v>75.382123822145829</c:v>
                </c:pt>
                <c:pt idx="199">
                  <c:v>75.74519385958348</c:v>
                </c:pt>
                <c:pt idx="200">
                  <c:v>76.102492627576396</c:v>
                </c:pt>
                <c:pt idx="201">
                  <c:v>76.454101229393075</c:v>
                </c:pt>
                <c:pt idx="202">
                  <c:v>76.800103913311219</c:v>
                </c:pt>
                <c:pt idx="203">
                  <c:v>77.140587810402053</c:v>
                </c:pt>
                <c:pt idx="204">
                  <c:v>77.475642684876519</c:v>
                </c:pt>
                <c:pt idx="205">
                  <c:v>77.805360696926201</c:v>
                </c:pt>
                <c:pt idx="206">
                  <c:v>78.129836177934905</c:v>
                </c:pt>
                <c:pt idx="207">
                  <c:v>78.44916541789182</c:v>
                </c:pt>
                <c:pt idx="208">
                  <c:v>78.763446464791485</c:v>
                </c:pt>
                <c:pt idx="209">
                  <c:v>79.072778935775275</c:v>
                </c:pt>
                <c:pt idx="210">
                  <c:v>79.377263839732862</c:v>
                </c:pt>
                <c:pt idx="211">
                  <c:v>79.677003411063708</c:v>
                </c:pt>
                <c:pt idx="212">
                  <c:v>79.972100954272761</c:v>
                </c:pt>
                <c:pt idx="213">
                  <c:v>80.262660699062465</c:v>
                </c:pt>
                <c:pt idx="214">
                  <c:v>80.548787665569236</c:v>
                </c:pt>
                <c:pt idx="215">
                  <c:v>80.830587539384553</c:v>
                </c:pt>
                <c:pt idx="216">
                  <c:v>81.108166555995567</c:v>
                </c:pt>
                <c:pt idx="217">
                  <c:v>81.381631394277292</c:v>
                </c:pt>
                <c:pt idx="218">
                  <c:v>81.651089078669202</c:v>
                </c:pt>
                <c:pt idx="219">
                  <c:v>81.916646889669295</c:v>
                </c:pt>
                <c:pt idx="220">
                  <c:v>82.178412282285535</c:v>
                </c:pt>
                <c:pt idx="221">
                  <c:v>82.436492812087678</c:v>
                </c:pt>
                <c:pt idx="222">
                  <c:v>82.690996068510657</c:v>
                </c:pt>
                <c:pt idx="223">
                  <c:v>82.942029615070226</c:v>
                </c:pt>
                <c:pt idx="224">
                  <c:v>83.189700936157493</c:v>
                </c:pt>
                <c:pt idx="225">
                  <c:v>83.434117390094087</c:v>
                </c:pt>
                <c:pt idx="226">
                  <c:v>83.675386168135574</c:v>
                </c:pt>
                <c:pt idx="227">
                  <c:v>83.913614259125382</c:v>
                </c:pt>
                <c:pt idx="228">
                  <c:v>84.148908419511201</c:v>
                </c:pt>
                <c:pt idx="229">
                  <c:v>84.381375148451525</c:v>
                </c:pt>
                <c:pt idx="230">
                  <c:v>84.611120667745453</c:v>
                </c:pt>
                <c:pt idx="231">
                  <c:v>84.838250906339837</c:v>
                </c:pt>
                <c:pt idx="232">
                  <c:v>85.062871489171783</c:v>
                </c:pt>
                <c:pt idx="233">
                  <c:v>85.285087730124857</c:v>
                </c:pt>
                <c:pt idx="234">
                  <c:v>85.505004628882375</c:v>
                </c:pt>
                <c:pt idx="235">
                  <c:v>85.722726871478756</c:v>
                </c:pt>
                <c:pt idx="236">
                  <c:v>85.938358834359263</c:v>
                </c:pt>
                <c:pt idx="237">
                  <c:v>86.15200459177062</c:v>
                </c:pt>
                <c:pt idx="238">
                  <c:v>86.363767926317621</c:v>
                </c:pt>
                <c:pt idx="239">
                  <c:v>86.573752342530256</c:v>
                </c:pt>
                <c:pt idx="240">
                  <c:v>86.782061083299055</c:v>
                </c:pt>
                <c:pt idx="241">
                  <c:v>86.988797149046803</c:v>
                </c:pt>
                <c:pt idx="242">
                  <c:v>87.194063319513205</c:v>
                </c:pt>
                <c:pt idx="243">
                  <c:v>87.397962178043045</c:v>
                </c:pt>
                <c:pt idx="244">
                  <c:v>87.600596138275151</c:v>
                </c:pt>
                <c:pt idx="245">
                  <c:v>87.802067473141861</c:v>
                </c:pt>
                <c:pt idx="246">
                  <c:v>88.002478346096311</c:v>
                </c:pt>
                <c:pt idx="247">
                  <c:v>88.201930844495493</c:v>
                </c:pt>
                <c:pt idx="248">
                  <c:v>88.400527015076094</c:v>
                </c:pt>
                <c:pt idx="249">
                  <c:v>88.598368901467808</c:v>
                </c:pt>
                <c:pt idx="250">
                  <c:v>88.795558583700029</c:v>
                </c:pt>
                <c:pt idx="251">
                  <c:v>88.992198219663379</c:v>
                </c:pt>
                <c:pt idx="252">
                  <c:v>89.188390088498736</c:v>
                </c:pt>
                <c:pt idx="253">
                  <c:v>89.384236635892222</c:v>
                </c:pt>
                <c:pt idx="254">
                  <c:v>89.579840521266206</c:v>
                </c:pt>
                <c:pt idx="255">
                  <c:v>89.77530466685937</c:v>
                </c:pt>
                <c:pt idx="256">
                  <c:v>89.970732308701955</c:v>
                </c:pt>
                <c:pt idx="257">
                  <c:v>90.166227049497436</c:v>
                </c:pt>
                <c:pt idx="258">
                  <c:v>90.36189291342987</c:v>
                </c:pt>
                <c:pt idx="259">
                  <c:v>90.557834402924897</c:v>
                </c:pt>
                <c:pt idx="260">
                  <c:v>90.75415655739971</c:v>
                </c:pt>
                <c:pt idx="261">
                  <c:v>90.950965014045053</c:v>
                </c:pt>
                <c:pt idx="262">
                  <c:v>91.148366070689747</c:v>
                </c:pt>
                <c:pt idx="263">
                  <c:v>91.34646675080802</c:v>
                </c:pt>
                <c:pt idx="264">
                  <c:v>91.545374870734847</c:v>
                </c:pt>
                <c:pt idx="265">
                  <c:v>91.745199109165227</c:v>
                </c:pt>
                <c:pt idx="266">
                  <c:v>91.946049079019417</c:v>
                </c:pt>
                <c:pt idx="267">
                  <c:v>92.148035401766151</c:v>
                </c:pt>
                <c:pt idx="268">
                  <c:v>92.351269784302474</c:v>
                </c:pt>
                <c:pt idx="269">
                  <c:v>92.555865098497222</c:v>
                </c:pt>
                <c:pt idx="270">
                  <c:v>92.76193546351594</c:v>
                </c:pt>
                <c:pt idx="271">
                  <c:v>92.969596331050028</c:v>
                </c:pt>
                <c:pt idx="272">
                  <c:v>93.178964573584082</c:v>
                </c:pt>
                <c:pt idx="273">
                  <c:v>93.390158575843543</c:v>
                </c:pt>
                <c:pt idx="274">
                  <c:v>93.603298329572993</c:v>
                </c:pt>
                <c:pt idx="275">
                  <c:v>93.81850553180405</c:v>
                </c:pt>
                <c:pt idx="276">
                  <c:v>94.035903686781992</c:v>
                </c:pt>
                <c:pt idx="277">
                  <c:v>94.255618211727111</c:v>
                </c:pt>
                <c:pt idx="278">
                  <c:v>94.477776546616795</c:v>
                </c:pt>
                <c:pt idx="279">
                  <c:v>94.702508268182669</c:v>
                </c:pt>
                <c:pt idx="280">
                  <c:v>94.929945208323602</c:v>
                </c:pt>
                <c:pt idx="281">
                  <c:v>95.160221577146416</c:v>
                </c:pt>
                <c:pt idx="282">
                  <c:v>95.393474090850916</c:v>
                </c:pt>
                <c:pt idx="283">
                  <c:v>95.629842104683675</c:v>
                </c:pt>
                <c:pt idx="284">
                  <c:v>95.86946775119138</c:v>
                </c:pt>
                <c:pt idx="285">
                  <c:v>96.112496084009194</c:v>
                </c:pt>
                <c:pt idx="286">
                  <c:v>96.359075227424285</c:v>
                </c:pt>
                <c:pt idx="287">
                  <c:v>96.609356531956976</c:v>
                </c:pt>
                <c:pt idx="288">
                  <c:v>96.863494736202213</c:v>
                </c:pt>
                <c:pt idx="289">
                  <c:v>97.121648135175036</c:v>
                </c:pt>
                <c:pt idx="290">
                  <c:v>97.383978755398843</c:v>
                </c:pt>
                <c:pt idx="291">
                  <c:v>97.65065253696747</c:v>
                </c:pt>
                <c:pt idx="292">
                  <c:v>97.921839522806664</c:v>
                </c:pt>
                <c:pt idx="293">
                  <c:v>98.197714055343241</c:v>
                </c:pt>
                <c:pt idx="294">
                  <c:v>98.478454980772071</c:v>
                </c:pt>
                <c:pt idx="295">
                  <c:v>98.764245861090714</c:v>
                </c:pt>
                <c:pt idx="296">
                  <c:v>99.055275194036028</c:v>
                </c:pt>
                <c:pt idx="297">
                  <c:v>99.351736641027216</c:v>
                </c:pt>
                <c:pt idx="298">
                  <c:v>99.65382926316417</c:v>
                </c:pt>
                <c:pt idx="299">
                  <c:v>99.961757765285597</c:v>
                </c:pt>
                <c:pt idx="300">
                  <c:v>100.27573274801534</c:v>
                </c:pt>
                <c:pt idx="301">
                  <c:v>100.59597096765093</c:v>
                </c:pt>
                <c:pt idx="302">
                  <c:v>100.92269560365267</c:v>
                </c:pt>
                <c:pt idx="303">
                  <c:v>101.25613653337993</c:v>
                </c:pt>
                <c:pt idx="304">
                  <c:v>101.59653061359238</c:v>
                </c:pt>
                <c:pt idx="305">
                  <c:v>101.94412196807879</c:v>
                </c:pt>
                <c:pt idx="306">
                  <c:v>102.29916228060435</c:v>
                </c:pt>
                <c:pt idx="307">
                  <c:v>102.66191109215448</c:v>
                </c:pt>
                <c:pt idx="308">
                  <c:v>103.03263610122518</c:v>
                </c:pt>
                <c:pt idx="309">
                  <c:v>103.41161346563113</c:v>
                </c:pt>
                <c:pt idx="310">
                  <c:v>103.79912810399156</c:v>
                </c:pt>
                <c:pt idx="311">
                  <c:v>104.1954739946988</c:v>
                </c:pt>
                <c:pt idx="312">
                  <c:v>104.60095446976278</c:v>
                </c:pt>
                <c:pt idx="313">
                  <c:v>105.015882500464</c:v>
                </c:pt>
                <c:pt idx="314">
                  <c:v>105.44058097121953</c:v>
                </c:pt>
                <c:pt idx="315">
                  <c:v>105.87538293747323</c:v>
                </c:pt>
                <c:pt idx="316">
                  <c:v>106.32063186275045</c:v>
                </c:pt>
                <c:pt idx="317">
                  <c:v>106.77668182926664</c:v>
                </c:pt>
                <c:pt idx="318">
                  <c:v>107.24389771563528</c:v>
                </c:pt>
                <c:pt idx="319">
                  <c:v>107.72265533428218</c:v>
                </c:pt>
                <c:pt idx="320">
                  <c:v>108.2133415201305</c:v>
                </c:pt>
                <c:pt idx="321">
                  <c:v>108.71635416096774</c:v>
                </c:pt>
                <c:pt idx="322">
                  <c:v>109.23210215863566</c:v>
                </c:pt>
                <c:pt idx="323">
                  <c:v>109.76100530879556</c:v>
                </c:pt>
                <c:pt idx="324">
                  <c:v>110.30349408551412</c:v>
                </c:pt>
                <c:pt idx="325">
                  <c:v>110.86000931527602</c:v>
                </c:pt>
                <c:pt idx="326">
                  <c:v>111.43100172328801</c:v>
                </c:pt>
                <c:pt idx="327">
                  <c:v>112.01693133308162</c:v>
                </c:pt>
                <c:pt idx="328">
                  <c:v>112.61826669847046</c:v>
                </c:pt>
                <c:pt idx="329">
                  <c:v>113.23548394490767</c:v>
                </c:pt>
                <c:pt idx="330">
                  <c:v>113.86906559522777</c:v>
                </c:pt>
                <c:pt idx="331">
                  <c:v>114.51949915272293</c:v>
                </c:pt>
                <c:pt idx="332">
                  <c:v>115.18727541250939</c:v>
                </c:pt>
                <c:pt idx="333">
                  <c:v>115.8728864703173</c:v>
                </c:pt>
                <c:pt idx="334">
                  <c:v>116.57682339620794</c:v>
                </c:pt>
                <c:pt idx="335">
                  <c:v>117.29957353947958</c:v>
                </c:pt>
                <c:pt idx="336">
                  <c:v>118.04161743022601</c:v>
                </c:pt>
                <c:pt idx="337">
                  <c:v>118.80342524289792</c:v>
                </c:pt>
                <c:pt idx="338">
                  <c:v>119.58545278790056</c:v>
                </c:pt>
                <c:pt idx="339">
                  <c:v>120.38813699903383</c:v>
                </c:pt>
                <c:pt idx="340">
                  <c:v>121.21189088762624</c:v>
                </c:pt>
                <c:pt idx="341">
                  <c:v>122.05709793882561</c:v>
                </c:pt>
                <c:pt idx="342">
                  <c:v>122.92410593196114</c:v>
                </c:pt>
                <c:pt idx="343">
                  <c:v>123.81322017546586</c:v>
                </c:pt>
                <c:pt idx="344">
                  <c:v>124.72469615781174</c:v>
                </c:pt>
                <c:pt idx="345">
                  <c:v>125.65873162953295</c:v>
                </c:pt>
                <c:pt idx="346">
                  <c:v>126.61545814785042</c:v>
                </c:pt>
                <c:pt idx="347">
                  <c:v>127.59493213478933</c:v>
                </c:pt>
                <c:pt idx="348">
                  <c:v>128.59712552201546</c:v>
                </c:pt>
                <c:pt idx="349">
                  <c:v>129.62191608063804</c:v>
                </c:pt>
                <c:pt idx="350">
                  <c:v>130.66907756168561</c:v>
                </c:pt>
                <c:pt idx="351">
                  <c:v>131.73826980212255</c:v>
                </c:pt>
                <c:pt idx="352">
                  <c:v>132.82902898131098</c:v>
                </c:pt>
                <c:pt idx="353">
                  <c:v>133.94075824251001</c:v>
                </c:pt>
                <c:pt idx="354">
                  <c:v>135.07271892184454</c:v>
                </c:pt>
                <c:pt idx="355">
                  <c:v>136.22402265139169</c:v>
                </c:pt>
                <c:pt idx="356">
                  <c:v>137.39362462161839</c:v>
                </c:pt>
                <c:pt idx="357">
                  <c:v>138.58031829920625</c:v>
                </c:pt>
                <c:pt idx="358">
                  <c:v>139.78273189717746</c:v>
                </c:pt>
                <c:pt idx="359">
                  <c:v>140.99932688322522</c:v>
                </c:pt>
                <c:pt idx="360">
                  <c:v>142.22839878762528</c:v>
                </c:pt>
                <c:pt idx="361">
                  <c:v>143.46808053305728</c:v>
                </c:pt>
                <c:pt idx="362">
                  <c:v>144.71634845486571</c:v>
                </c:pt>
                <c:pt idx="363">
                  <c:v>145.9710311124845</c:v>
                </c:pt>
                <c:pt idx="364">
                  <c:v>147.22982091277152</c:v>
                </c:pt>
                <c:pt idx="365">
                  <c:v>148.49028847681083</c:v>
                </c:pt>
                <c:pt idx="366">
                  <c:v>149.74989958732201</c:v>
                </c:pt>
                <c:pt idx="367">
                  <c:v>151.00603445896274</c:v>
                </c:pt>
                <c:pt idx="368">
                  <c:v>152.25600898390616</c:v>
                </c:pt>
                <c:pt idx="369">
                  <c:v>153.4970975254646</c:v>
                </c:pt>
                <c:pt idx="370">
                  <c:v>154.72655676838778</c:v>
                </c:pt>
                <c:pt idx="371">
                  <c:v>155.94165008995907</c:v>
                </c:pt>
                <c:pt idx="372">
                  <c:v>157.13967189422746</c:v>
                </c:pt>
                <c:pt idx="373">
                  <c:v>158.31797135412322</c:v>
                </c:pt>
                <c:pt idx="374">
                  <c:v>159.47397503264821</c:v>
                </c:pt>
                <c:pt idx="375">
                  <c:v>160.60520790296576</c:v>
                </c:pt>
                <c:pt idx="376">
                  <c:v>161.70931235473202</c:v>
                </c:pt>
                <c:pt idx="377">
                  <c:v>162.78406485594621</c:v>
                </c:pt>
                <c:pt idx="378">
                  <c:v>163.82739003077842</c:v>
                </c:pt>
                <c:pt idx="379">
                  <c:v>164.83737200879</c:v>
                </c:pt>
                <c:pt idx="380">
                  <c:v>165.81226299445325</c:v>
                </c:pt>
                <c:pt idx="381">
                  <c:v>166.7504890932434</c:v>
                </c:pt>
                <c:pt idx="382">
                  <c:v>167.65065350802121</c:v>
                </c:pt>
                <c:pt idx="383">
                  <c:v>168.51153728421286</c:v>
                </c:pt>
                <c:pt idx="384">
                  <c:v>169.3320978328621</c:v>
                </c:pt>
                <c:pt idx="385">
                  <c:v>170.11146549637925</c:v>
                </c:pt>
                <c:pt idx="386">
                  <c:v>170.84893844322548</c:v>
                </c:pt>
                <c:pt idx="387">
                  <c:v>171.54397618593794</c:v>
                </c:pt>
                <c:pt idx="388">
                  <c:v>172.19619201356343</c:v>
                </c:pt>
                <c:pt idx="389">
                  <c:v>172.80534461676874</c:v>
                </c:pt>
                <c:pt idx="390">
                  <c:v>173.37132916373494</c:v>
                </c:pt>
                <c:pt idx="391">
                  <c:v>173.89416805961744</c:v>
                </c:pt>
                <c:pt idx="392">
                  <c:v>174.37400159378561</c:v>
                </c:pt>
                <c:pt idx="393">
                  <c:v>174.81107864900048</c:v>
                </c:pt>
                <c:pt idx="394">
                  <c:v>175.20574761656971</c:v>
                </c:pt>
                <c:pt idx="395">
                  <c:v>175.55844763250278</c:v>
                </c:pt>
                <c:pt idx="396">
                  <c:v>175.86970022258114</c:v>
                </c:pt>
                <c:pt idx="397">
                  <c:v>176.14010141964866</c:v>
                </c:pt>
                <c:pt idx="398">
                  <c:v>176.37031439467862</c:v>
                </c:pt>
                <c:pt idx="399">
                  <c:v>176.56106262434503</c:v>
                </c:pt>
                <c:pt idx="400">
                  <c:v>176.71312360203302</c:v>
                </c:pt>
                <c:pt idx="401">
                  <c:v>176.82732308621107</c:v>
                </c:pt>
                <c:pt idx="402">
                  <c:v>176.90452986975376</c:v>
                </c:pt>
                <c:pt idx="403">
                  <c:v>176.94565104584569</c:v>
                </c:pt>
                <c:pt idx="404">
                  <c:v>176.95162774024584</c:v>
                </c:pt>
                <c:pt idx="405">
                  <c:v>176.92343127569089</c:v>
                </c:pt>
                <c:pt idx="406">
                  <c:v>176.86205973173512</c:v>
                </c:pt>
                <c:pt idx="407">
                  <c:v>176.76853486216544</c:v>
                </c:pt>
                <c:pt idx="408">
                  <c:v>176.64389933200749</c:v>
                </c:pt>
                <c:pt idx="409">
                  <c:v>176.48921423685599</c:v>
                </c:pt>
                <c:pt idx="410">
                  <c:v>176.30555686863374</c:v>
                </c:pt>
                <c:pt idx="411">
                  <c:v>176.09401869375012</c:v>
                </c:pt>
                <c:pt idx="412">
                  <c:v>175.85570351183918</c:v>
                </c:pt>
                <c:pt idx="413">
                  <c:v>175.59172576570592</c:v>
                </c:pt>
                <c:pt idx="414">
                  <c:v>175.30320897571792</c:v>
                </c:pt>
                <c:pt idx="415">
                  <c:v>174.99128427453402</c:v>
                </c:pt>
                <c:pt idx="416">
                  <c:v>174.65708902073291</c:v>
                </c:pt>
                <c:pt idx="417">
                  <c:v>174.30176547254413</c:v>
                </c:pt>
                <c:pt idx="418">
                  <c:v>173.92645950541441</c:v>
                </c:pt>
                <c:pt idx="419">
                  <c:v>173.53231935961131</c:v>
                </c:pt>
                <c:pt idx="420">
                  <c:v>173.12049440634968</c:v>
                </c:pt>
                <c:pt idx="421">
                  <c:v>172.69213392313256</c:v>
                </c:pt>
                <c:pt idx="422">
                  <c:v>172.24838587098461</c:v>
                </c:pt>
                <c:pt idx="423">
                  <c:v>171.79039566813842</c:v>
                </c:pt>
                <c:pt idx="424">
                  <c:v>171.31930495642999</c:v>
                </c:pt>
                <c:pt idx="425">
                  <c:v>170.83625035818199</c:v>
                </c:pt>
                <c:pt idx="426">
                  <c:v>170.34236222274987</c:v>
                </c:pt>
                <c:pt idx="427">
                  <c:v>169.83876336311181</c:v>
                </c:pt>
                <c:pt idx="428">
                  <c:v>169.32656778394968</c:v>
                </c:pt>
                <c:pt idx="429">
                  <c:v>168.80687940358123</c:v>
                </c:pt>
                <c:pt idx="430">
                  <c:v>168.28079077289084</c:v>
                </c:pt>
                <c:pt idx="431">
                  <c:v>167.74938179501291</c:v>
                </c:pt>
                <c:pt idx="432">
                  <c:v>167.21371845005913</c:v>
                </c:pt>
                <c:pt idx="433">
                  <c:v>166.67485152952679</c:v>
                </c:pt>
                <c:pt idx="434">
                  <c:v>166.1338153853159</c:v>
                </c:pt>
                <c:pt idx="435">
                  <c:v>165.59162669842036</c:v>
                </c:pt>
                <c:pt idx="436">
                  <c:v>165.04928327241501</c:v>
                </c:pt>
                <c:pt idx="437">
                  <c:v>164.5077628568142</c:v>
                </c:pt>
                <c:pt idx="438">
                  <c:v>163.96802200526028</c:v>
                </c:pt>
                <c:pt idx="439">
                  <c:v>163.43099497327609</c:v>
                </c:pt>
                <c:pt idx="440">
                  <c:v>162.89759266006533</c:v>
                </c:pt>
                <c:pt idx="441">
                  <c:v>162.368701598494</c:v>
                </c:pt>
                <c:pt idx="442">
                  <c:v>161.84518299700343</c:v>
                </c:pt>
                <c:pt idx="443">
                  <c:v>161.32787183679952</c:v>
                </c:pt>
                <c:pt idx="444">
                  <c:v>160.81757602717403</c:v>
                </c:pt>
                <c:pt idx="445">
                  <c:v>160.31507562136136</c:v>
                </c:pt>
                <c:pt idx="446">
                  <c:v>159.82112209483043</c:v>
                </c:pt>
                <c:pt idx="447">
                  <c:v>159.3364376874033</c:v>
                </c:pt>
                <c:pt idx="448">
                  <c:v>158.86171481011431</c:v>
                </c:pt>
                <c:pt idx="449">
                  <c:v>158.3976155172268</c:v>
                </c:pt>
                <c:pt idx="450">
                  <c:v>157.94477104337236</c:v>
                </c:pt>
                <c:pt idx="451">
                  <c:v>157.50378140532544</c:v>
                </c:pt>
                <c:pt idx="452">
                  <c:v>157.07521506754892</c:v>
                </c:pt>
                <c:pt idx="453">
                  <c:v>156.65960867025234</c:v>
                </c:pt>
                <c:pt idx="454">
                  <c:v>156.25746681841147</c:v>
                </c:pt>
                <c:pt idx="455">
                  <c:v>155.86926192990941</c:v>
                </c:pt>
                <c:pt idx="456">
                  <c:v>155.49543414074628</c:v>
                </c:pt>
                <c:pt idx="457">
                  <c:v>155.136391265084</c:v>
                </c:pt>
                <c:pt idx="458">
                  <c:v>154.7925088077958</c:v>
                </c:pt>
                <c:pt idx="459">
                  <c:v>154.46413002710725</c:v>
                </c:pt>
                <c:pt idx="460">
                  <c:v>154.15156604491077</c:v>
                </c:pt>
                <c:pt idx="461">
                  <c:v>153.85509600237768</c:v>
                </c:pt>
                <c:pt idx="462">
                  <c:v>153.57496725856979</c:v>
                </c:pt>
                <c:pt idx="463">
                  <c:v>153.31139562987391</c:v>
                </c:pt>
                <c:pt idx="464">
                  <c:v>153.06456566826</c:v>
                </c:pt>
                <c:pt idx="465">
                  <c:v>152.8346309765422</c:v>
                </c:pt>
                <c:pt idx="466">
                  <c:v>152.62171455905352</c:v>
                </c:pt>
                <c:pt idx="467">
                  <c:v>152.42590920638276</c:v>
                </c:pt>
                <c:pt idx="468">
                  <c:v>152.24727791307842</c:v>
                </c:pt>
                <c:pt idx="469">
                  <c:v>152.08585432747955</c:v>
                </c:pt>
                <c:pt idx="470">
                  <c:v>151.94164323309505</c:v>
                </c:pt>
                <c:pt idx="471">
                  <c:v>151.81462106120674</c:v>
                </c:pt>
                <c:pt idx="472">
                  <c:v>151.70473643460332</c:v>
                </c:pt>
                <c:pt idx="473">
                  <c:v>151.61191074256516</c:v>
                </c:pt>
                <c:pt idx="474">
                  <c:v>151.53603874741441</c:v>
                </c:pt>
                <c:pt idx="475">
                  <c:v>151.47698922308706</c:v>
                </c:pt>
                <c:pt idx="476">
                  <c:v>151.43460562630838</c:v>
                </c:pt>
                <c:pt idx="477">
                  <c:v>151.40870680101727</c:v>
                </c:pt>
                <c:pt idx="478">
                  <c:v>151.39908771671608</c:v>
                </c:pt>
                <c:pt idx="479">
                  <c:v>151.40552024138955</c:v>
                </c:pt>
                <c:pt idx="480">
                  <c:v>151.42775394958267</c:v>
                </c:pt>
                <c:pt idx="481">
                  <c:v>151.4655169660702</c:v>
                </c:pt>
                <c:pt idx="482">
                  <c:v>151.51851684541239</c:v>
                </c:pt>
                <c:pt idx="483">
                  <c:v>151.58644148743343</c:v>
                </c:pt>
                <c:pt idx="484">
                  <c:v>151.66896008841869</c:v>
                </c:pt>
                <c:pt idx="485">
                  <c:v>151.76572412749081</c:v>
                </c:pt>
                <c:pt idx="486">
                  <c:v>151.87636838730049</c:v>
                </c:pt>
                <c:pt idx="487">
                  <c:v>152.0005120077661</c:v>
                </c:pt>
                <c:pt idx="488">
                  <c:v>152.13775957121959</c:v>
                </c:pt>
                <c:pt idx="489">
                  <c:v>152.28770221687452</c:v>
                </c:pt>
                <c:pt idx="490">
                  <c:v>152.44991878212736</c:v>
                </c:pt>
                <c:pt idx="491">
                  <c:v>152.62397696776517</c:v>
                </c:pt>
                <c:pt idx="492">
                  <c:v>152.80943452374552</c:v>
                </c:pt>
                <c:pt idx="493">
                  <c:v>153.00584045181807</c:v>
                </c:pt>
                <c:pt idx="494">
                  <c:v>153.2127362208887</c:v>
                </c:pt>
                <c:pt idx="495">
                  <c:v>153.42965699069478</c:v>
                </c:pt>
                <c:pt idx="496">
                  <c:v>153.65613283907047</c:v>
                </c:pt>
                <c:pt idx="497">
                  <c:v>153.89168998784913</c:v>
                </c:pt>
                <c:pt idx="498">
                  <c:v>154.13585202225252</c:v>
                </c:pt>
                <c:pt idx="499">
                  <c:v>154.38814109851293</c:v>
                </c:pt>
                <c:pt idx="500">
                  <c:v>154.64807913440038</c:v>
                </c:pt>
                <c:pt idx="501">
                  <c:v>154.91518897734227</c:v>
                </c:pt>
                <c:pt idx="502">
                  <c:v>155.18899554489838</c:v>
                </c:pt>
                <c:pt idx="503">
                  <c:v>155.46902693248978</c:v>
                </c:pt>
                <c:pt idx="504">
                  <c:v>155.75481548348534</c:v>
                </c:pt>
                <c:pt idx="505">
                  <c:v>156.04589881701847</c:v>
                </c:pt>
                <c:pt idx="506">
                  <c:v>156.34182080921795</c:v>
                </c:pt>
                <c:pt idx="507">
                  <c:v>156.64213252391656</c:v>
                </c:pt>
                <c:pt idx="508">
                  <c:v>156.94639308930567</c:v>
                </c:pt>
                <c:pt idx="509">
                  <c:v>157.25417051746001</c:v>
                </c:pt>
                <c:pt idx="510">
                  <c:v>157.56504246413041</c:v>
                </c:pt>
                <c:pt idx="511">
                  <c:v>157.87859692670605</c:v>
                </c:pt>
                <c:pt idx="512">
                  <c:v>158.1944328787535</c:v>
                </c:pt>
                <c:pt idx="513">
                  <c:v>158.51216084005486</c:v>
                </c:pt>
                <c:pt idx="514">
                  <c:v>158.83140338158577</c:v>
                </c:pt>
                <c:pt idx="515">
                  <c:v>159.15179556536353</c:v>
                </c:pt>
                <c:pt idx="516">
                  <c:v>159.47298531958768</c:v>
                </c:pt>
                <c:pt idx="517">
                  <c:v>159.79463374994668</c:v>
                </c:pt>
                <c:pt idx="518">
                  <c:v>160.11641538839979</c:v>
                </c:pt>
                <c:pt idx="519">
                  <c:v>160.43801838113254</c:v>
                </c:pt>
                <c:pt idx="520">
                  <c:v>160.75914461774985</c:v>
                </c:pt>
                <c:pt idx="521">
                  <c:v>161.07950980407966</c:v>
                </c:pt>
                <c:pt idx="522">
                  <c:v>161.39884348124804</c:v>
                </c:pt>
                <c:pt idx="523">
                  <c:v>161.71688899390804</c:v>
                </c:pt>
                <c:pt idx="524">
                  <c:v>162.03340341070748</c:v>
                </c:pt>
                <c:pt idx="525">
                  <c:v>162.34815740021818</c:v>
                </c:pt>
                <c:pt idx="526">
                  <c:v>162.66093506566668</c:v>
                </c:pt>
                <c:pt idx="527">
                  <c:v>162.9715337418651</c:v>
                </c:pt>
                <c:pt idx="528">
                  <c:v>163.27976375777982</c:v>
                </c:pt>
                <c:pt idx="529">
                  <c:v>163.58544816816695</c:v>
                </c:pt>
                <c:pt idx="530">
                  <c:v>163.88842245767114</c:v>
                </c:pt>
                <c:pt idx="531">
                  <c:v>164.18853422071854</c:v>
                </c:pt>
                <c:pt idx="532">
                  <c:v>164.48564282044995</c:v>
                </c:pt>
                <c:pt idx="533">
                  <c:v>164.77961902982753</c:v>
                </c:pt>
                <c:pt idx="534">
                  <c:v>165.07034465792</c:v>
                </c:pt>
                <c:pt idx="535">
                  <c:v>165.35771216422842</c:v>
                </c:pt>
                <c:pt idx="536">
                  <c:v>165.64162426375808</c:v>
                </c:pt>
                <c:pt idx="537">
                  <c:v>165.9219935253798</c:v>
                </c:pt>
                <c:pt idx="538">
                  <c:v>166.19874196584584</c:v>
                </c:pt>
                <c:pt idx="539">
                  <c:v>166.4718006416602</c:v>
                </c:pt>
                <c:pt idx="540">
                  <c:v>166.74110924081654</c:v>
                </c:pt>
                <c:pt idx="541">
                  <c:v>167.00661567624817</c:v>
                </c:pt>
              </c:numCache>
            </c:numRef>
          </c:yVal>
          <c:smooth val="1"/>
          <c:extLst>
            <c:ext xmlns:c16="http://schemas.microsoft.com/office/drawing/2014/chart" uri="{C3380CC4-5D6E-409C-BE32-E72D297353CC}">
              <c16:uniqueId val="{0000000B-2470-421C-8EF3-DF4BAC2DF802}"/>
            </c:ext>
          </c:extLst>
        </c:ser>
        <c:dLbls>
          <c:showLegendKey val="0"/>
          <c:showVal val="0"/>
          <c:showCatName val="0"/>
          <c:showSerName val="0"/>
          <c:showPercent val="0"/>
          <c:showBubbleSize val="0"/>
        </c:dLbls>
        <c:axId val="144838016"/>
        <c:axId val="144836096"/>
      </c:scatterChart>
      <c:valAx>
        <c:axId val="144369152"/>
        <c:scaling>
          <c:logBase val="10"/>
          <c:orientation val="minMax"/>
          <c:max val="2000000"/>
          <c:min val="1"/>
        </c:scaling>
        <c:delete val="0"/>
        <c:axPos val="b"/>
        <c:majorGridlines/>
        <c:minorGridlines/>
        <c:title>
          <c:tx>
            <c:rich>
              <a:bodyPr/>
              <a:lstStyle/>
              <a:p>
                <a:pPr>
                  <a:defRPr/>
                </a:pPr>
                <a:r>
                  <a:rPr lang="en-US"/>
                  <a:t>Frequency</a:t>
                </a:r>
                <a:r>
                  <a:rPr lang="en-US" baseline="0"/>
                  <a:t> (Hz)</a:t>
                </a:r>
                <a:endParaRPr lang="en-US"/>
              </a:p>
            </c:rich>
          </c:tx>
          <c:overlay val="0"/>
        </c:title>
        <c:numFmt formatCode="0" sourceLinked="0"/>
        <c:majorTickMark val="out"/>
        <c:minorTickMark val="none"/>
        <c:tickLblPos val="low"/>
        <c:txPr>
          <a:bodyPr/>
          <a:lstStyle/>
          <a:p>
            <a:pPr>
              <a:defRPr b="1"/>
            </a:pPr>
            <a:endParaRPr lang="en-US"/>
          </a:p>
        </c:txPr>
        <c:crossAx val="144371072"/>
        <c:crosses val="autoZero"/>
        <c:crossBetween val="midCat"/>
      </c:valAx>
      <c:valAx>
        <c:axId val="144371072"/>
        <c:scaling>
          <c:orientation val="minMax"/>
          <c:max val="60"/>
          <c:min val="-60"/>
        </c:scaling>
        <c:delete val="0"/>
        <c:axPos val="l"/>
        <c:majorGridlines/>
        <c:minorGridlines/>
        <c:title>
          <c:tx>
            <c:rich>
              <a:bodyPr rot="-5400000" vert="horz"/>
              <a:lstStyle/>
              <a:p>
                <a:pPr>
                  <a:defRPr/>
                </a:pPr>
                <a:r>
                  <a:rPr lang="en-US">
                    <a:solidFill>
                      <a:srgbClr val="FF0000"/>
                    </a:solidFill>
                  </a:rPr>
                  <a:t>Gain</a:t>
                </a:r>
                <a:r>
                  <a:rPr lang="en-US" baseline="0">
                    <a:solidFill>
                      <a:srgbClr val="FF0000"/>
                    </a:solidFill>
                  </a:rPr>
                  <a:t> (dB)</a:t>
                </a:r>
                <a:endParaRPr lang="en-US">
                  <a:solidFill>
                    <a:srgbClr val="FF0000"/>
                  </a:solidFill>
                </a:endParaRPr>
              </a:p>
            </c:rich>
          </c:tx>
          <c:overlay val="0"/>
        </c:title>
        <c:numFmt formatCode="General" sourceLinked="0"/>
        <c:majorTickMark val="out"/>
        <c:minorTickMark val="none"/>
        <c:tickLblPos val="nextTo"/>
        <c:txPr>
          <a:bodyPr/>
          <a:lstStyle/>
          <a:p>
            <a:pPr>
              <a:defRPr b="1">
                <a:solidFill>
                  <a:srgbClr val="FF0000"/>
                </a:solidFill>
              </a:defRPr>
            </a:pPr>
            <a:endParaRPr lang="en-US"/>
          </a:p>
        </c:txPr>
        <c:crossAx val="144369152"/>
        <c:crosses val="autoZero"/>
        <c:crossBetween val="midCat"/>
        <c:majorUnit val="20"/>
        <c:minorUnit val="10"/>
      </c:valAx>
      <c:valAx>
        <c:axId val="144836096"/>
        <c:scaling>
          <c:orientation val="minMax"/>
          <c:max val="180"/>
          <c:min val="-180"/>
        </c:scaling>
        <c:delete val="0"/>
        <c:axPos val="r"/>
        <c:title>
          <c:tx>
            <c:rich>
              <a:bodyPr rot="-5400000" vert="horz"/>
              <a:lstStyle/>
              <a:p>
                <a:pPr>
                  <a:defRPr/>
                </a:pPr>
                <a:r>
                  <a:rPr lang="en-US"/>
                  <a:t>Phase (deg)</a:t>
                </a:r>
              </a:p>
            </c:rich>
          </c:tx>
          <c:overlay val="0"/>
        </c:title>
        <c:numFmt formatCode="General" sourceLinked="1"/>
        <c:majorTickMark val="out"/>
        <c:minorTickMark val="none"/>
        <c:tickLblPos val="nextTo"/>
        <c:txPr>
          <a:bodyPr/>
          <a:lstStyle/>
          <a:p>
            <a:pPr>
              <a:defRPr b="1">
                <a:solidFill>
                  <a:schemeClr val="tx1">
                    <a:lumMod val="95000"/>
                    <a:lumOff val="5000"/>
                  </a:schemeClr>
                </a:solidFill>
              </a:defRPr>
            </a:pPr>
            <a:endParaRPr lang="en-US"/>
          </a:p>
        </c:txPr>
        <c:crossAx val="144838016"/>
        <c:crosses val="max"/>
        <c:crossBetween val="midCat"/>
        <c:majorUnit val="90"/>
        <c:minorUnit val="45"/>
      </c:valAx>
      <c:valAx>
        <c:axId val="144838016"/>
        <c:scaling>
          <c:logBase val="10"/>
          <c:orientation val="minMax"/>
        </c:scaling>
        <c:delete val="1"/>
        <c:axPos val="b"/>
        <c:numFmt formatCode="0.00" sourceLinked="1"/>
        <c:majorTickMark val="out"/>
        <c:minorTickMark val="none"/>
        <c:tickLblPos val="nextTo"/>
        <c:crossAx val="144836096"/>
        <c:crosses val="autoZero"/>
        <c:crossBetween val="midCat"/>
      </c:valAx>
    </c:plotArea>
    <c:legend>
      <c:legendPos val="r"/>
      <c:legendEntry>
        <c:idx val="1"/>
        <c:delete val="1"/>
      </c:legendEntry>
      <c:legendEntry>
        <c:idx val="2"/>
        <c:delete val="1"/>
      </c:legendEntry>
      <c:legendEntry>
        <c:idx val="3"/>
        <c:delete val="1"/>
      </c:legendEntry>
      <c:legendEntry>
        <c:idx val="4"/>
        <c:delete val="1"/>
      </c:legendEntry>
      <c:legendEntry>
        <c:idx val="5"/>
        <c:delete val="1"/>
      </c:legendEntry>
      <c:layout>
        <c:manualLayout>
          <c:xMode val="edge"/>
          <c:yMode val="edge"/>
          <c:x val="0.61392536510371165"/>
          <c:y val="7.0381012799940294E-3"/>
          <c:w val="0.28497500584606611"/>
          <c:h val="7.9643865606846526E-2"/>
        </c:manualLayout>
      </c:layout>
      <c:overlay val="1"/>
    </c:legend>
    <c:plotVisOnly val="1"/>
    <c:dispBlanksAs val="gap"/>
    <c:showDLblsOverMax val="0"/>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l">
              <a:defRPr sz="2400"/>
            </a:pPr>
            <a:r>
              <a:rPr lang="el-GR" sz="2400"/>
              <a:t>η</a:t>
            </a:r>
            <a:endParaRPr lang="en-US" sz="2400"/>
          </a:p>
        </c:rich>
      </c:tx>
      <c:layout>
        <c:manualLayout>
          <c:xMode val="edge"/>
          <c:yMode val="edge"/>
          <c:x val="9.2321838295158831E-2"/>
          <c:y val="6.7069081153588199E-3"/>
        </c:manualLayout>
      </c:layout>
      <c:overlay val="1"/>
    </c:title>
    <c:autoTitleDeleted val="0"/>
    <c:plotArea>
      <c:layout>
        <c:manualLayout>
          <c:layoutTarget val="inner"/>
          <c:xMode val="edge"/>
          <c:yMode val="edge"/>
          <c:x val="9.4343575816580413E-2"/>
          <c:y val="0.12777504924560487"/>
          <c:w val="0.82170691922728745"/>
          <c:h val="0.74982770867653059"/>
        </c:manualLayout>
      </c:layout>
      <c:scatterChart>
        <c:scatterStyle val="smoothMarker"/>
        <c:varyColors val="0"/>
        <c:ser>
          <c:idx val="0"/>
          <c:order val="0"/>
          <c:tx>
            <c:v>Eff</c:v>
          </c:tx>
          <c:spPr>
            <a:ln>
              <a:solidFill>
                <a:srgbClr val="FF0000"/>
              </a:solidFill>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Eff_vs_IOUT!$AT$7:$AT$157</c:f>
              <c:numCache>
                <c:formatCode>General</c:formatCode>
                <c:ptCount val="151"/>
                <c:pt idx="0">
                  <c:v>0</c:v>
                </c:pt>
                <c:pt idx="1">
                  <c:v>3.4666638181457441</c:v>
                </c:pt>
                <c:pt idx="2">
                  <c:v>6.6881554618323982</c:v>
                </c:pt>
                <c:pt idx="3">
                  <c:v>9.6889501824328299</c:v>
                </c:pt>
                <c:pt idx="4">
                  <c:v>12.490526598650794</c:v>
                </c:pt>
                <c:pt idx="5">
                  <c:v>15.111733111953827</c:v>
                </c:pt>
                <c:pt idx="6">
                  <c:v>17.569153961155052</c:v>
                </c:pt>
                <c:pt idx="7">
                  <c:v>19.87742783063047</c:v>
                </c:pt>
                <c:pt idx="8">
                  <c:v>22.049518701244818</c:v>
                </c:pt>
                <c:pt idx="9">
                  <c:v>24.096944821703229</c:v>
                </c:pt>
                <c:pt idx="10">
                  <c:v>26.029972253170897</c:v>
                </c:pt>
                <c:pt idx="11">
                  <c:v>27.857778794084858</c:v>
                </c:pt>
                <c:pt idx="12">
                  <c:v>29.588593220138659</c:v>
                </c:pt>
                <c:pt idx="13">
                  <c:v>31.229813945496666</c:v>
                </c:pt>
                <c:pt idx="14">
                  <c:v>32.788110494177673</c:v>
                </c:pt>
                <c:pt idx="15">
                  <c:v>34.269510572158083</c:v>
                </c:pt>
                <c:pt idx="16">
                  <c:v>35.67947503905571</c:v>
                </c:pt>
                <c:pt idx="17">
                  <c:v>37.022962676798429</c:v>
                </c:pt>
                <c:pt idx="18">
                  <c:v>38.304486325521317</c:v>
                </c:pt>
                <c:pt idx="19">
                  <c:v>39.528161690199077</c:v>
                </c:pt>
                <c:pt idx="20">
                  <c:v>40.697749903661432</c:v>
                </c:pt>
                <c:pt idx="21">
                  <c:v>41.816694753252598</c:v>
                </c:pt>
                <c:pt idx="22">
                  <c:v>42.888155331898432</c:v>
                </c:pt>
                <c:pt idx="23">
                  <c:v>43.915034753653885</c:v>
                </c:pt>
                <c:pt idx="24">
                  <c:v>44.900005474044299</c:v>
                </c:pt>
                <c:pt idx="25">
                  <c:v>45.845531672782052</c:v>
                </c:pt>
                <c:pt idx="26">
                  <c:v>46.753889087599539</c:v>
                </c:pt>
                <c:pt idx="27">
                  <c:v>47.627182630470337</c:v>
                </c:pt>
                <c:pt idx="28">
                  <c:v>48.467362069357996</c:v>
                </c:pt>
                <c:pt idx="29">
                  <c:v>49.276236018192613</c:v>
                </c:pt>
                <c:pt idx="30">
                  <c:v>50.055484443693622</c:v>
                </c:pt>
                <c:pt idx="31">
                  <c:v>50.806669868848076</c:v>
                </c:pt>
                <c:pt idx="32">
                  <c:v>51.531247428429609</c:v>
                </c:pt>
                <c:pt idx="33">
                  <c:v>52.230573911177693</c:v>
                </c:pt>
                <c:pt idx="34">
                  <c:v>52.90591590555411</c:v>
                </c:pt>
                <c:pt idx="35">
                  <c:v>53.558457150859596</c:v>
                </c:pt>
                <c:pt idx="36">
                  <c:v>54.189305182524649</c:v>
                </c:pt>
                <c:pt idx="37">
                  <c:v>54.799497349243751</c:v>
                </c:pt>
                <c:pt idx="38">
                  <c:v>55.39000627002445</c:v>
                </c:pt>
                <c:pt idx="39">
                  <c:v>55.961744790935498</c:v>
                </c:pt>
                <c:pt idx="40">
                  <c:v>56.515570494167612</c:v>
                </c:pt>
                <c:pt idx="41">
                  <c:v>57.052289805800392</c:v>
                </c:pt>
                <c:pt idx="42">
                  <c:v>57.572661743263879</c:v>
                </c:pt>
                <c:pt idx="43">
                  <c:v>58.077401338774322</c:v>
                </c:pt>
                <c:pt idx="44">
                  <c:v>58.567182770914464</c:v>
                </c:pt>
                <c:pt idx="45">
                  <c:v>59.042642232934462</c:v>
                </c:pt>
                <c:pt idx="46">
                  <c:v>59.504380563200897</c:v>
                </c:pt>
                <c:pt idx="47">
                  <c:v>59.952965660456528</c:v>
                </c:pt>
                <c:pt idx="48">
                  <c:v>60.38893470412183</c:v>
                </c:pt>
                <c:pt idx="49">
                  <c:v>60.812796197727991</c:v>
                </c:pt>
                <c:pt idx="50">
                  <c:v>61.225031851679447</c:v>
                </c:pt>
                <c:pt idx="51">
                  <c:v>61.626098319873201</c:v>
                </c:pt>
                <c:pt idx="52">
                  <c:v>62.016428803221977</c:v>
                </c:pt>
                <c:pt idx="53">
                  <c:v>62.396434531815004</c:v>
                </c:pt>
                <c:pt idx="54">
                  <c:v>62.766506136284683</c:v>
                </c:pt>
                <c:pt idx="55">
                  <c:v>63.127014917909342</c:v>
                </c:pt>
                <c:pt idx="56">
                  <c:v>63.47831402605798</c:v>
                </c:pt>
                <c:pt idx="57">
                  <c:v>63.820739550758141</c:v>
                </c:pt>
                <c:pt idx="58">
                  <c:v>64.154611537430611</c:v>
                </c:pt>
                <c:pt idx="59">
                  <c:v>64.480234930175769</c:v>
                </c:pt>
                <c:pt idx="60">
                  <c:v>64.797900449404452</c:v>
                </c:pt>
                <c:pt idx="61">
                  <c:v>65.107885409077312</c:v>
                </c:pt>
                <c:pt idx="62">
                  <c:v>65.410454478339219</c:v>
                </c:pt>
                <c:pt idx="63">
                  <c:v>65.70586039190772</c:v>
                </c:pt>
                <c:pt idx="64">
                  <c:v>65.994344613188375</c:v>
                </c:pt>
                <c:pt idx="65">
                  <c:v>66.276137953742079</c:v>
                </c:pt>
                <c:pt idx="66">
                  <c:v>66.551461152415939</c:v>
                </c:pt>
                <c:pt idx="67">
                  <c:v>66.820525417164632</c:v>
                </c:pt>
                <c:pt idx="68">
                  <c:v>67.083532932333597</c:v>
                </c:pt>
                <c:pt idx="69">
                  <c:v>67.340677333942068</c:v>
                </c:pt>
                <c:pt idx="70">
                  <c:v>67.59214415529371</c:v>
                </c:pt>
                <c:pt idx="71">
                  <c:v>67.838111245051039</c:v>
                </c:pt>
                <c:pt idx="72">
                  <c:v>68.078749159736034</c:v>
                </c:pt>
                <c:pt idx="73">
                  <c:v>68.314221532461445</c:v>
                </c:pt>
                <c:pt idx="74">
                  <c:v>68.544685419553204</c:v>
                </c:pt>
                <c:pt idx="75">
                  <c:v>68.770291626593178</c:v>
                </c:pt>
                <c:pt idx="76">
                  <c:v>68.991185015292203</c:v>
                </c:pt>
                <c:pt idx="77">
                  <c:v>69.207504792493793</c:v>
                </c:pt>
                <c:pt idx="78">
                  <c:v>69.41938478250934</c:v>
                </c:pt>
                <c:pt idx="79">
                  <c:v>69.626953683894371</c:v>
                </c:pt>
                <c:pt idx="80">
                  <c:v>69.830335311691755</c:v>
                </c:pt>
                <c:pt idx="81">
                  <c:v>70.029648826091346</c:v>
                </c:pt>
                <c:pt idx="82">
                  <c:v>70.225008948385465</c:v>
                </c:pt>
                <c:pt idx="83">
                  <c:v>70.416526165034981</c:v>
                </c:pt>
                <c:pt idx="84">
                  <c:v>70.604306920601857</c:v>
                </c:pt>
                <c:pt idx="85">
                  <c:v>70.788453800249371</c:v>
                </c:pt>
                <c:pt idx="86">
                  <c:v>70.969065702461691</c:v>
                </c:pt>
                <c:pt idx="87">
                  <c:v>71.146238002588021</c:v>
                </c:pt>
                <c:pt idx="88">
                  <c:v>71.320062707774113</c:v>
                </c:pt>
                <c:pt idx="89">
                  <c:v>71.490628603805433</c:v>
                </c:pt>
                <c:pt idx="90">
                  <c:v>71.658021394349319</c:v>
                </c:pt>
                <c:pt idx="91">
                  <c:v>71.822323833050845</c:v>
                </c:pt>
                <c:pt idx="92">
                  <c:v>71.983615848906297</c:v>
                </c:pt>
                <c:pt idx="93">
                  <c:v>72.141974665309093</c:v>
                </c:pt>
                <c:pt idx="94">
                  <c:v>72.297474913137521</c:v>
                </c:pt>
                <c:pt idx="95">
                  <c:v>72.450188738228633</c:v>
                </c:pt>
                <c:pt idx="96">
                  <c:v>72.600185903560515</c:v>
                </c:pt>
                <c:pt idx="97">
                  <c:v>72.747533886443975</c:v>
                </c:pt>
                <c:pt idx="98">
                  <c:v>72.892297971005178</c:v>
                </c:pt>
                <c:pt idx="99">
                  <c:v>73.034541336223285</c:v>
                </c:pt>
                <c:pt idx="100">
                  <c:v>73.174325139769664</c:v>
                </c:pt>
                <c:pt idx="101">
                  <c:v>73.311708597880468</c:v>
                </c:pt>
                <c:pt idx="102">
                  <c:v>73.446749061479167</c:v>
                </c:pt>
                <c:pt idx="103">
                  <c:v>73.57950208875296</c:v>
                </c:pt>
                <c:pt idx="104">
                  <c:v>73.710021514373778</c:v>
                </c:pt>
                <c:pt idx="105">
                  <c:v>73.838359515543345</c:v>
                </c:pt>
                <c:pt idx="106">
                  <c:v>73.964566675030696</c:v>
                </c:pt>
                <c:pt idx="107">
                  <c:v>74.088692041360829</c:v>
                </c:pt>
                <c:pt idx="108">
                  <c:v>74.210783186302848</c:v>
                </c:pt>
                <c:pt idx="109">
                  <c:v>74.330886259798248</c:v>
                </c:pt>
                <c:pt idx="110">
                  <c:v>74.449046042460807</c:v>
                </c:pt>
                <c:pt idx="111">
                  <c:v>74.565305995772462</c:v>
                </c:pt>
                <c:pt idx="112">
                  <c:v>74.679708310091968</c:v>
                </c:pt>
                <c:pt idx="113">
                  <c:v>74.792293950586711</c:v>
                </c:pt>
                <c:pt idx="114">
                  <c:v>74.903102701191543</c:v>
                </c:pt>
                <c:pt idx="115">
                  <c:v>75.012173206692651</c:v>
                </c:pt>
                <c:pt idx="116">
                  <c:v>75.119543013028945</c:v>
                </c:pt>
                <c:pt idx="117">
                  <c:v>75.225248605898472</c:v>
                </c:pt>
                <c:pt idx="118">
                  <c:v>75.329325447752169</c:v>
                </c:pt>
                <c:pt idx="119">
                  <c:v>75.431808013252905</c:v>
                </c:pt>
                <c:pt idx="120">
                  <c:v>75.532729823273527</c:v>
                </c:pt>
                <c:pt idx="121">
                  <c:v>75.632123477503669</c:v>
                </c:pt>
                <c:pt idx="122">
                  <c:v>75.730020685730921</c:v>
                </c:pt>
                <c:pt idx="123">
                  <c:v>75.826452297858978</c:v>
                </c:pt>
                <c:pt idx="124">
                  <c:v>75.921448332721653</c:v>
                </c:pt>
                <c:pt idx="125">
                  <c:v>76.015038005748764</c:v>
                </c:pt>
                <c:pt idx="126">
                  <c:v>76.107249755536671</c:v>
                </c:pt>
                <c:pt idx="127">
                  <c:v>76.19811126937384</c:v>
                </c:pt>
                <c:pt idx="128">
                  <c:v>76.287649507768805</c:v>
                </c:pt>
                <c:pt idx="129">
                  <c:v>76.375890728025894</c:v>
                </c:pt>
                <c:pt idx="130">
                  <c:v>76.462860506911298</c:v>
                </c:pt>
                <c:pt idx="131">
                  <c:v>76.548583762450136</c:v>
                </c:pt>
                <c:pt idx="132">
                  <c:v>76.633084774893305</c:v>
                </c:pt>
                <c:pt idx="133">
                  <c:v>76.716387206890346</c:v>
                </c:pt>
                <c:pt idx="134">
                  <c:v>76.79851412290347</c:v>
                </c:pt>
                <c:pt idx="135">
                  <c:v>76.879488007895645</c:v>
                </c:pt>
                <c:pt idx="136">
                  <c:v>76.959330785324141</c:v>
                </c:pt>
                <c:pt idx="137">
                  <c:v>77.03806383446944</c:v>
                </c:pt>
                <c:pt idx="138">
                  <c:v>77.115708007128077</c:v>
                </c:pt>
                <c:pt idx="139">
                  <c:v>77.192283643696172</c:v>
                </c:pt>
                <c:pt idx="140">
                  <c:v>77.26781058866959</c:v>
                </c:pt>
                <c:pt idx="141">
                  <c:v>77.342308205585269</c:v>
                </c:pt>
                <c:pt idx="142">
                  <c:v>77.415795391426897</c:v>
                </c:pt>
                <c:pt idx="143">
                  <c:v>77.488290590517281</c:v>
                </c:pt>
                <c:pt idx="144">
                  <c:v>77.559811807918493</c:v>
                </c:pt>
                <c:pt idx="145">
                  <c:v>77.630376622360103</c:v>
                </c:pt>
                <c:pt idx="146">
                  <c:v>77.700002198714742</c:v>
                </c:pt>
                <c:pt idx="147">
                  <c:v>77.768705300039173</c:v>
                </c:pt>
                <c:pt idx="148">
                  <c:v>77.8365022991986</c:v>
                </c:pt>
                <c:pt idx="149">
                  <c:v>77.903409190090827</c:v>
                </c:pt>
                <c:pt idx="150">
                  <c:v>77.96944159848627</c:v>
                </c:pt>
              </c:numCache>
            </c:numRef>
          </c:yVal>
          <c:smooth val="0"/>
          <c:extLst>
            <c:ext xmlns:c16="http://schemas.microsoft.com/office/drawing/2014/chart" uri="{C3380CC4-5D6E-409C-BE32-E72D297353CC}">
              <c16:uniqueId val="{00000000-EBB2-49C9-A014-1F538461E4EA}"/>
            </c:ext>
          </c:extLst>
        </c:ser>
        <c:dLbls>
          <c:showLegendKey val="0"/>
          <c:showVal val="0"/>
          <c:showCatName val="0"/>
          <c:showSerName val="0"/>
          <c:showPercent val="0"/>
          <c:showBubbleSize val="0"/>
        </c:dLbls>
        <c:axId val="144893056"/>
        <c:axId val="144894592"/>
      </c:scatterChart>
      <c:scatterChart>
        <c:scatterStyle val="smoothMarker"/>
        <c:varyColors val="0"/>
        <c:ser>
          <c:idx val="1"/>
          <c:order val="1"/>
          <c:tx>
            <c:v>MOSFET</c:v>
          </c:tx>
          <c:spPr>
            <a:ln>
              <a:solidFill>
                <a:schemeClr val="tx2">
                  <a:lumMod val="75000"/>
                </a:schemeClr>
              </a:solidFill>
              <a:prstDash val="dashDot"/>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Eff_vs_IOUT!$AI$7:$AI$157</c:f>
              <c:numCache>
                <c:formatCode>General</c:formatCode>
                <c:ptCount val="151"/>
                <c:pt idx="0">
                  <c:v>0</c:v>
                </c:pt>
                <c:pt idx="1">
                  <c:v>5.1379431097557519E-4</c:v>
                </c:pt>
                <c:pt idx="2">
                  <c:v>1.048674074874125E-3</c:v>
                </c:pt>
                <c:pt idx="3">
                  <c:v>1.5972802679335252E-3</c:v>
                </c:pt>
                <c:pt idx="4">
                  <c:v>2.1569868167331504E-3</c:v>
                </c:pt>
                <c:pt idx="5">
                  <c:v>2.7262759958518088E-3</c:v>
                </c:pt>
                <c:pt idx="6">
                  <c:v>3.3041237631566316E-3</c:v>
                </c:pt>
                <c:pt idx="7">
                  <c:v>3.8897783432682949E-3</c:v>
                </c:pt>
                <c:pt idx="8">
                  <c:v>4.4826572568500977E-3</c:v>
                </c:pt>
                <c:pt idx="9">
                  <c:v>5.0822918765189998E-3</c:v>
                </c:pt>
                <c:pt idx="10">
                  <c:v>5.688294522064331E-3</c:v>
                </c:pt>
                <c:pt idx="11">
                  <c:v>6.3003375165987833E-3</c:v>
                </c:pt>
                <c:pt idx="12">
                  <c:v>6.9181391302538461E-3</c:v>
                </c:pt>
                <c:pt idx="13">
                  <c:v>7.5414537453000344E-3</c:v>
                </c:pt>
                <c:pt idx="14">
                  <c:v>8.1700647395440452E-3</c:v>
                </c:pt>
                <c:pt idx="15">
                  <c:v>8.8037791917368324E-3</c:v>
                </c:pt>
                <c:pt idx="16">
                  <c:v>9.4424238495793948E-3</c:v>
                </c:pt>
                <c:pt idx="17">
                  <c:v>1.0085841997596243E-2</c:v>
                </c:pt>
                <c:pt idx="18">
                  <c:v>1.0733890981958314E-2</c:v>
                </c:pt>
                <c:pt idx="19">
                  <c:v>1.1386440224999298E-2</c:v>
                </c:pt>
                <c:pt idx="20">
                  <c:v>1.2043369611457208E-2</c:v>
                </c:pt>
                <c:pt idx="21">
                  <c:v>1.2704568161459673E-2</c:v>
                </c:pt>
                <c:pt idx="22">
                  <c:v>1.3369932927879871E-2</c:v>
                </c:pt>
                <c:pt idx="23">
                  <c:v>1.4039368071514685E-2</c:v>
                </c:pt>
                <c:pt idx="24">
                  <c:v>1.4712784078824341E-2</c:v>
                </c:pt>
                <c:pt idx="25">
                  <c:v>1.539009709516061E-2</c:v>
                </c:pt>
                <c:pt idx="26">
                  <c:v>1.6071228352442238E-2</c:v>
                </c:pt>
                <c:pt idx="27">
                  <c:v>1.6756103674740581E-2</c:v>
                </c:pt>
                <c:pt idx="28">
                  <c:v>1.7444653048646196E-2</c:v>
                </c:pt>
                <c:pt idx="29">
                  <c:v>1.8136810247894153E-2</c:v>
                </c:pt>
                <c:pt idx="30">
                  <c:v>1.8832512503742481E-2</c:v>
                </c:pt>
                <c:pt idx="31">
                  <c:v>1.9531700214173515E-2</c:v>
                </c:pt>
                <c:pt idx="32">
                  <c:v>2.0234316686229166E-2</c:v>
                </c:pt>
                <c:pt idx="33">
                  <c:v>2.0940307906778217E-2</c:v>
                </c:pt>
                <c:pt idx="34">
                  <c:v>2.1649622337804507E-2</c:v>
                </c:pt>
                <c:pt idx="35">
                  <c:v>2.2362210732942912E-2</c:v>
                </c:pt>
                <c:pt idx="36">
                  <c:v>2.307802597250893E-2</c:v>
                </c:pt>
                <c:pt idx="37">
                  <c:v>2.3797022914691636E-2</c:v>
                </c:pt>
                <c:pt idx="38">
                  <c:v>2.4519158260929177E-2</c:v>
                </c:pt>
                <c:pt idx="39">
                  <c:v>2.5244390433774539E-2</c:v>
                </c:pt>
                <c:pt idx="40">
                  <c:v>2.5972679465800126E-2</c:v>
                </c:pt>
                <c:pt idx="41">
                  <c:v>2.6703986898290313E-2</c:v>
                </c:pt>
                <c:pt idx="42">
                  <c:v>2.743827568864048E-2</c:v>
                </c:pt>
                <c:pt idx="43">
                  <c:v>2.8175510125523322E-2</c:v>
                </c:pt>
                <c:pt idx="44">
                  <c:v>2.8915655751004309E-2</c:v>
                </c:pt>
                <c:pt idx="45">
                  <c:v>2.9658679288891147E-2</c:v>
                </c:pt>
                <c:pt idx="46">
                  <c:v>3.0404548578689912E-2</c:v>
                </c:pt>
                <c:pt idx="47">
                  <c:v>3.1153232514616012E-2</c:v>
                </c:pt>
                <c:pt idx="48">
                  <c:v>3.1904700989173342E-2</c:v>
                </c:pt>
                <c:pt idx="49">
                  <c:v>3.2658924840870615E-2</c:v>
                </c:pt>
                <c:pt idx="50">
                  <c:v>3.3415875805693052E-2</c:v>
                </c:pt>
                <c:pt idx="51">
                  <c:v>3.4175526471989404E-2</c:v>
                </c:pt>
                <c:pt idx="52">
                  <c:v>3.4937850238471402E-2</c:v>
                </c:pt>
                <c:pt idx="53">
                  <c:v>3.5702821275054836E-2</c:v>
                </c:pt>
                <c:pt idx="54">
                  <c:v>3.647041448629984E-2</c:v>
                </c:pt>
                <c:pt idx="55">
                  <c:v>3.7240605477232472E-2</c:v>
                </c:pt>
                <c:pt idx="56">
                  <c:v>3.8013370521352036E-2</c:v>
                </c:pt>
                <c:pt idx="57">
                  <c:v>3.8788686530647543E-2</c:v>
                </c:pt>
                <c:pt idx="58">
                  <c:v>3.9566531027463839E-2</c:v>
                </c:pt>
                <c:pt idx="59">
                  <c:v>4.0346882118073385E-2</c:v>
                </c:pt>
                <c:pt idx="60">
                  <c:v>4.1129718467822887E-2</c:v>
                </c:pt>
                <c:pt idx="61">
                  <c:v>4.1915019277736262E-2</c:v>
                </c:pt>
                <c:pt idx="62">
                  <c:v>4.2702764262465741E-2</c:v>
                </c:pt>
                <c:pt idx="63">
                  <c:v>4.349293362949324E-2</c:v>
                </c:pt>
                <c:pt idx="64">
                  <c:v>4.428550805949194E-2</c:v>
                </c:pt>
                <c:pt idx="65">
                  <c:v>4.5080468687766384E-2</c:v>
                </c:pt>
                <c:pt idx="66">
                  <c:v>4.5877797086696079E-2</c:v>
                </c:pt>
                <c:pt idx="67">
                  <c:v>4.6677475249113698E-2</c:v>
                </c:pt>
                <c:pt idx="68">
                  <c:v>4.7479485572555269E-2</c:v>
                </c:pt>
                <c:pt idx="69">
                  <c:v>4.8283810844323982E-2</c:v>
                </c:pt>
                <c:pt idx="70">
                  <c:v>4.9090434227314635E-2</c:v>
                </c:pt>
                <c:pt idx="71">
                  <c:v>4.9899339246549476E-2</c:v>
                </c:pt>
                <c:pt idx="72">
                  <c:v>5.0710509776380377E-2</c:v>
                </c:pt>
                <c:pt idx="73">
                  <c:v>5.1523930028315151E-2</c:v>
                </c:pt>
                <c:pt idx="74">
                  <c:v>5.2339584539430037E-2</c:v>
                </c:pt>
                <c:pt idx="75">
                  <c:v>5.3157458161331758E-2</c:v>
                </c:pt>
                <c:pt idx="76">
                  <c:v>5.3977536049636801E-2</c:v>
                </c:pt>
                <c:pt idx="77">
                  <c:v>5.479980365393685E-2</c:v>
                </c:pt>
                <c:pt idx="78">
                  <c:v>5.5624246708221775E-2</c:v>
                </c:pt>
                <c:pt idx="79">
                  <c:v>5.645085122173385E-2</c:v>
                </c:pt>
                <c:pt idx="80">
                  <c:v>5.7279603470228618E-2</c:v>
                </c:pt>
                <c:pt idx="81">
                  <c:v>5.8110489987619182E-2</c:v>
                </c:pt>
                <c:pt idx="82">
                  <c:v>5.894349755798288E-2</c:v>
                </c:pt>
                <c:pt idx="83">
                  <c:v>5.9778613207910142E-2</c:v>
                </c:pt>
                <c:pt idx="84">
                  <c:v>6.0615824199176896E-2</c:v>
                </c:pt>
                <c:pt idx="85">
                  <c:v>6.1455118021723626E-2</c:v>
                </c:pt>
                <c:pt idx="86">
                  <c:v>6.2296482386923847E-2</c:v>
                </c:pt>
                <c:pt idx="87">
                  <c:v>6.3139905221127932E-2</c:v>
                </c:pt>
                <c:pt idx="88">
                  <c:v>6.3985374659467048E-2</c:v>
                </c:pt>
                <c:pt idx="89">
                  <c:v>6.4832879039904506E-2</c:v>
                </c:pt>
                <c:pt idx="90">
                  <c:v>6.5682406897521584E-2</c:v>
                </c:pt>
                <c:pt idx="91">
                  <c:v>6.6533946959026341E-2</c:v>
                </c:pt>
                <c:pt idx="92">
                  <c:v>6.7387488137474097E-2</c:v>
                </c:pt>
                <c:pt idx="93">
                  <c:v>6.8243019527189405E-2</c:v>
                </c:pt>
                <c:pt idx="94">
                  <c:v>6.9100530398879756E-2</c:v>
                </c:pt>
                <c:pt idx="95">
                  <c:v>6.9960010194931518E-2</c:v>
                </c:pt>
                <c:pt idx="96">
                  <c:v>7.0821448524879871E-2</c:v>
                </c:pt>
                <c:pt idx="97">
                  <c:v>7.168483516104418E-2</c:v>
                </c:pt>
                <c:pt idx="98">
                  <c:v>7.255016003432152E-2</c:v>
                </c:pt>
                <c:pt idx="99">
                  <c:v>7.3417413230130332E-2</c:v>
                </c:pt>
                <c:pt idx="100">
                  <c:v>7.428658498449861E-2</c:v>
                </c:pt>
                <c:pt idx="101">
                  <c:v>7.5157665680288616E-2</c:v>
                </c:pt>
                <c:pt idx="102">
                  <c:v>7.6030645843553263E-2</c:v>
                </c:pt>
                <c:pt idx="103">
                  <c:v>7.6905516140017574E-2</c:v>
                </c:pt>
                <c:pt idx="104">
                  <c:v>7.7782267371680147E-2</c:v>
                </c:pt>
                <c:pt idx="105">
                  <c:v>7.8660890473529227E-2</c:v>
                </c:pt>
                <c:pt idx="106">
                  <c:v>7.9541376510368494E-2</c:v>
                </c:pt>
                <c:pt idx="107">
                  <c:v>8.0423716673747953E-2</c:v>
                </c:pt>
                <c:pt idx="108">
                  <c:v>8.1307902278995425E-2</c:v>
                </c:pt>
                <c:pt idx="109">
                  <c:v>8.2193924762344495E-2</c:v>
                </c:pt>
                <c:pt idx="110">
                  <c:v>8.3081775678154945E-2</c:v>
                </c:pt>
                <c:pt idx="111">
                  <c:v>8.3971446696221669E-2</c:v>
                </c:pt>
                <c:pt idx="112">
                  <c:v>8.4862929599168913E-2</c:v>
                </c:pt>
                <c:pt idx="113">
                  <c:v>8.575621627992594E-2</c:v>
                </c:pt>
                <c:pt idx="114">
                  <c:v>8.6651298739280846E-2</c:v>
                </c:pt>
                <c:pt idx="115">
                  <c:v>8.754816908351036E-2</c:v>
                </c:pt>
                <c:pt idx="116">
                  <c:v>8.8446819522081138E-2</c:v>
                </c:pt>
                <c:pt idx="117">
                  <c:v>8.9347242365420992E-2</c:v>
                </c:pt>
                <c:pt idx="118">
                  <c:v>9.0249430022756968E-2</c:v>
                </c:pt>
                <c:pt idx="119">
                  <c:v>9.1153375000017411E-2</c:v>
                </c:pt>
                <c:pt idx="120">
                  <c:v>9.2059069897796289E-2</c:v>
                </c:pt>
                <c:pt idx="121">
                  <c:v>9.2966507409376509E-2</c:v>
                </c:pt>
                <c:pt idx="122">
                  <c:v>9.3875680318810967E-2</c:v>
                </c:pt>
                <c:pt idx="123">
                  <c:v>9.4786581499058442E-2</c:v>
                </c:pt>
                <c:pt idx="124">
                  <c:v>9.5699203910173142E-2</c:v>
                </c:pt>
                <c:pt idx="125">
                  <c:v>9.6613540597544539E-2</c:v>
                </c:pt>
                <c:pt idx="126">
                  <c:v>9.7529584690187771E-2</c:v>
                </c:pt>
                <c:pt idx="127">
                  <c:v>9.8447329399080602E-2</c:v>
                </c:pt>
                <c:pt idx="128">
                  <c:v>9.9366768015546877E-2</c:v>
                </c:pt>
                <c:pt idx="129">
                  <c:v>0.10028789390968416</c:v>
                </c:pt>
                <c:pt idx="130">
                  <c:v>0.1012107005288341</c:v>
                </c:pt>
                <c:pt idx="131">
                  <c:v>0.1021351813960939</c:v>
                </c:pt>
                <c:pt idx="132">
                  <c:v>0.10306133010886782</c:v>
                </c:pt>
                <c:pt idx="133">
                  <c:v>0.10398914033745722</c:v>
                </c:pt>
                <c:pt idx="134">
                  <c:v>0.10491860582368753</c:v>
                </c:pt>
                <c:pt idx="135">
                  <c:v>0.10584972037957149</c:v>
                </c:pt>
                <c:pt idx="136">
                  <c:v>0.10678247788600669</c:v>
                </c:pt>
                <c:pt idx="137">
                  <c:v>0.10771687229150706</c:v>
                </c:pt>
                <c:pt idx="138">
                  <c:v>0.10865289761096669</c:v>
                </c:pt>
                <c:pt idx="139">
                  <c:v>0.10959054792445502</c:v>
                </c:pt>
                <c:pt idx="140">
                  <c:v>0.11052981737604249</c:v>
                </c:pt>
                <c:pt idx="141">
                  <c:v>0.11147070017265553</c:v>
                </c:pt>
                <c:pt idx="142">
                  <c:v>0.11241319058296019</c:v>
                </c:pt>
                <c:pt idx="143">
                  <c:v>0.11335728293627309</c:v>
                </c:pt>
                <c:pt idx="144">
                  <c:v>0.11430297162149916</c:v>
                </c:pt>
                <c:pt idx="145">
                  <c:v>0.11525025108609552</c:v>
                </c:pt>
                <c:pt idx="146">
                  <c:v>0.11619911583505996</c:v>
                </c:pt>
                <c:pt idx="147">
                  <c:v>0.11714956042994398</c:v>
                </c:pt>
                <c:pt idx="148">
                  <c:v>0.11810157948788938</c:v>
                </c:pt>
                <c:pt idx="149">
                  <c:v>0.11905516768068761</c:v>
                </c:pt>
                <c:pt idx="150">
                  <c:v>0.12001031973386113</c:v>
                </c:pt>
              </c:numCache>
            </c:numRef>
          </c:yVal>
          <c:smooth val="1"/>
          <c:extLst>
            <c:ext xmlns:c16="http://schemas.microsoft.com/office/drawing/2014/chart" uri="{C3380CC4-5D6E-409C-BE32-E72D297353CC}">
              <c16:uniqueId val="{00000001-EBB2-49C9-A014-1F538461E4EA}"/>
            </c:ext>
          </c:extLst>
        </c:ser>
        <c:ser>
          <c:idx val="2"/>
          <c:order val="2"/>
          <c:tx>
            <c:v>Diode</c:v>
          </c:tx>
          <c:spPr>
            <a:ln>
              <a:solidFill>
                <a:schemeClr val="bg2">
                  <a:lumMod val="50000"/>
                </a:schemeClr>
              </a:solidFill>
              <a:prstDash val="sysDash"/>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Eff_vs_IOUT!$AN$7:$AN$157</c:f>
              <c:numCache>
                <c:formatCode>General</c:formatCode>
                <c:ptCount val="151"/>
                <c:pt idx="0">
                  <c:v>0.29112499999999997</c:v>
                </c:pt>
                <c:pt idx="1">
                  <c:v>0.29120833333333329</c:v>
                </c:pt>
                <c:pt idx="2">
                  <c:v>0.29129166666666662</c:v>
                </c:pt>
                <c:pt idx="3">
                  <c:v>0.29137499999999994</c:v>
                </c:pt>
                <c:pt idx="4">
                  <c:v>0.29145833333333332</c:v>
                </c:pt>
                <c:pt idx="5">
                  <c:v>0.29154166666666664</c:v>
                </c:pt>
                <c:pt idx="6">
                  <c:v>0.29162499999999997</c:v>
                </c:pt>
                <c:pt idx="7">
                  <c:v>0.29170833333333329</c:v>
                </c:pt>
                <c:pt idx="8">
                  <c:v>0.29179166666666662</c:v>
                </c:pt>
                <c:pt idx="9">
                  <c:v>0.29187499999999994</c:v>
                </c:pt>
                <c:pt idx="10">
                  <c:v>0.29195833333333332</c:v>
                </c:pt>
                <c:pt idx="11">
                  <c:v>0.29204166666666664</c:v>
                </c:pt>
                <c:pt idx="12">
                  <c:v>0.29212499999999997</c:v>
                </c:pt>
                <c:pt idx="13">
                  <c:v>0.29220833333333329</c:v>
                </c:pt>
                <c:pt idx="14">
                  <c:v>0.29229166666666662</c:v>
                </c:pt>
                <c:pt idx="15">
                  <c:v>0.29237499999999994</c:v>
                </c:pt>
                <c:pt idx="16">
                  <c:v>0.29245833333333332</c:v>
                </c:pt>
                <c:pt idx="17">
                  <c:v>0.29254166666666664</c:v>
                </c:pt>
                <c:pt idx="18">
                  <c:v>0.29262499999999997</c:v>
                </c:pt>
                <c:pt idx="19">
                  <c:v>0.29270833333333329</c:v>
                </c:pt>
                <c:pt idx="20">
                  <c:v>0.29279166666666662</c:v>
                </c:pt>
                <c:pt idx="21">
                  <c:v>0.29287499999999994</c:v>
                </c:pt>
                <c:pt idx="22">
                  <c:v>0.29295833333333332</c:v>
                </c:pt>
                <c:pt idx="23">
                  <c:v>0.29304166666666664</c:v>
                </c:pt>
                <c:pt idx="24">
                  <c:v>0.29312499999999997</c:v>
                </c:pt>
                <c:pt idx="25">
                  <c:v>0.29320833333333329</c:v>
                </c:pt>
                <c:pt idx="26">
                  <c:v>0.29329166666666662</c:v>
                </c:pt>
                <c:pt idx="27">
                  <c:v>0.29337499999999994</c:v>
                </c:pt>
                <c:pt idx="28">
                  <c:v>0.29345833333333332</c:v>
                </c:pt>
                <c:pt idx="29">
                  <c:v>0.29354166666666665</c:v>
                </c:pt>
                <c:pt idx="30">
                  <c:v>0.29362499999999997</c:v>
                </c:pt>
                <c:pt idx="31">
                  <c:v>0.29370833333333329</c:v>
                </c:pt>
                <c:pt idx="32">
                  <c:v>0.29379166666666662</c:v>
                </c:pt>
                <c:pt idx="33">
                  <c:v>0.29387499999999994</c:v>
                </c:pt>
                <c:pt idx="34">
                  <c:v>0.29395833333333332</c:v>
                </c:pt>
                <c:pt idx="35">
                  <c:v>0.29404166666666665</c:v>
                </c:pt>
                <c:pt idx="36">
                  <c:v>0.29412499999999997</c:v>
                </c:pt>
                <c:pt idx="37">
                  <c:v>0.29420833333333329</c:v>
                </c:pt>
                <c:pt idx="38">
                  <c:v>0.29429166666666662</c:v>
                </c:pt>
                <c:pt idx="39">
                  <c:v>0.29437499999999994</c:v>
                </c:pt>
                <c:pt idx="40">
                  <c:v>0.29445833333333332</c:v>
                </c:pt>
                <c:pt idx="41">
                  <c:v>0.29454166666666665</c:v>
                </c:pt>
                <c:pt idx="42">
                  <c:v>0.29462499999999997</c:v>
                </c:pt>
                <c:pt idx="43">
                  <c:v>0.29470833333333329</c:v>
                </c:pt>
                <c:pt idx="44">
                  <c:v>0.29479166666666662</c:v>
                </c:pt>
                <c:pt idx="45">
                  <c:v>0.29487499999999994</c:v>
                </c:pt>
                <c:pt idx="46">
                  <c:v>0.29495833333333332</c:v>
                </c:pt>
                <c:pt idx="47">
                  <c:v>0.29504166666666665</c:v>
                </c:pt>
                <c:pt idx="48">
                  <c:v>0.29512499999999997</c:v>
                </c:pt>
                <c:pt idx="49">
                  <c:v>0.29520833333333329</c:v>
                </c:pt>
                <c:pt idx="50">
                  <c:v>0.29529166666666662</c:v>
                </c:pt>
                <c:pt idx="51">
                  <c:v>0.29537499999999994</c:v>
                </c:pt>
                <c:pt idx="52">
                  <c:v>0.29545833333333332</c:v>
                </c:pt>
                <c:pt idx="53">
                  <c:v>0.29554166666666665</c:v>
                </c:pt>
                <c:pt idx="54">
                  <c:v>0.29562499999999997</c:v>
                </c:pt>
                <c:pt idx="55">
                  <c:v>0.2957083333333333</c:v>
                </c:pt>
                <c:pt idx="56">
                  <c:v>0.29579166666666662</c:v>
                </c:pt>
                <c:pt idx="57">
                  <c:v>0.29587499999999994</c:v>
                </c:pt>
                <c:pt idx="58">
                  <c:v>0.29595833333333332</c:v>
                </c:pt>
                <c:pt idx="59">
                  <c:v>0.29604166666666665</c:v>
                </c:pt>
                <c:pt idx="60">
                  <c:v>0.29612499999999997</c:v>
                </c:pt>
                <c:pt idx="61">
                  <c:v>0.2962083333333333</c:v>
                </c:pt>
                <c:pt idx="62">
                  <c:v>0.29629166666666662</c:v>
                </c:pt>
                <c:pt idx="63">
                  <c:v>0.29637499999999994</c:v>
                </c:pt>
                <c:pt idx="64">
                  <c:v>0.29645833333333332</c:v>
                </c:pt>
                <c:pt idx="65">
                  <c:v>0.29654166666666665</c:v>
                </c:pt>
                <c:pt idx="66">
                  <c:v>0.29662499999999997</c:v>
                </c:pt>
                <c:pt idx="67">
                  <c:v>0.2967083333333333</c:v>
                </c:pt>
                <c:pt idx="68">
                  <c:v>0.29679166666666662</c:v>
                </c:pt>
                <c:pt idx="69">
                  <c:v>0.29687499999999994</c:v>
                </c:pt>
                <c:pt idx="70">
                  <c:v>0.29695833333333332</c:v>
                </c:pt>
                <c:pt idx="71">
                  <c:v>0.29704166666666665</c:v>
                </c:pt>
                <c:pt idx="72">
                  <c:v>0.29712499999999997</c:v>
                </c:pt>
                <c:pt idx="73">
                  <c:v>0.2972083333333333</c:v>
                </c:pt>
                <c:pt idx="74">
                  <c:v>0.29729166666666662</c:v>
                </c:pt>
                <c:pt idx="75">
                  <c:v>0.29737499999999994</c:v>
                </c:pt>
                <c:pt idx="76">
                  <c:v>0.29745833333333332</c:v>
                </c:pt>
                <c:pt idx="77">
                  <c:v>0.29754166666666665</c:v>
                </c:pt>
                <c:pt idx="78">
                  <c:v>0.29762499999999997</c:v>
                </c:pt>
                <c:pt idx="79">
                  <c:v>0.2977083333333333</c:v>
                </c:pt>
                <c:pt idx="80">
                  <c:v>0.29779166666666662</c:v>
                </c:pt>
                <c:pt idx="81">
                  <c:v>0.29787499999999995</c:v>
                </c:pt>
                <c:pt idx="82">
                  <c:v>0.29795833333333333</c:v>
                </c:pt>
                <c:pt idx="83">
                  <c:v>0.29804166666666665</c:v>
                </c:pt>
                <c:pt idx="84">
                  <c:v>0.29812499999999997</c:v>
                </c:pt>
                <c:pt idx="85">
                  <c:v>0.2982083333333333</c:v>
                </c:pt>
                <c:pt idx="86">
                  <c:v>0.29829166666666662</c:v>
                </c:pt>
                <c:pt idx="87">
                  <c:v>0.29837499999999995</c:v>
                </c:pt>
                <c:pt idx="88">
                  <c:v>0.29845833333333333</c:v>
                </c:pt>
                <c:pt idx="89">
                  <c:v>0.29854166666666665</c:v>
                </c:pt>
                <c:pt idx="90">
                  <c:v>0.29862499999999997</c:v>
                </c:pt>
                <c:pt idx="91">
                  <c:v>0.2987083333333333</c:v>
                </c:pt>
                <c:pt idx="92">
                  <c:v>0.29879166666666662</c:v>
                </c:pt>
                <c:pt idx="93">
                  <c:v>0.29887499999999995</c:v>
                </c:pt>
                <c:pt idx="94">
                  <c:v>0.29895833333333333</c:v>
                </c:pt>
                <c:pt idx="95">
                  <c:v>0.29904166666666665</c:v>
                </c:pt>
                <c:pt idx="96">
                  <c:v>0.29912499999999997</c:v>
                </c:pt>
                <c:pt idx="97">
                  <c:v>0.2992083333333333</c:v>
                </c:pt>
                <c:pt idx="98">
                  <c:v>0.29929166666666662</c:v>
                </c:pt>
                <c:pt idx="99">
                  <c:v>0.29937499999999995</c:v>
                </c:pt>
                <c:pt idx="100">
                  <c:v>0.29945833333333333</c:v>
                </c:pt>
                <c:pt idx="101">
                  <c:v>0.29954166666666665</c:v>
                </c:pt>
                <c:pt idx="102">
                  <c:v>0.29962499999999997</c:v>
                </c:pt>
                <c:pt idx="103">
                  <c:v>0.2997083333333333</c:v>
                </c:pt>
                <c:pt idx="104">
                  <c:v>0.29979166666666662</c:v>
                </c:pt>
                <c:pt idx="105">
                  <c:v>0.29987499999999995</c:v>
                </c:pt>
                <c:pt idx="106">
                  <c:v>0.29995833333333333</c:v>
                </c:pt>
                <c:pt idx="107">
                  <c:v>0.30004166666666665</c:v>
                </c:pt>
                <c:pt idx="108">
                  <c:v>0.30012499999999998</c:v>
                </c:pt>
                <c:pt idx="109">
                  <c:v>0.3002083333333333</c:v>
                </c:pt>
                <c:pt idx="110">
                  <c:v>0.30029166666666662</c:v>
                </c:pt>
                <c:pt idx="111">
                  <c:v>0.30037499999999995</c:v>
                </c:pt>
                <c:pt idx="112">
                  <c:v>0.30045833333333327</c:v>
                </c:pt>
                <c:pt idx="113">
                  <c:v>0.30054166666666665</c:v>
                </c:pt>
                <c:pt idx="114">
                  <c:v>0.30062499999999998</c:v>
                </c:pt>
                <c:pt idx="115">
                  <c:v>0.3007083333333333</c:v>
                </c:pt>
                <c:pt idx="116">
                  <c:v>0.30079166666666662</c:v>
                </c:pt>
                <c:pt idx="117">
                  <c:v>0.30087499999999995</c:v>
                </c:pt>
                <c:pt idx="118">
                  <c:v>0.30095833333333333</c:v>
                </c:pt>
                <c:pt idx="119">
                  <c:v>0.30104166666666665</c:v>
                </c:pt>
                <c:pt idx="120">
                  <c:v>0.30112499999999998</c:v>
                </c:pt>
                <c:pt idx="121">
                  <c:v>0.3012083333333333</c:v>
                </c:pt>
                <c:pt idx="122">
                  <c:v>0.30129166666666662</c:v>
                </c:pt>
                <c:pt idx="123">
                  <c:v>0.30137499999999995</c:v>
                </c:pt>
                <c:pt idx="124">
                  <c:v>0.30145833333333327</c:v>
                </c:pt>
                <c:pt idx="125">
                  <c:v>0.30154166666666665</c:v>
                </c:pt>
                <c:pt idx="126">
                  <c:v>0.30162499999999998</c:v>
                </c:pt>
                <c:pt idx="127">
                  <c:v>0.3017083333333333</c:v>
                </c:pt>
                <c:pt idx="128">
                  <c:v>0.30179166666666662</c:v>
                </c:pt>
                <c:pt idx="129">
                  <c:v>0.30187499999999995</c:v>
                </c:pt>
                <c:pt idx="130">
                  <c:v>0.30195833333333333</c:v>
                </c:pt>
                <c:pt idx="131">
                  <c:v>0.30204166666666665</c:v>
                </c:pt>
                <c:pt idx="132">
                  <c:v>0.30212499999999998</c:v>
                </c:pt>
                <c:pt idx="133">
                  <c:v>0.3022083333333333</c:v>
                </c:pt>
                <c:pt idx="134">
                  <c:v>0.30229166666666663</c:v>
                </c:pt>
                <c:pt idx="135">
                  <c:v>0.30237499999999995</c:v>
                </c:pt>
                <c:pt idx="136">
                  <c:v>0.30245833333333327</c:v>
                </c:pt>
                <c:pt idx="137">
                  <c:v>0.30254166666666665</c:v>
                </c:pt>
                <c:pt idx="138">
                  <c:v>0.30262499999999998</c:v>
                </c:pt>
                <c:pt idx="139">
                  <c:v>0.3027083333333333</c:v>
                </c:pt>
                <c:pt idx="140">
                  <c:v>0.30279166666666663</c:v>
                </c:pt>
                <c:pt idx="141">
                  <c:v>0.30287499999999995</c:v>
                </c:pt>
                <c:pt idx="142">
                  <c:v>0.30295833333333327</c:v>
                </c:pt>
                <c:pt idx="143">
                  <c:v>0.30304166666666665</c:v>
                </c:pt>
                <c:pt idx="144">
                  <c:v>0.30312499999999998</c:v>
                </c:pt>
                <c:pt idx="145">
                  <c:v>0.3032083333333333</c:v>
                </c:pt>
                <c:pt idx="146">
                  <c:v>0.30329166666666663</c:v>
                </c:pt>
                <c:pt idx="147">
                  <c:v>0.30337499999999995</c:v>
                </c:pt>
                <c:pt idx="148">
                  <c:v>0.30345833333333327</c:v>
                </c:pt>
                <c:pt idx="149">
                  <c:v>0.30354166666666665</c:v>
                </c:pt>
                <c:pt idx="150">
                  <c:v>0.30362499999999998</c:v>
                </c:pt>
              </c:numCache>
            </c:numRef>
          </c:yVal>
          <c:smooth val="1"/>
          <c:extLst>
            <c:ext xmlns:c16="http://schemas.microsoft.com/office/drawing/2014/chart" uri="{C3380CC4-5D6E-409C-BE32-E72D297353CC}">
              <c16:uniqueId val="{00000002-EBB2-49C9-A014-1F538461E4EA}"/>
            </c:ext>
          </c:extLst>
        </c:ser>
        <c:ser>
          <c:idx val="3"/>
          <c:order val="3"/>
          <c:tx>
            <c:v>RCS</c:v>
          </c:tx>
          <c:spPr>
            <a:ln>
              <a:solidFill>
                <a:schemeClr val="accent5">
                  <a:lumMod val="75000"/>
                </a:schemeClr>
              </a:solidFill>
              <a:prstDash val="lgDashDotDot"/>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Eff_vs_IOUT!$AO$7:$AO$157</c:f>
              <c:numCache>
                <c:formatCode>General</c:formatCode>
                <c:ptCount val="151"/>
                <c:pt idx="0">
                  <c:v>0</c:v>
                </c:pt>
                <c:pt idx="1">
                  <c:v>1.0224465647542561E-5</c:v>
                </c:pt>
                <c:pt idx="2">
                  <c:v>2.8919155973544998E-5</c:v>
                </c:pt>
                <c:pt idx="3">
                  <c:v>5.3127881945359003E-5</c:v>
                </c:pt>
                <c:pt idx="4">
                  <c:v>8.1795725180340472E-5</c:v>
                </c:pt>
                <c:pt idx="5">
                  <c:v>1.143130011075828E-4</c:v>
                </c:pt>
                <c:pt idx="6">
                  <c:v>1.502683423745668E-4</c:v>
                </c:pt>
                <c:pt idx="7">
                  <c:v>1.8935975374344402E-4</c:v>
                </c:pt>
                <c:pt idx="8">
                  <c:v>2.3135324778836001E-4</c:v>
                </c:pt>
                <c:pt idx="9">
                  <c:v>2.7606057248364893E-4</c:v>
                </c:pt>
                <c:pt idx="10">
                  <c:v>3.233259930438286E-4</c:v>
                </c:pt>
                <c:pt idx="11">
                  <c:v>3.7301787858254483E-4</c:v>
                </c:pt>
                <c:pt idx="12">
                  <c:v>4.2502305556287208E-4</c:v>
                </c:pt>
                <c:pt idx="13">
                  <c:v>4.7924285703365255E-4</c:v>
                </c:pt>
                <c:pt idx="14">
                  <c:v>5.3559026382321638E-4</c:v>
                </c:pt>
                <c:pt idx="15">
                  <c:v>5.9398777765203221E-4</c:v>
                </c:pt>
                <c:pt idx="16">
                  <c:v>6.5436580144272389E-4</c:v>
                </c:pt>
                <c:pt idx="17">
                  <c:v>7.1666138111539299E-4</c:v>
                </c:pt>
                <c:pt idx="18">
                  <c:v>7.80817211285715E-4</c:v>
                </c:pt>
                <c:pt idx="19">
                  <c:v>8.4678083767748239E-4</c:v>
                </c:pt>
                <c:pt idx="20">
                  <c:v>9.1450400886066243E-4</c:v>
                </c:pt>
                <c:pt idx="21">
                  <c:v>9.8394214317712838E-4</c:v>
                </c:pt>
                <c:pt idx="22">
                  <c:v>1.0550538857981516E-3</c:v>
                </c:pt>
                <c:pt idx="23">
                  <c:v>1.1278007372147896E-3</c:v>
                </c:pt>
                <c:pt idx="24">
                  <c:v>1.2021467389965344E-3</c:v>
                </c:pt>
                <c:pt idx="25">
                  <c:v>1.2780582059428191E-3</c:v>
                </c:pt>
                <c:pt idx="26">
                  <c:v>1.3555034961748431E-3</c:v>
                </c:pt>
                <c:pt idx="27">
                  <c:v>1.4344528125246926E-3</c:v>
                </c:pt>
                <c:pt idx="28">
                  <c:v>1.5148780299475521E-3</c:v>
                </c:pt>
                <c:pt idx="29">
                  <c:v>1.5967525447301545E-3</c:v>
                </c:pt>
                <c:pt idx="30">
                  <c:v>1.6800511420787163E-3</c:v>
                </c:pt>
                <c:pt idx="31">
                  <c:v>1.7647498793023843E-3</c:v>
                </c:pt>
                <c:pt idx="32">
                  <c:v>1.8508259823068799E-3</c:v>
                </c:pt>
                <c:pt idx="33">
                  <c:v>1.938257753509579E-3</c:v>
                </c:pt>
                <c:pt idx="34">
                  <c:v>2.0270244896048446E-3</c:v>
                </c:pt>
                <c:pt idx="35">
                  <c:v>2.1171064078648058E-3</c:v>
                </c:pt>
                <c:pt idx="36">
                  <c:v>2.2084845798691919E-3</c:v>
                </c:pt>
                <c:pt idx="37">
                  <c:v>2.3011408717281481E-3</c:v>
                </c:pt>
                <c:pt idx="38">
                  <c:v>2.3950578900022914E-3</c:v>
                </c:pt>
                <c:pt idx="39">
                  <c:v>2.4902189326402617E-3</c:v>
                </c:pt>
                <c:pt idx="40">
                  <c:v>2.5866079443506275E-3</c:v>
                </c:pt>
                <c:pt idx="41">
                  <c:v>2.6842094759057505E-3</c:v>
                </c:pt>
                <c:pt idx="42">
                  <c:v>2.7830086469430885E-3</c:v>
                </c:pt>
                <c:pt idx="43">
                  <c:v>2.8829911118867118E-3</c:v>
                </c:pt>
                <c:pt idx="44">
                  <c:v>2.9841430286603604E-3</c:v>
                </c:pt>
                <c:pt idx="45">
                  <c:v>3.0864510299047345E-3</c:v>
                </c:pt>
                <c:pt idx="46">
                  <c:v>3.189902196447061E-3</c:v>
                </c:pt>
                <c:pt idx="47">
                  <c:v>3.2944840328012251E-3</c:v>
                </c:pt>
                <c:pt idx="48">
                  <c:v>3.4001844445029762E-3</c:v>
                </c:pt>
                <c:pt idx="49">
                  <c:v>3.5069917171070982E-3</c:v>
                </c:pt>
                <c:pt idx="50">
                  <c:v>3.6148944966931237E-3</c:v>
                </c:pt>
                <c:pt idx="51">
                  <c:v>3.7238817717430298E-3</c:v>
                </c:pt>
                <c:pt idx="52">
                  <c:v>3.8339428562692195E-3</c:v>
                </c:pt>
                <c:pt idx="53">
                  <c:v>3.9450673740840251E-3</c:v>
                </c:pt>
                <c:pt idx="54">
                  <c:v>4.0572452441133009E-3</c:v>
                </c:pt>
                <c:pt idx="55">
                  <c:v>4.1704666666666701E-3</c:v>
                </c:pt>
                <c:pt idx="56">
                  <c:v>4.2847221105857302E-3</c:v>
                </c:pt>
                <c:pt idx="57">
                  <c:v>4.4000023011993971E-3</c:v>
                </c:pt>
                <c:pt idx="58">
                  <c:v>4.5162982090222736E-3</c:v>
                </c:pt>
                <c:pt idx="59">
                  <c:v>4.6336010391381625E-3</c:v>
                </c:pt>
                <c:pt idx="60">
                  <c:v>4.7519022212162568E-3</c:v>
                </c:pt>
                <c:pt idx="61">
                  <c:v>4.871193400112315E-3</c:v>
                </c:pt>
                <c:pt idx="62">
                  <c:v>4.9914664270114314E-3</c:v>
                </c:pt>
                <c:pt idx="63">
                  <c:v>5.1127133510729915E-3</c:v>
                </c:pt>
                <c:pt idx="64">
                  <c:v>5.2349264115417902E-3</c:v>
                </c:pt>
                <c:pt idx="65">
                  <c:v>5.3580980302923003E-3</c:v>
                </c:pt>
                <c:pt idx="66">
                  <c:v>5.4822208047761089E-3</c:v>
                </c:pt>
                <c:pt idx="67">
                  <c:v>5.6072875013448154E-3</c:v>
                </c:pt>
                <c:pt idx="68">
                  <c:v>5.7332910489231439E-3</c:v>
                </c:pt>
                <c:pt idx="69">
                  <c:v>5.8602245330089554E-3</c:v>
                </c:pt>
                <c:pt idx="70">
                  <c:v>5.9880811899787906E-3</c:v>
                </c:pt>
                <c:pt idx="71">
                  <c:v>6.1168544016792026E-3</c:v>
                </c:pt>
                <c:pt idx="72">
                  <c:v>6.2465376902857209E-3</c:v>
                </c:pt>
                <c:pt idx="73">
                  <c:v>6.3771247134126047E-3</c:v>
                </c:pt>
                <c:pt idx="74">
                  <c:v>6.5086092594579875E-3</c:v>
                </c:pt>
                <c:pt idx="75">
                  <c:v>6.6409852431698752E-3</c:v>
                </c:pt>
                <c:pt idx="76">
                  <c:v>6.7742467014198574E-3</c:v>
                </c:pt>
                <c:pt idx="77">
                  <c:v>6.9083877891721003E-3</c:v>
                </c:pt>
                <c:pt idx="78">
                  <c:v>7.0434027756362226E-3</c:v>
                </c:pt>
                <c:pt idx="79">
                  <c:v>7.1792860405932996E-3</c:v>
                </c:pt>
                <c:pt idx="80">
                  <c:v>7.3160320708852995E-3</c:v>
                </c:pt>
                <c:pt idx="81">
                  <c:v>7.4536354570585231E-3</c:v>
                </c:pt>
                <c:pt idx="82">
                  <c:v>7.5920908901525759E-3</c:v>
                </c:pt>
                <c:pt idx="83">
                  <c:v>7.7313931586268638E-3</c:v>
                </c:pt>
                <c:pt idx="84">
                  <c:v>7.8715371454170235E-3</c:v>
                </c:pt>
                <c:pt idx="85">
                  <c:v>8.0125178251145134E-3</c:v>
                </c:pt>
                <c:pt idx="86">
                  <c:v>8.1543302612625563E-3</c:v>
                </c:pt>
                <c:pt idx="87">
                  <c:v>8.2969696037625724E-3</c:v>
                </c:pt>
                <c:pt idx="88">
                  <c:v>8.4404310863852149E-3</c:v>
                </c:pt>
                <c:pt idx="89">
                  <c:v>8.584710024380689E-3</c:v>
                </c:pt>
                <c:pt idx="90">
                  <c:v>8.7298018121833697E-3</c:v>
                </c:pt>
                <c:pt idx="91">
                  <c:v>8.8757019212058787E-3</c:v>
                </c:pt>
                <c:pt idx="92">
                  <c:v>9.0224058977183171E-3</c:v>
                </c:pt>
                <c:pt idx="93">
                  <c:v>9.1699093608083194E-3</c:v>
                </c:pt>
                <c:pt idx="94">
                  <c:v>9.3182080004182034E-3</c:v>
                </c:pt>
                <c:pt idx="95">
                  <c:v>9.4672975754553253E-3</c:v>
                </c:pt>
                <c:pt idx="96">
                  <c:v>9.6171739119722752E-3</c:v>
                </c:pt>
                <c:pt idx="97">
                  <c:v>9.7678329014135833E-3</c:v>
                </c:pt>
                <c:pt idx="98">
                  <c:v>9.9192704989259344E-3</c:v>
                </c:pt>
                <c:pt idx="99">
                  <c:v>1.0071482721728718E-2</c:v>
                </c:pt>
                <c:pt idx="100">
                  <c:v>1.0224465647542556E-2</c:v>
                </c:pt>
                <c:pt idx="101">
                  <c:v>1.0378215413072817E-2</c:v>
                </c:pt>
                <c:pt idx="102">
                  <c:v>1.0532728212545884E-2</c:v>
                </c:pt>
                <c:pt idx="103">
                  <c:v>1.0688000296295738E-2</c:v>
                </c:pt>
                <c:pt idx="104">
                  <c:v>1.0844027969398743E-2</c:v>
                </c:pt>
                <c:pt idx="105">
                  <c:v>1.1000807590354449E-2</c:v>
                </c:pt>
                <c:pt idx="106">
                  <c:v>1.1158335569810482E-2</c:v>
                </c:pt>
                <c:pt idx="107">
                  <c:v>1.1316608369329663E-2</c:v>
                </c:pt>
                <c:pt idx="108">
                  <c:v>1.1475622500197541E-2</c:v>
                </c:pt>
                <c:pt idx="109">
                  <c:v>1.163537452226863E-2</c:v>
                </c:pt>
                <c:pt idx="110">
                  <c:v>1.1795861042849834E-2</c:v>
                </c:pt>
                <c:pt idx="111">
                  <c:v>1.1957078715619464E-2</c:v>
                </c:pt>
                <c:pt idx="112">
                  <c:v>1.2119024239580417E-2</c:v>
                </c:pt>
                <c:pt idx="113">
                  <c:v>1.2281694358046142E-2</c:v>
                </c:pt>
                <c:pt idx="114">
                  <c:v>1.2445085857658036E-2</c:v>
                </c:pt>
                <c:pt idx="115">
                  <c:v>1.2609195567433227E-2</c:v>
                </c:pt>
                <c:pt idx="116">
                  <c:v>1.2774020357841235E-2</c:v>
                </c:pt>
                <c:pt idx="117">
                  <c:v>1.293955713990862E-2</c:v>
                </c:pt>
                <c:pt idx="118">
                  <c:v>1.3105802864350508E-2</c:v>
                </c:pt>
                <c:pt idx="119">
                  <c:v>1.3272754520727875E-2</c:v>
                </c:pt>
                <c:pt idx="120">
                  <c:v>1.3440409136629732E-2</c:v>
                </c:pt>
                <c:pt idx="121">
                  <c:v>1.3608763776879144E-2</c:v>
                </c:pt>
                <c:pt idx="122">
                  <c:v>1.3777815542762297E-2</c:v>
                </c:pt>
                <c:pt idx="123">
                  <c:v>1.3947561571279753E-2</c:v>
                </c:pt>
                <c:pt idx="124">
                  <c:v>1.411799903441908E-2</c:v>
                </c:pt>
                <c:pt idx="125">
                  <c:v>1.428912513844785E-2</c:v>
                </c:pt>
                <c:pt idx="126">
                  <c:v>1.446093712322684E-2</c:v>
                </c:pt>
                <c:pt idx="127">
                  <c:v>1.4633432261541996E-2</c:v>
                </c:pt>
                <c:pt idx="128">
                  <c:v>1.4806607858455041E-2</c:v>
                </c:pt>
                <c:pt idx="129">
                  <c:v>1.4980461250671819E-2</c:v>
                </c:pt>
                <c:pt idx="130">
                  <c:v>1.5154989805927874E-2</c:v>
                </c:pt>
                <c:pt idx="131">
                  <c:v>1.5330190922390439E-2</c:v>
                </c:pt>
                <c:pt idx="132">
                  <c:v>1.5506062028076632E-2</c:v>
                </c:pt>
                <c:pt idx="133">
                  <c:v>1.5682600580286997E-2</c:v>
                </c:pt>
                <c:pt idx="134">
                  <c:v>1.5859804065053964E-2</c:v>
                </c:pt>
                <c:pt idx="135">
                  <c:v>1.6037669996604869E-2</c:v>
                </c:pt>
                <c:pt idx="136">
                  <c:v>1.6216195916838757E-2</c:v>
                </c:pt>
                <c:pt idx="137">
                  <c:v>1.6395379394816771E-2</c:v>
                </c:pt>
                <c:pt idx="138">
                  <c:v>1.6575218026265603E-2</c:v>
                </c:pt>
                <c:pt idx="139">
                  <c:v>1.6755709433093485E-2</c:v>
                </c:pt>
                <c:pt idx="140">
                  <c:v>1.693685126291845E-2</c:v>
                </c:pt>
                <c:pt idx="141">
                  <c:v>1.71186411886084E-2</c:v>
                </c:pt>
                <c:pt idx="142">
                  <c:v>1.7301076907832579E-2</c:v>
                </c:pt>
                <c:pt idx="143">
                  <c:v>1.7484156142624174E-2</c:v>
                </c:pt>
                <c:pt idx="144">
                  <c:v>1.7667876638953531E-2</c:v>
                </c:pt>
                <c:pt idx="145">
                  <c:v>1.7852236166311992E-2</c:v>
                </c:pt>
                <c:pt idx="146">
                  <c:v>1.803723251730549E-2</c:v>
                </c:pt>
                <c:pt idx="147">
                  <c:v>1.8222863507258141E-2</c:v>
                </c:pt>
                <c:pt idx="148">
                  <c:v>1.8409126973825185E-2</c:v>
                </c:pt>
                <c:pt idx="149">
                  <c:v>1.8596020776615155E-2</c:v>
                </c:pt>
                <c:pt idx="150">
                  <c:v>1.8783542796820842E-2</c:v>
                </c:pt>
              </c:numCache>
            </c:numRef>
          </c:yVal>
          <c:smooth val="1"/>
          <c:extLst>
            <c:ext xmlns:c16="http://schemas.microsoft.com/office/drawing/2014/chart" uri="{C3380CC4-5D6E-409C-BE32-E72D297353CC}">
              <c16:uniqueId val="{00000003-EBB2-49C9-A014-1F538461E4EA}"/>
            </c:ext>
          </c:extLst>
        </c:ser>
        <c:dLbls>
          <c:showLegendKey val="0"/>
          <c:showVal val="0"/>
          <c:showCatName val="0"/>
          <c:showSerName val="0"/>
          <c:showPercent val="0"/>
          <c:showBubbleSize val="0"/>
        </c:dLbls>
        <c:axId val="157162112"/>
        <c:axId val="157160192"/>
      </c:scatterChart>
      <c:valAx>
        <c:axId val="144893056"/>
        <c:scaling>
          <c:orientation val="minMax"/>
        </c:scaling>
        <c:delete val="0"/>
        <c:axPos val="b"/>
        <c:majorGridlines/>
        <c:numFmt formatCode="General" sourceLinked="1"/>
        <c:majorTickMark val="out"/>
        <c:minorTickMark val="none"/>
        <c:tickLblPos val="nextTo"/>
        <c:crossAx val="144894592"/>
        <c:crosses val="autoZero"/>
        <c:crossBetween val="midCat"/>
      </c:valAx>
      <c:valAx>
        <c:axId val="144894592"/>
        <c:scaling>
          <c:orientation val="minMax"/>
          <c:max val="100"/>
          <c:min val="70"/>
        </c:scaling>
        <c:delete val="0"/>
        <c:axPos val="l"/>
        <c:majorGridlines/>
        <c:title>
          <c:tx>
            <c:rich>
              <a:bodyPr rot="-5400000" vert="horz"/>
              <a:lstStyle/>
              <a:p>
                <a:pPr>
                  <a:defRPr sz="1400"/>
                </a:pPr>
                <a:r>
                  <a:rPr lang="en-US" sz="1400"/>
                  <a:t>Efficiency</a:t>
                </a:r>
                <a:r>
                  <a:rPr lang="en-US" sz="1400" baseline="0"/>
                  <a:t> (%)</a:t>
                </a:r>
                <a:endParaRPr lang="en-US" sz="1400"/>
              </a:p>
            </c:rich>
          </c:tx>
          <c:overlay val="0"/>
        </c:title>
        <c:numFmt formatCode="General" sourceLinked="1"/>
        <c:majorTickMark val="out"/>
        <c:minorTickMark val="none"/>
        <c:tickLblPos val="nextTo"/>
        <c:crossAx val="144893056"/>
        <c:crosses val="autoZero"/>
        <c:crossBetween val="midCat"/>
      </c:valAx>
      <c:valAx>
        <c:axId val="157160192"/>
        <c:scaling>
          <c:orientation val="minMax"/>
        </c:scaling>
        <c:delete val="0"/>
        <c:axPos val="r"/>
        <c:title>
          <c:tx>
            <c:rich>
              <a:bodyPr rot="-5400000" vert="horz"/>
              <a:lstStyle/>
              <a:p>
                <a:pPr>
                  <a:defRPr sz="1400"/>
                </a:pPr>
                <a:r>
                  <a:rPr lang="en-US" sz="1400"/>
                  <a:t>Losses</a:t>
                </a:r>
                <a:r>
                  <a:rPr lang="en-US" sz="1400" baseline="0"/>
                  <a:t> (W)</a:t>
                </a:r>
                <a:endParaRPr lang="en-US" sz="1400"/>
              </a:p>
            </c:rich>
          </c:tx>
          <c:overlay val="0"/>
        </c:title>
        <c:numFmt formatCode="General" sourceLinked="1"/>
        <c:majorTickMark val="out"/>
        <c:minorTickMark val="none"/>
        <c:tickLblPos val="nextTo"/>
        <c:crossAx val="157162112"/>
        <c:crosses val="max"/>
        <c:crossBetween val="midCat"/>
      </c:valAx>
      <c:valAx>
        <c:axId val="157162112"/>
        <c:scaling>
          <c:orientation val="minMax"/>
        </c:scaling>
        <c:delete val="1"/>
        <c:axPos val="b"/>
        <c:title>
          <c:tx>
            <c:rich>
              <a:bodyPr/>
              <a:lstStyle/>
              <a:p>
                <a:pPr>
                  <a:defRPr/>
                </a:pPr>
                <a:r>
                  <a:rPr lang="en-US"/>
                  <a:t>Load</a:t>
                </a:r>
                <a:r>
                  <a:rPr lang="en-US" baseline="0"/>
                  <a:t> Current (A)</a:t>
                </a:r>
                <a:endParaRPr lang="en-US"/>
              </a:p>
            </c:rich>
          </c:tx>
          <c:overlay val="0"/>
        </c:title>
        <c:numFmt formatCode="General" sourceLinked="1"/>
        <c:majorTickMark val="out"/>
        <c:minorTickMark val="none"/>
        <c:tickLblPos val="nextTo"/>
        <c:crossAx val="157160192"/>
        <c:crosses val="autoZero"/>
        <c:crossBetween val="midCat"/>
      </c:valAx>
    </c:plotArea>
    <c:legend>
      <c:legendPos val="r"/>
      <c:layout>
        <c:manualLayout>
          <c:xMode val="edge"/>
          <c:yMode val="edge"/>
          <c:x val="0.51894403926190358"/>
          <c:y val="6.4862204724409449E-3"/>
          <c:w val="0.39609572935704079"/>
          <c:h val="0.12183653099700564"/>
        </c:manualLayout>
      </c:layout>
      <c:overlay val="1"/>
    </c:legend>
    <c:plotVisOnly val="1"/>
    <c:dispBlanksAs val="gap"/>
    <c:showDLblsOverMax val="0"/>
  </c:chart>
  <c:spPr>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Efficiency</a:t>
            </a:r>
          </a:p>
        </c:rich>
      </c:tx>
      <c:overlay val="0"/>
    </c:title>
    <c:autoTitleDeleted val="0"/>
    <c:plotArea>
      <c:layout/>
      <c:scatterChart>
        <c:scatterStyle val="smoothMarker"/>
        <c:varyColors val="0"/>
        <c:ser>
          <c:idx val="0"/>
          <c:order val="0"/>
          <c:tx>
            <c:v>Eff</c:v>
          </c:tx>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Eff_vs_IOUT!$AT$7:$AT$157</c:f>
              <c:numCache>
                <c:formatCode>General</c:formatCode>
                <c:ptCount val="151"/>
                <c:pt idx="0">
                  <c:v>0</c:v>
                </c:pt>
                <c:pt idx="1">
                  <c:v>3.4666638181457441</c:v>
                </c:pt>
                <c:pt idx="2">
                  <c:v>6.6881554618323982</c:v>
                </c:pt>
                <c:pt idx="3">
                  <c:v>9.6889501824328299</c:v>
                </c:pt>
                <c:pt idx="4">
                  <c:v>12.490526598650794</c:v>
                </c:pt>
                <c:pt idx="5">
                  <c:v>15.111733111953827</c:v>
                </c:pt>
                <c:pt idx="6">
                  <c:v>17.569153961155052</c:v>
                </c:pt>
                <c:pt idx="7">
                  <c:v>19.87742783063047</c:v>
                </c:pt>
                <c:pt idx="8">
                  <c:v>22.049518701244818</c:v>
                </c:pt>
                <c:pt idx="9">
                  <c:v>24.096944821703229</c:v>
                </c:pt>
                <c:pt idx="10">
                  <c:v>26.029972253170897</c:v>
                </c:pt>
                <c:pt idx="11">
                  <c:v>27.857778794084858</c:v>
                </c:pt>
                <c:pt idx="12">
                  <c:v>29.588593220138659</c:v>
                </c:pt>
                <c:pt idx="13">
                  <c:v>31.229813945496666</c:v>
                </c:pt>
                <c:pt idx="14">
                  <c:v>32.788110494177673</c:v>
                </c:pt>
                <c:pt idx="15">
                  <c:v>34.269510572158083</c:v>
                </c:pt>
                <c:pt idx="16">
                  <c:v>35.67947503905571</c:v>
                </c:pt>
                <c:pt idx="17">
                  <c:v>37.022962676798429</c:v>
                </c:pt>
                <c:pt idx="18">
                  <c:v>38.304486325521317</c:v>
                </c:pt>
                <c:pt idx="19">
                  <c:v>39.528161690199077</c:v>
                </c:pt>
                <c:pt idx="20">
                  <c:v>40.697749903661432</c:v>
                </c:pt>
                <c:pt idx="21">
                  <c:v>41.816694753252598</c:v>
                </c:pt>
                <c:pt idx="22">
                  <c:v>42.888155331898432</c:v>
                </c:pt>
                <c:pt idx="23">
                  <c:v>43.915034753653885</c:v>
                </c:pt>
                <c:pt idx="24">
                  <c:v>44.900005474044299</c:v>
                </c:pt>
                <c:pt idx="25">
                  <c:v>45.845531672782052</c:v>
                </c:pt>
                <c:pt idx="26">
                  <c:v>46.753889087599539</c:v>
                </c:pt>
                <c:pt idx="27">
                  <c:v>47.627182630470337</c:v>
                </c:pt>
                <c:pt idx="28">
                  <c:v>48.467362069357996</c:v>
                </c:pt>
                <c:pt idx="29">
                  <c:v>49.276236018192613</c:v>
                </c:pt>
                <c:pt idx="30">
                  <c:v>50.055484443693622</c:v>
                </c:pt>
                <c:pt idx="31">
                  <c:v>50.806669868848076</c:v>
                </c:pt>
                <c:pt idx="32">
                  <c:v>51.531247428429609</c:v>
                </c:pt>
                <c:pt idx="33">
                  <c:v>52.230573911177693</c:v>
                </c:pt>
                <c:pt idx="34">
                  <c:v>52.90591590555411</c:v>
                </c:pt>
                <c:pt idx="35">
                  <c:v>53.558457150859596</c:v>
                </c:pt>
                <c:pt idx="36">
                  <c:v>54.189305182524649</c:v>
                </c:pt>
                <c:pt idx="37">
                  <c:v>54.799497349243751</c:v>
                </c:pt>
                <c:pt idx="38">
                  <c:v>55.39000627002445</c:v>
                </c:pt>
                <c:pt idx="39">
                  <c:v>55.961744790935498</c:v>
                </c:pt>
                <c:pt idx="40">
                  <c:v>56.515570494167612</c:v>
                </c:pt>
                <c:pt idx="41">
                  <c:v>57.052289805800392</c:v>
                </c:pt>
                <c:pt idx="42">
                  <c:v>57.572661743263879</c:v>
                </c:pt>
                <c:pt idx="43">
                  <c:v>58.077401338774322</c:v>
                </c:pt>
                <c:pt idx="44">
                  <c:v>58.567182770914464</c:v>
                </c:pt>
                <c:pt idx="45">
                  <c:v>59.042642232934462</c:v>
                </c:pt>
                <c:pt idx="46">
                  <c:v>59.504380563200897</c:v>
                </c:pt>
                <c:pt idx="47">
                  <c:v>59.952965660456528</c:v>
                </c:pt>
                <c:pt idx="48">
                  <c:v>60.38893470412183</c:v>
                </c:pt>
                <c:pt idx="49">
                  <c:v>60.812796197727991</c:v>
                </c:pt>
                <c:pt idx="50">
                  <c:v>61.225031851679447</c:v>
                </c:pt>
                <c:pt idx="51">
                  <c:v>61.626098319873201</c:v>
                </c:pt>
                <c:pt idx="52">
                  <c:v>62.016428803221977</c:v>
                </c:pt>
                <c:pt idx="53">
                  <c:v>62.396434531815004</c:v>
                </c:pt>
                <c:pt idx="54">
                  <c:v>62.766506136284683</c:v>
                </c:pt>
                <c:pt idx="55">
                  <c:v>63.127014917909342</c:v>
                </c:pt>
                <c:pt idx="56">
                  <c:v>63.47831402605798</c:v>
                </c:pt>
                <c:pt idx="57">
                  <c:v>63.820739550758141</c:v>
                </c:pt>
                <c:pt idx="58">
                  <c:v>64.154611537430611</c:v>
                </c:pt>
                <c:pt idx="59">
                  <c:v>64.480234930175769</c:v>
                </c:pt>
                <c:pt idx="60">
                  <c:v>64.797900449404452</c:v>
                </c:pt>
                <c:pt idx="61">
                  <c:v>65.107885409077312</c:v>
                </c:pt>
                <c:pt idx="62">
                  <c:v>65.410454478339219</c:v>
                </c:pt>
                <c:pt idx="63">
                  <c:v>65.70586039190772</c:v>
                </c:pt>
                <c:pt idx="64">
                  <c:v>65.994344613188375</c:v>
                </c:pt>
                <c:pt idx="65">
                  <c:v>66.276137953742079</c:v>
                </c:pt>
                <c:pt idx="66">
                  <c:v>66.551461152415939</c:v>
                </c:pt>
                <c:pt idx="67">
                  <c:v>66.820525417164632</c:v>
                </c:pt>
                <c:pt idx="68">
                  <c:v>67.083532932333597</c:v>
                </c:pt>
                <c:pt idx="69">
                  <c:v>67.340677333942068</c:v>
                </c:pt>
                <c:pt idx="70">
                  <c:v>67.59214415529371</c:v>
                </c:pt>
                <c:pt idx="71">
                  <c:v>67.838111245051039</c:v>
                </c:pt>
                <c:pt idx="72">
                  <c:v>68.078749159736034</c:v>
                </c:pt>
                <c:pt idx="73">
                  <c:v>68.314221532461445</c:v>
                </c:pt>
                <c:pt idx="74">
                  <c:v>68.544685419553204</c:v>
                </c:pt>
                <c:pt idx="75">
                  <c:v>68.770291626593178</c:v>
                </c:pt>
                <c:pt idx="76">
                  <c:v>68.991185015292203</c:v>
                </c:pt>
                <c:pt idx="77">
                  <c:v>69.207504792493793</c:v>
                </c:pt>
                <c:pt idx="78">
                  <c:v>69.41938478250934</c:v>
                </c:pt>
                <c:pt idx="79">
                  <c:v>69.626953683894371</c:v>
                </c:pt>
                <c:pt idx="80">
                  <c:v>69.830335311691755</c:v>
                </c:pt>
                <c:pt idx="81">
                  <c:v>70.029648826091346</c:v>
                </c:pt>
                <c:pt idx="82">
                  <c:v>70.225008948385465</c:v>
                </c:pt>
                <c:pt idx="83">
                  <c:v>70.416526165034981</c:v>
                </c:pt>
                <c:pt idx="84">
                  <c:v>70.604306920601857</c:v>
                </c:pt>
                <c:pt idx="85">
                  <c:v>70.788453800249371</c:v>
                </c:pt>
                <c:pt idx="86">
                  <c:v>70.969065702461691</c:v>
                </c:pt>
                <c:pt idx="87">
                  <c:v>71.146238002588021</c:v>
                </c:pt>
                <c:pt idx="88">
                  <c:v>71.320062707774113</c:v>
                </c:pt>
                <c:pt idx="89">
                  <c:v>71.490628603805433</c:v>
                </c:pt>
                <c:pt idx="90">
                  <c:v>71.658021394349319</c:v>
                </c:pt>
                <c:pt idx="91">
                  <c:v>71.822323833050845</c:v>
                </c:pt>
                <c:pt idx="92">
                  <c:v>71.983615848906297</c:v>
                </c:pt>
                <c:pt idx="93">
                  <c:v>72.141974665309093</c:v>
                </c:pt>
                <c:pt idx="94">
                  <c:v>72.297474913137521</c:v>
                </c:pt>
                <c:pt idx="95">
                  <c:v>72.450188738228633</c:v>
                </c:pt>
                <c:pt idx="96">
                  <c:v>72.600185903560515</c:v>
                </c:pt>
                <c:pt idx="97">
                  <c:v>72.747533886443975</c:v>
                </c:pt>
                <c:pt idx="98">
                  <c:v>72.892297971005178</c:v>
                </c:pt>
                <c:pt idx="99">
                  <c:v>73.034541336223285</c:v>
                </c:pt>
                <c:pt idx="100">
                  <c:v>73.174325139769664</c:v>
                </c:pt>
                <c:pt idx="101">
                  <c:v>73.311708597880468</c:v>
                </c:pt>
                <c:pt idx="102">
                  <c:v>73.446749061479167</c:v>
                </c:pt>
                <c:pt idx="103">
                  <c:v>73.57950208875296</c:v>
                </c:pt>
                <c:pt idx="104">
                  <c:v>73.710021514373778</c:v>
                </c:pt>
                <c:pt idx="105">
                  <c:v>73.838359515543345</c:v>
                </c:pt>
                <c:pt idx="106">
                  <c:v>73.964566675030696</c:v>
                </c:pt>
                <c:pt idx="107">
                  <c:v>74.088692041360829</c:v>
                </c:pt>
                <c:pt idx="108">
                  <c:v>74.210783186302848</c:v>
                </c:pt>
                <c:pt idx="109">
                  <c:v>74.330886259798248</c:v>
                </c:pt>
                <c:pt idx="110">
                  <c:v>74.449046042460807</c:v>
                </c:pt>
                <c:pt idx="111">
                  <c:v>74.565305995772462</c:v>
                </c:pt>
                <c:pt idx="112">
                  <c:v>74.679708310091968</c:v>
                </c:pt>
                <c:pt idx="113">
                  <c:v>74.792293950586711</c:v>
                </c:pt>
                <c:pt idx="114">
                  <c:v>74.903102701191543</c:v>
                </c:pt>
                <c:pt idx="115">
                  <c:v>75.012173206692651</c:v>
                </c:pt>
                <c:pt idx="116">
                  <c:v>75.119543013028945</c:v>
                </c:pt>
                <c:pt idx="117">
                  <c:v>75.225248605898472</c:v>
                </c:pt>
                <c:pt idx="118">
                  <c:v>75.329325447752169</c:v>
                </c:pt>
                <c:pt idx="119">
                  <c:v>75.431808013252905</c:v>
                </c:pt>
                <c:pt idx="120">
                  <c:v>75.532729823273527</c:v>
                </c:pt>
                <c:pt idx="121">
                  <c:v>75.632123477503669</c:v>
                </c:pt>
                <c:pt idx="122">
                  <c:v>75.730020685730921</c:v>
                </c:pt>
                <c:pt idx="123">
                  <c:v>75.826452297858978</c:v>
                </c:pt>
                <c:pt idx="124">
                  <c:v>75.921448332721653</c:v>
                </c:pt>
                <c:pt idx="125">
                  <c:v>76.015038005748764</c:v>
                </c:pt>
                <c:pt idx="126">
                  <c:v>76.107249755536671</c:v>
                </c:pt>
                <c:pt idx="127">
                  <c:v>76.19811126937384</c:v>
                </c:pt>
                <c:pt idx="128">
                  <c:v>76.287649507768805</c:v>
                </c:pt>
                <c:pt idx="129">
                  <c:v>76.375890728025894</c:v>
                </c:pt>
                <c:pt idx="130">
                  <c:v>76.462860506911298</c:v>
                </c:pt>
                <c:pt idx="131">
                  <c:v>76.548583762450136</c:v>
                </c:pt>
                <c:pt idx="132">
                  <c:v>76.633084774893305</c:v>
                </c:pt>
                <c:pt idx="133">
                  <c:v>76.716387206890346</c:v>
                </c:pt>
                <c:pt idx="134">
                  <c:v>76.79851412290347</c:v>
                </c:pt>
                <c:pt idx="135">
                  <c:v>76.879488007895645</c:v>
                </c:pt>
                <c:pt idx="136">
                  <c:v>76.959330785324141</c:v>
                </c:pt>
                <c:pt idx="137">
                  <c:v>77.03806383446944</c:v>
                </c:pt>
                <c:pt idx="138">
                  <c:v>77.115708007128077</c:v>
                </c:pt>
                <c:pt idx="139">
                  <c:v>77.192283643696172</c:v>
                </c:pt>
                <c:pt idx="140">
                  <c:v>77.26781058866959</c:v>
                </c:pt>
                <c:pt idx="141">
                  <c:v>77.342308205585269</c:v>
                </c:pt>
                <c:pt idx="142">
                  <c:v>77.415795391426897</c:v>
                </c:pt>
                <c:pt idx="143">
                  <c:v>77.488290590517281</c:v>
                </c:pt>
                <c:pt idx="144">
                  <c:v>77.559811807918493</c:v>
                </c:pt>
                <c:pt idx="145">
                  <c:v>77.630376622360103</c:v>
                </c:pt>
                <c:pt idx="146">
                  <c:v>77.700002198714742</c:v>
                </c:pt>
                <c:pt idx="147">
                  <c:v>77.768705300039173</c:v>
                </c:pt>
                <c:pt idx="148">
                  <c:v>77.8365022991986</c:v>
                </c:pt>
                <c:pt idx="149">
                  <c:v>77.903409190090827</c:v>
                </c:pt>
                <c:pt idx="150">
                  <c:v>77.96944159848627</c:v>
                </c:pt>
              </c:numCache>
            </c:numRef>
          </c:yVal>
          <c:smooth val="0"/>
          <c:extLst>
            <c:ext xmlns:c16="http://schemas.microsoft.com/office/drawing/2014/chart" uri="{C3380CC4-5D6E-409C-BE32-E72D297353CC}">
              <c16:uniqueId val="{00000000-8AEF-4CD2-9E91-5056CF00EB36}"/>
            </c:ext>
          </c:extLst>
        </c:ser>
        <c:dLbls>
          <c:showLegendKey val="0"/>
          <c:showVal val="0"/>
          <c:showCatName val="0"/>
          <c:showSerName val="0"/>
          <c:showPercent val="0"/>
          <c:showBubbleSize val="0"/>
        </c:dLbls>
        <c:axId val="145036800"/>
        <c:axId val="145038336"/>
      </c:scatterChart>
      <c:scatterChart>
        <c:scatterStyle val="smoothMarker"/>
        <c:varyColors val="0"/>
        <c:ser>
          <c:idx val="1"/>
          <c:order val="1"/>
          <c:tx>
            <c:v>MOSFET</c:v>
          </c:tx>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Eff_vs_IOUT!$AI$7:$AI$157</c:f>
              <c:numCache>
                <c:formatCode>General</c:formatCode>
                <c:ptCount val="151"/>
                <c:pt idx="0">
                  <c:v>0</c:v>
                </c:pt>
                <c:pt idx="1">
                  <c:v>5.1379431097557519E-4</c:v>
                </c:pt>
                <c:pt idx="2">
                  <c:v>1.048674074874125E-3</c:v>
                </c:pt>
                <c:pt idx="3">
                  <c:v>1.5972802679335252E-3</c:v>
                </c:pt>
                <c:pt idx="4">
                  <c:v>2.1569868167331504E-3</c:v>
                </c:pt>
                <c:pt idx="5">
                  <c:v>2.7262759958518088E-3</c:v>
                </c:pt>
                <c:pt idx="6">
                  <c:v>3.3041237631566316E-3</c:v>
                </c:pt>
                <c:pt idx="7">
                  <c:v>3.8897783432682949E-3</c:v>
                </c:pt>
                <c:pt idx="8">
                  <c:v>4.4826572568500977E-3</c:v>
                </c:pt>
                <c:pt idx="9">
                  <c:v>5.0822918765189998E-3</c:v>
                </c:pt>
                <c:pt idx="10">
                  <c:v>5.688294522064331E-3</c:v>
                </c:pt>
                <c:pt idx="11">
                  <c:v>6.3003375165987833E-3</c:v>
                </c:pt>
                <c:pt idx="12">
                  <c:v>6.9181391302538461E-3</c:v>
                </c:pt>
                <c:pt idx="13">
                  <c:v>7.5414537453000344E-3</c:v>
                </c:pt>
                <c:pt idx="14">
                  <c:v>8.1700647395440452E-3</c:v>
                </c:pt>
                <c:pt idx="15">
                  <c:v>8.8037791917368324E-3</c:v>
                </c:pt>
                <c:pt idx="16">
                  <c:v>9.4424238495793948E-3</c:v>
                </c:pt>
                <c:pt idx="17">
                  <c:v>1.0085841997596243E-2</c:v>
                </c:pt>
                <c:pt idx="18">
                  <c:v>1.0733890981958314E-2</c:v>
                </c:pt>
                <c:pt idx="19">
                  <c:v>1.1386440224999298E-2</c:v>
                </c:pt>
                <c:pt idx="20">
                  <c:v>1.2043369611457208E-2</c:v>
                </c:pt>
                <c:pt idx="21">
                  <c:v>1.2704568161459673E-2</c:v>
                </c:pt>
                <c:pt idx="22">
                  <c:v>1.3369932927879871E-2</c:v>
                </c:pt>
                <c:pt idx="23">
                  <c:v>1.4039368071514685E-2</c:v>
                </c:pt>
                <c:pt idx="24">
                  <c:v>1.4712784078824341E-2</c:v>
                </c:pt>
                <c:pt idx="25">
                  <c:v>1.539009709516061E-2</c:v>
                </c:pt>
                <c:pt idx="26">
                  <c:v>1.6071228352442238E-2</c:v>
                </c:pt>
                <c:pt idx="27">
                  <c:v>1.6756103674740581E-2</c:v>
                </c:pt>
                <c:pt idx="28">
                  <c:v>1.7444653048646196E-2</c:v>
                </c:pt>
                <c:pt idx="29">
                  <c:v>1.8136810247894153E-2</c:v>
                </c:pt>
                <c:pt idx="30">
                  <c:v>1.8832512503742481E-2</c:v>
                </c:pt>
                <c:pt idx="31">
                  <c:v>1.9531700214173515E-2</c:v>
                </c:pt>
                <c:pt idx="32">
                  <c:v>2.0234316686229166E-2</c:v>
                </c:pt>
                <c:pt idx="33">
                  <c:v>2.0940307906778217E-2</c:v>
                </c:pt>
                <c:pt idx="34">
                  <c:v>2.1649622337804507E-2</c:v>
                </c:pt>
                <c:pt idx="35">
                  <c:v>2.2362210732942912E-2</c:v>
                </c:pt>
                <c:pt idx="36">
                  <c:v>2.307802597250893E-2</c:v>
                </c:pt>
                <c:pt idx="37">
                  <c:v>2.3797022914691636E-2</c:v>
                </c:pt>
                <c:pt idx="38">
                  <c:v>2.4519158260929177E-2</c:v>
                </c:pt>
                <c:pt idx="39">
                  <c:v>2.5244390433774539E-2</c:v>
                </c:pt>
                <c:pt idx="40">
                  <c:v>2.5972679465800126E-2</c:v>
                </c:pt>
                <c:pt idx="41">
                  <c:v>2.6703986898290313E-2</c:v>
                </c:pt>
                <c:pt idx="42">
                  <c:v>2.743827568864048E-2</c:v>
                </c:pt>
                <c:pt idx="43">
                  <c:v>2.8175510125523322E-2</c:v>
                </c:pt>
                <c:pt idx="44">
                  <c:v>2.8915655751004309E-2</c:v>
                </c:pt>
                <c:pt idx="45">
                  <c:v>2.9658679288891147E-2</c:v>
                </c:pt>
                <c:pt idx="46">
                  <c:v>3.0404548578689912E-2</c:v>
                </c:pt>
                <c:pt idx="47">
                  <c:v>3.1153232514616012E-2</c:v>
                </c:pt>
                <c:pt idx="48">
                  <c:v>3.1904700989173342E-2</c:v>
                </c:pt>
                <c:pt idx="49">
                  <c:v>3.2658924840870615E-2</c:v>
                </c:pt>
                <c:pt idx="50">
                  <c:v>3.3415875805693052E-2</c:v>
                </c:pt>
                <c:pt idx="51">
                  <c:v>3.4175526471989404E-2</c:v>
                </c:pt>
                <c:pt idx="52">
                  <c:v>3.4937850238471402E-2</c:v>
                </c:pt>
                <c:pt idx="53">
                  <c:v>3.5702821275054836E-2</c:v>
                </c:pt>
                <c:pt idx="54">
                  <c:v>3.647041448629984E-2</c:v>
                </c:pt>
                <c:pt idx="55">
                  <c:v>3.7240605477232472E-2</c:v>
                </c:pt>
                <c:pt idx="56">
                  <c:v>3.8013370521352036E-2</c:v>
                </c:pt>
                <c:pt idx="57">
                  <c:v>3.8788686530647543E-2</c:v>
                </c:pt>
                <c:pt idx="58">
                  <c:v>3.9566531027463839E-2</c:v>
                </c:pt>
                <c:pt idx="59">
                  <c:v>4.0346882118073385E-2</c:v>
                </c:pt>
                <c:pt idx="60">
                  <c:v>4.1129718467822887E-2</c:v>
                </c:pt>
                <c:pt idx="61">
                  <c:v>4.1915019277736262E-2</c:v>
                </c:pt>
                <c:pt idx="62">
                  <c:v>4.2702764262465741E-2</c:v>
                </c:pt>
                <c:pt idx="63">
                  <c:v>4.349293362949324E-2</c:v>
                </c:pt>
                <c:pt idx="64">
                  <c:v>4.428550805949194E-2</c:v>
                </c:pt>
                <c:pt idx="65">
                  <c:v>4.5080468687766384E-2</c:v>
                </c:pt>
                <c:pt idx="66">
                  <c:v>4.5877797086696079E-2</c:v>
                </c:pt>
                <c:pt idx="67">
                  <c:v>4.6677475249113698E-2</c:v>
                </c:pt>
                <c:pt idx="68">
                  <c:v>4.7479485572555269E-2</c:v>
                </c:pt>
                <c:pt idx="69">
                  <c:v>4.8283810844323982E-2</c:v>
                </c:pt>
                <c:pt idx="70">
                  <c:v>4.9090434227314635E-2</c:v>
                </c:pt>
                <c:pt idx="71">
                  <c:v>4.9899339246549476E-2</c:v>
                </c:pt>
                <c:pt idx="72">
                  <c:v>5.0710509776380377E-2</c:v>
                </c:pt>
                <c:pt idx="73">
                  <c:v>5.1523930028315151E-2</c:v>
                </c:pt>
                <c:pt idx="74">
                  <c:v>5.2339584539430037E-2</c:v>
                </c:pt>
                <c:pt idx="75">
                  <c:v>5.3157458161331758E-2</c:v>
                </c:pt>
                <c:pt idx="76">
                  <c:v>5.3977536049636801E-2</c:v>
                </c:pt>
                <c:pt idx="77">
                  <c:v>5.479980365393685E-2</c:v>
                </c:pt>
                <c:pt idx="78">
                  <c:v>5.5624246708221775E-2</c:v>
                </c:pt>
                <c:pt idx="79">
                  <c:v>5.645085122173385E-2</c:v>
                </c:pt>
                <c:pt idx="80">
                  <c:v>5.7279603470228618E-2</c:v>
                </c:pt>
                <c:pt idx="81">
                  <c:v>5.8110489987619182E-2</c:v>
                </c:pt>
                <c:pt idx="82">
                  <c:v>5.894349755798288E-2</c:v>
                </c:pt>
                <c:pt idx="83">
                  <c:v>5.9778613207910142E-2</c:v>
                </c:pt>
                <c:pt idx="84">
                  <c:v>6.0615824199176896E-2</c:v>
                </c:pt>
                <c:pt idx="85">
                  <c:v>6.1455118021723626E-2</c:v>
                </c:pt>
                <c:pt idx="86">
                  <c:v>6.2296482386923847E-2</c:v>
                </c:pt>
                <c:pt idx="87">
                  <c:v>6.3139905221127932E-2</c:v>
                </c:pt>
                <c:pt idx="88">
                  <c:v>6.3985374659467048E-2</c:v>
                </c:pt>
                <c:pt idx="89">
                  <c:v>6.4832879039904506E-2</c:v>
                </c:pt>
                <c:pt idx="90">
                  <c:v>6.5682406897521584E-2</c:v>
                </c:pt>
                <c:pt idx="91">
                  <c:v>6.6533946959026341E-2</c:v>
                </c:pt>
                <c:pt idx="92">
                  <c:v>6.7387488137474097E-2</c:v>
                </c:pt>
                <c:pt idx="93">
                  <c:v>6.8243019527189405E-2</c:v>
                </c:pt>
                <c:pt idx="94">
                  <c:v>6.9100530398879756E-2</c:v>
                </c:pt>
                <c:pt idx="95">
                  <c:v>6.9960010194931518E-2</c:v>
                </c:pt>
                <c:pt idx="96">
                  <c:v>7.0821448524879871E-2</c:v>
                </c:pt>
                <c:pt idx="97">
                  <c:v>7.168483516104418E-2</c:v>
                </c:pt>
                <c:pt idx="98">
                  <c:v>7.255016003432152E-2</c:v>
                </c:pt>
                <c:pt idx="99">
                  <c:v>7.3417413230130332E-2</c:v>
                </c:pt>
                <c:pt idx="100">
                  <c:v>7.428658498449861E-2</c:v>
                </c:pt>
                <c:pt idx="101">
                  <c:v>7.5157665680288616E-2</c:v>
                </c:pt>
                <c:pt idx="102">
                  <c:v>7.6030645843553263E-2</c:v>
                </c:pt>
                <c:pt idx="103">
                  <c:v>7.6905516140017574E-2</c:v>
                </c:pt>
                <c:pt idx="104">
                  <c:v>7.7782267371680147E-2</c:v>
                </c:pt>
                <c:pt idx="105">
                  <c:v>7.8660890473529227E-2</c:v>
                </c:pt>
                <c:pt idx="106">
                  <c:v>7.9541376510368494E-2</c:v>
                </c:pt>
                <c:pt idx="107">
                  <c:v>8.0423716673747953E-2</c:v>
                </c:pt>
                <c:pt idx="108">
                  <c:v>8.1307902278995425E-2</c:v>
                </c:pt>
                <c:pt idx="109">
                  <c:v>8.2193924762344495E-2</c:v>
                </c:pt>
                <c:pt idx="110">
                  <c:v>8.3081775678154945E-2</c:v>
                </c:pt>
                <c:pt idx="111">
                  <c:v>8.3971446696221669E-2</c:v>
                </c:pt>
                <c:pt idx="112">
                  <c:v>8.4862929599168913E-2</c:v>
                </c:pt>
                <c:pt idx="113">
                  <c:v>8.575621627992594E-2</c:v>
                </c:pt>
                <c:pt idx="114">
                  <c:v>8.6651298739280846E-2</c:v>
                </c:pt>
                <c:pt idx="115">
                  <c:v>8.754816908351036E-2</c:v>
                </c:pt>
                <c:pt idx="116">
                  <c:v>8.8446819522081138E-2</c:v>
                </c:pt>
                <c:pt idx="117">
                  <c:v>8.9347242365420992E-2</c:v>
                </c:pt>
                <c:pt idx="118">
                  <c:v>9.0249430022756968E-2</c:v>
                </c:pt>
                <c:pt idx="119">
                  <c:v>9.1153375000017411E-2</c:v>
                </c:pt>
                <c:pt idx="120">
                  <c:v>9.2059069897796289E-2</c:v>
                </c:pt>
                <c:pt idx="121">
                  <c:v>9.2966507409376509E-2</c:v>
                </c:pt>
                <c:pt idx="122">
                  <c:v>9.3875680318810967E-2</c:v>
                </c:pt>
                <c:pt idx="123">
                  <c:v>9.4786581499058442E-2</c:v>
                </c:pt>
                <c:pt idx="124">
                  <c:v>9.5699203910173142E-2</c:v>
                </c:pt>
                <c:pt idx="125">
                  <c:v>9.6613540597544539E-2</c:v>
                </c:pt>
                <c:pt idx="126">
                  <c:v>9.7529584690187771E-2</c:v>
                </c:pt>
                <c:pt idx="127">
                  <c:v>9.8447329399080602E-2</c:v>
                </c:pt>
                <c:pt idx="128">
                  <c:v>9.9366768015546877E-2</c:v>
                </c:pt>
                <c:pt idx="129">
                  <c:v>0.10028789390968416</c:v>
                </c:pt>
                <c:pt idx="130">
                  <c:v>0.1012107005288341</c:v>
                </c:pt>
                <c:pt idx="131">
                  <c:v>0.1021351813960939</c:v>
                </c:pt>
                <c:pt idx="132">
                  <c:v>0.10306133010886782</c:v>
                </c:pt>
                <c:pt idx="133">
                  <c:v>0.10398914033745722</c:v>
                </c:pt>
                <c:pt idx="134">
                  <c:v>0.10491860582368753</c:v>
                </c:pt>
                <c:pt idx="135">
                  <c:v>0.10584972037957149</c:v>
                </c:pt>
                <c:pt idx="136">
                  <c:v>0.10678247788600669</c:v>
                </c:pt>
                <c:pt idx="137">
                  <c:v>0.10771687229150706</c:v>
                </c:pt>
                <c:pt idx="138">
                  <c:v>0.10865289761096669</c:v>
                </c:pt>
                <c:pt idx="139">
                  <c:v>0.10959054792445502</c:v>
                </c:pt>
                <c:pt idx="140">
                  <c:v>0.11052981737604249</c:v>
                </c:pt>
                <c:pt idx="141">
                  <c:v>0.11147070017265553</c:v>
                </c:pt>
                <c:pt idx="142">
                  <c:v>0.11241319058296019</c:v>
                </c:pt>
                <c:pt idx="143">
                  <c:v>0.11335728293627309</c:v>
                </c:pt>
                <c:pt idx="144">
                  <c:v>0.11430297162149916</c:v>
                </c:pt>
                <c:pt idx="145">
                  <c:v>0.11525025108609552</c:v>
                </c:pt>
                <c:pt idx="146">
                  <c:v>0.11619911583505996</c:v>
                </c:pt>
                <c:pt idx="147">
                  <c:v>0.11714956042994398</c:v>
                </c:pt>
                <c:pt idx="148">
                  <c:v>0.11810157948788938</c:v>
                </c:pt>
                <c:pt idx="149">
                  <c:v>0.11905516768068761</c:v>
                </c:pt>
                <c:pt idx="150">
                  <c:v>0.12001031973386113</c:v>
                </c:pt>
              </c:numCache>
            </c:numRef>
          </c:yVal>
          <c:smooth val="1"/>
          <c:extLst>
            <c:ext xmlns:c16="http://schemas.microsoft.com/office/drawing/2014/chart" uri="{C3380CC4-5D6E-409C-BE32-E72D297353CC}">
              <c16:uniqueId val="{00000001-8AEF-4CD2-9E91-5056CF00EB36}"/>
            </c:ext>
          </c:extLst>
        </c:ser>
        <c:ser>
          <c:idx val="2"/>
          <c:order val="2"/>
          <c:tx>
            <c:v>Diode</c:v>
          </c:tx>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Eff_vs_IOUT!$AN$7:$AN$157</c:f>
              <c:numCache>
                <c:formatCode>General</c:formatCode>
                <c:ptCount val="151"/>
                <c:pt idx="0">
                  <c:v>0.29112499999999997</c:v>
                </c:pt>
                <c:pt idx="1">
                  <c:v>0.29120833333333329</c:v>
                </c:pt>
                <c:pt idx="2">
                  <c:v>0.29129166666666662</c:v>
                </c:pt>
                <c:pt idx="3">
                  <c:v>0.29137499999999994</c:v>
                </c:pt>
                <c:pt idx="4">
                  <c:v>0.29145833333333332</c:v>
                </c:pt>
                <c:pt idx="5">
                  <c:v>0.29154166666666664</c:v>
                </c:pt>
                <c:pt idx="6">
                  <c:v>0.29162499999999997</c:v>
                </c:pt>
                <c:pt idx="7">
                  <c:v>0.29170833333333329</c:v>
                </c:pt>
                <c:pt idx="8">
                  <c:v>0.29179166666666662</c:v>
                </c:pt>
                <c:pt idx="9">
                  <c:v>0.29187499999999994</c:v>
                </c:pt>
                <c:pt idx="10">
                  <c:v>0.29195833333333332</c:v>
                </c:pt>
                <c:pt idx="11">
                  <c:v>0.29204166666666664</c:v>
                </c:pt>
                <c:pt idx="12">
                  <c:v>0.29212499999999997</c:v>
                </c:pt>
                <c:pt idx="13">
                  <c:v>0.29220833333333329</c:v>
                </c:pt>
                <c:pt idx="14">
                  <c:v>0.29229166666666662</c:v>
                </c:pt>
                <c:pt idx="15">
                  <c:v>0.29237499999999994</c:v>
                </c:pt>
                <c:pt idx="16">
                  <c:v>0.29245833333333332</c:v>
                </c:pt>
                <c:pt idx="17">
                  <c:v>0.29254166666666664</c:v>
                </c:pt>
                <c:pt idx="18">
                  <c:v>0.29262499999999997</c:v>
                </c:pt>
                <c:pt idx="19">
                  <c:v>0.29270833333333329</c:v>
                </c:pt>
                <c:pt idx="20">
                  <c:v>0.29279166666666662</c:v>
                </c:pt>
                <c:pt idx="21">
                  <c:v>0.29287499999999994</c:v>
                </c:pt>
                <c:pt idx="22">
                  <c:v>0.29295833333333332</c:v>
                </c:pt>
                <c:pt idx="23">
                  <c:v>0.29304166666666664</c:v>
                </c:pt>
                <c:pt idx="24">
                  <c:v>0.29312499999999997</c:v>
                </c:pt>
                <c:pt idx="25">
                  <c:v>0.29320833333333329</c:v>
                </c:pt>
                <c:pt idx="26">
                  <c:v>0.29329166666666662</c:v>
                </c:pt>
                <c:pt idx="27">
                  <c:v>0.29337499999999994</c:v>
                </c:pt>
                <c:pt idx="28">
                  <c:v>0.29345833333333332</c:v>
                </c:pt>
                <c:pt idx="29">
                  <c:v>0.29354166666666665</c:v>
                </c:pt>
                <c:pt idx="30">
                  <c:v>0.29362499999999997</c:v>
                </c:pt>
                <c:pt idx="31">
                  <c:v>0.29370833333333329</c:v>
                </c:pt>
                <c:pt idx="32">
                  <c:v>0.29379166666666662</c:v>
                </c:pt>
                <c:pt idx="33">
                  <c:v>0.29387499999999994</c:v>
                </c:pt>
                <c:pt idx="34">
                  <c:v>0.29395833333333332</c:v>
                </c:pt>
                <c:pt idx="35">
                  <c:v>0.29404166666666665</c:v>
                </c:pt>
                <c:pt idx="36">
                  <c:v>0.29412499999999997</c:v>
                </c:pt>
                <c:pt idx="37">
                  <c:v>0.29420833333333329</c:v>
                </c:pt>
                <c:pt idx="38">
                  <c:v>0.29429166666666662</c:v>
                </c:pt>
                <c:pt idx="39">
                  <c:v>0.29437499999999994</c:v>
                </c:pt>
                <c:pt idx="40">
                  <c:v>0.29445833333333332</c:v>
                </c:pt>
                <c:pt idx="41">
                  <c:v>0.29454166666666665</c:v>
                </c:pt>
                <c:pt idx="42">
                  <c:v>0.29462499999999997</c:v>
                </c:pt>
                <c:pt idx="43">
                  <c:v>0.29470833333333329</c:v>
                </c:pt>
                <c:pt idx="44">
                  <c:v>0.29479166666666662</c:v>
                </c:pt>
                <c:pt idx="45">
                  <c:v>0.29487499999999994</c:v>
                </c:pt>
                <c:pt idx="46">
                  <c:v>0.29495833333333332</c:v>
                </c:pt>
                <c:pt idx="47">
                  <c:v>0.29504166666666665</c:v>
                </c:pt>
                <c:pt idx="48">
                  <c:v>0.29512499999999997</c:v>
                </c:pt>
                <c:pt idx="49">
                  <c:v>0.29520833333333329</c:v>
                </c:pt>
                <c:pt idx="50">
                  <c:v>0.29529166666666662</c:v>
                </c:pt>
                <c:pt idx="51">
                  <c:v>0.29537499999999994</c:v>
                </c:pt>
                <c:pt idx="52">
                  <c:v>0.29545833333333332</c:v>
                </c:pt>
                <c:pt idx="53">
                  <c:v>0.29554166666666665</c:v>
                </c:pt>
                <c:pt idx="54">
                  <c:v>0.29562499999999997</c:v>
                </c:pt>
                <c:pt idx="55">
                  <c:v>0.2957083333333333</c:v>
                </c:pt>
                <c:pt idx="56">
                  <c:v>0.29579166666666662</c:v>
                </c:pt>
                <c:pt idx="57">
                  <c:v>0.29587499999999994</c:v>
                </c:pt>
                <c:pt idx="58">
                  <c:v>0.29595833333333332</c:v>
                </c:pt>
                <c:pt idx="59">
                  <c:v>0.29604166666666665</c:v>
                </c:pt>
                <c:pt idx="60">
                  <c:v>0.29612499999999997</c:v>
                </c:pt>
                <c:pt idx="61">
                  <c:v>0.2962083333333333</c:v>
                </c:pt>
                <c:pt idx="62">
                  <c:v>0.29629166666666662</c:v>
                </c:pt>
                <c:pt idx="63">
                  <c:v>0.29637499999999994</c:v>
                </c:pt>
                <c:pt idx="64">
                  <c:v>0.29645833333333332</c:v>
                </c:pt>
                <c:pt idx="65">
                  <c:v>0.29654166666666665</c:v>
                </c:pt>
                <c:pt idx="66">
                  <c:v>0.29662499999999997</c:v>
                </c:pt>
                <c:pt idx="67">
                  <c:v>0.2967083333333333</c:v>
                </c:pt>
                <c:pt idx="68">
                  <c:v>0.29679166666666662</c:v>
                </c:pt>
                <c:pt idx="69">
                  <c:v>0.29687499999999994</c:v>
                </c:pt>
                <c:pt idx="70">
                  <c:v>0.29695833333333332</c:v>
                </c:pt>
                <c:pt idx="71">
                  <c:v>0.29704166666666665</c:v>
                </c:pt>
                <c:pt idx="72">
                  <c:v>0.29712499999999997</c:v>
                </c:pt>
                <c:pt idx="73">
                  <c:v>0.2972083333333333</c:v>
                </c:pt>
                <c:pt idx="74">
                  <c:v>0.29729166666666662</c:v>
                </c:pt>
                <c:pt idx="75">
                  <c:v>0.29737499999999994</c:v>
                </c:pt>
                <c:pt idx="76">
                  <c:v>0.29745833333333332</c:v>
                </c:pt>
                <c:pt idx="77">
                  <c:v>0.29754166666666665</c:v>
                </c:pt>
                <c:pt idx="78">
                  <c:v>0.29762499999999997</c:v>
                </c:pt>
                <c:pt idx="79">
                  <c:v>0.2977083333333333</c:v>
                </c:pt>
                <c:pt idx="80">
                  <c:v>0.29779166666666662</c:v>
                </c:pt>
                <c:pt idx="81">
                  <c:v>0.29787499999999995</c:v>
                </c:pt>
                <c:pt idx="82">
                  <c:v>0.29795833333333333</c:v>
                </c:pt>
                <c:pt idx="83">
                  <c:v>0.29804166666666665</c:v>
                </c:pt>
                <c:pt idx="84">
                  <c:v>0.29812499999999997</c:v>
                </c:pt>
                <c:pt idx="85">
                  <c:v>0.2982083333333333</c:v>
                </c:pt>
                <c:pt idx="86">
                  <c:v>0.29829166666666662</c:v>
                </c:pt>
                <c:pt idx="87">
                  <c:v>0.29837499999999995</c:v>
                </c:pt>
                <c:pt idx="88">
                  <c:v>0.29845833333333333</c:v>
                </c:pt>
                <c:pt idx="89">
                  <c:v>0.29854166666666665</c:v>
                </c:pt>
                <c:pt idx="90">
                  <c:v>0.29862499999999997</c:v>
                </c:pt>
                <c:pt idx="91">
                  <c:v>0.2987083333333333</c:v>
                </c:pt>
                <c:pt idx="92">
                  <c:v>0.29879166666666662</c:v>
                </c:pt>
                <c:pt idx="93">
                  <c:v>0.29887499999999995</c:v>
                </c:pt>
                <c:pt idx="94">
                  <c:v>0.29895833333333333</c:v>
                </c:pt>
                <c:pt idx="95">
                  <c:v>0.29904166666666665</c:v>
                </c:pt>
                <c:pt idx="96">
                  <c:v>0.29912499999999997</c:v>
                </c:pt>
                <c:pt idx="97">
                  <c:v>0.2992083333333333</c:v>
                </c:pt>
                <c:pt idx="98">
                  <c:v>0.29929166666666662</c:v>
                </c:pt>
                <c:pt idx="99">
                  <c:v>0.29937499999999995</c:v>
                </c:pt>
                <c:pt idx="100">
                  <c:v>0.29945833333333333</c:v>
                </c:pt>
                <c:pt idx="101">
                  <c:v>0.29954166666666665</c:v>
                </c:pt>
                <c:pt idx="102">
                  <c:v>0.29962499999999997</c:v>
                </c:pt>
                <c:pt idx="103">
                  <c:v>0.2997083333333333</c:v>
                </c:pt>
                <c:pt idx="104">
                  <c:v>0.29979166666666662</c:v>
                </c:pt>
                <c:pt idx="105">
                  <c:v>0.29987499999999995</c:v>
                </c:pt>
                <c:pt idx="106">
                  <c:v>0.29995833333333333</c:v>
                </c:pt>
                <c:pt idx="107">
                  <c:v>0.30004166666666665</c:v>
                </c:pt>
                <c:pt idx="108">
                  <c:v>0.30012499999999998</c:v>
                </c:pt>
                <c:pt idx="109">
                  <c:v>0.3002083333333333</c:v>
                </c:pt>
                <c:pt idx="110">
                  <c:v>0.30029166666666662</c:v>
                </c:pt>
                <c:pt idx="111">
                  <c:v>0.30037499999999995</c:v>
                </c:pt>
                <c:pt idx="112">
                  <c:v>0.30045833333333327</c:v>
                </c:pt>
                <c:pt idx="113">
                  <c:v>0.30054166666666665</c:v>
                </c:pt>
                <c:pt idx="114">
                  <c:v>0.30062499999999998</c:v>
                </c:pt>
                <c:pt idx="115">
                  <c:v>0.3007083333333333</c:v>
                </c:pt>
                <c:pt idx="116">
                  <c:v>0.30079166666666662</c:v>
                </c:pt>
                <c:pt idx="117">
                  <c:v>0.30087499999999995</c:v>
                </c:pt>
                <c:pt idx="118">
                  <c:v>0.30095833333333333</c:v>
                </c:pt>
                <c:pt idx="119">
                  <c:v>0.30104166666666665</c:v>
                </c:pt>
                <c:pt idx="120">
                  <c:v>0.30112499999999998</c:v>
                </c:pt>
                <c:pt idx="121">
                  <c:v>0.3012083333333333</c:v>
                </c:pt>
                <c:pt idx="122">
                  <c:v>0.30129166666666662</c:v>
                </c:pt>
                <c:pt idx="123">
                  <c:v>0.30137499999999995</c:v>
                </c:pt>
                <c:pt idx="124">
                  <c:v>0.30145833333333327</c:v>
                </c:pt>
                <c:pt idx="125">
                  <c:v>0.30154166666666665</c:v>
                </c:pt>
                <c:pt idx="126">
                  <c:v>0.30162499999999998</c:v>
                </c:pt>
                <c:pt idx="127">
                  <c:v>0.3017083333333333</c:v>
                </c:pt>
                <c:pt idx="128">
                  <c:v>0.30179166666666662</c:v>
                </c:pt>
                <c:pt idx="129">
                  <c:v>0.30187499999999995</c:v>
                </c:pt>
                <c:pt idx="130">
                  <c:v>0.30195833333333333</c:v>
                </c:pt>
                <c:pt idx="131">
                  <c:v>0.30204166666666665</c:v>
                </c:pt>
                <c:pt idx="132">
                  <c:v>0.30212499999999998</c:v>
                </c:pt>
                <c:pt idx="133">
                  <c:v>0.3022083333333333</c:v>
                </c:pt>
                <c:pt idx="134">
                  <c:v>0.30229166666666663</c:v>
                </c:pt>
                <c:pt idx="135">
                  <c:v>0.30237499999999995</c:v>
                </c:pt>
                <c:pt idx="136">
                  <c:v>0.30245833333333327</c:v>
                </c:pt>
                <c:pt idx="137">
                  <c:v>0.30254166666666665</c:v>
                </c:pt>
                <c:pt idx="138">
                  <c:v>0.30262499999999998</c:v>
                </c:pt>
                <c:pt idx="139">
                  <c:v>0.3027083333333333</c:v>
                </c:pt>
                <c:pt idx="140">
                  <c:v>0.30279166666666663</c:v>
                </c:pt>
                <c:pt idx="141">
                  <c:v>0.30287499999999995</c:v>
                </c:pt>
                <c:pt idx="142">
                  <c:v>0.30295833333333327</c:v>
                </c:pt>
                <c:pt idx="143">
                  <c:v>0.30304166666666665</c:v>
                </c:pt>
                <c:pt idx="144">
                  <c:v>0.30312499999999998</c:v>
                </c:pt>
                <c:pt idx="145">
                  <c:v>0.3032083333333333</c:v>
                </c:pt>
                <c:pt idx="146">
                  <c:v>0.30329166666666663</c:v>
                </c:pt>
                <c:pt idx="147">
                  <c:v>0.30337499999999995</c:v>
                </c:pt>
                <c:pt idx="148">
                  <c:v>0.30345833333333327</c:v>
                </c:pt>
                <c:pt idx="149">
                  <c:v>0.30354166666666665</c:v>
                </c:pt>
                <c:pt idx="150">
                  <c:v>0.30362499999999998</c:v>
                </c:pt>
              </c:numCache>
            </c:numRef>
          </c:yVal>
          <c:smooth val="1"/>
          <c:extLst>
            <c:ext xmlns:c16="http://schemas.microsoft.com/office/drawing/2014/chart" uri="{C3380CC4-5D6E-409C-BE32-E72D297353CC}">
              <c16:uniqueId val="{00000002-8AEF-4CD2-9E91-5056CF00EB36}"/>
            </c:ext>
          </c:extLst>
        </c:ser>
        <c:ser>
          <c:idx val="3"/>
          <c:order val="3"/>
          <c:tx>
            <c:v>RCS</c:v>
          </c:tx>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Eff_vs_IOUT!$AO$7:$AO$157</c:f>
              <c:numCache>
                <c:formatCode>General</c:formatCode>
                <c:ptCount val="151"/>
                <c:pt idx="0">
                  <c:v>0</c:v>
                </c:pt>
                <c:pt idx="1">
                  <c:v>1.0224465647542561E-5</c:v>
                </c:pt>
                <c:pt idx="2">
                  <c:v>2.8919155973544998E-5</c:v>
                </c:pt>
                <c:pt idx="3">
                  <c:v>5.3127881945359003E-5</c:v>
                </c:pt>
                <c:pt idx="4">
                  <c:v>8.1795725180340472E-5</c:v>
                </c:pt>
                <c:pt idx="5">
                  <c:v>1.143130011075828E-4</c:v>
                </c:pt>
                <c:pt idx="6">
                  <c:v>1.502683423745668E-4</c:v>
                </c:pt>
                <c:pt idx="7">
                  <c:v>1.8935975374344402E-4</c:v>
                </c:pt>
                <c:pt idx="8">
                  <c:v>2.3135324778836001E-4</c:v>
                </c:pt>
                <c:pt idx="9">
                  <c:v>2.7606057248364893E-4</c:v>
                </c:pt>
                <c:pt idx="10">
                  <c:v>3.233259930438286E-4</c:v>
                </c:pt>
                <c:pt idx="11">
                  <c:v>3.7301787858254483E-4</c:v>
                </c:pt>
                <c:pt idx="12">
                  <c:v>4.2502305556287208E-4</c:v>
                </c:pt>
                <c:pt idx="13">
                  <c:v>4.7924285703365255E-4</c:v>
                </c:pt>
                <c:pt idx="14">
                  <c:v>5.3559026382321638E-4</c:v>
                </c:pt>
                <c:pt idx="15">
                  <c:v>5.9398777765203221E-4</c:v>
                </c:pt>
                <c:pt idx="16">
                  <c:v>6.5436580144272389E-4</c:v>
                </c:pt>
                <c:pt idx="17">
                  <c:v>7.1666138111539299E-4</c:v>
                </c:pt>
                <c:pt idx="18">
                  <c:v>7.80817211285715E-4</c:v>
                </c:pt>
                <c:pt idx="19">
                  <c:v>8.4678083767748239E-4</c:v>
                </c:pt>
                <c:pt idx="20">
                  <c:v>9.1450400886066243E-4</c:v>
                </c:pt>
                <c:pt idx="21">
                  <c:v>9.8394214317712838E-4</c:v>
                </c:pt>
                <c:pt idx="22">
                  <c:v>1.0550538857981516E-3</c:v>
                </c:pt>
                <c:pt idx="23">
                  <c:v>1.1278007372147896E-3</c:v>
                </c:pt>
                <c:pt idx="24">
                  <c:v>1.2021467389965344E-3</c:v>
                </c:pt>
                <c:pt idx="25">
                  <c:v>1.2780582059428191E-3</c:v>
                </c:pt>
                <c:pt idx="26">
                  <c:v>1.3555034961748431E-3</c:v>
                </c:pt>
                <c:pt idx="27">
                  <c:v>1.4344528125246926E-3</c:v>
                </c:pt>
                <c:pt idx="28">
                  <c:v>1.5148780299475521E-3</c:v>
                </c:pt>
                <c:pt idx="29">
                  <c:v>1.5967525447301545E-3</c:v>
                </c:pt>
                <c:pt idx="30">
                  <c:v>1.6800511420787163E-3</c:v>
                </c:pt>
                <c:pt idx="31">
                  <c:v>1.7647498793023843E-3</c:v>
                </c:pt>
                <c:pt idx="32">
                  <c:v>1.8508259823068799E-3</c:v>
                </c:pt>
                <c:pt idx="33">
                  <c:v>1.938257753509579E-3</c:v>
                </c:pt>
                <c:pt idx="34">
                  <c:v>2.0270244896048446E-3</c:v>
                </c:pt>
                <c:pt idx="35">
                  <c:v>2.1171064078648058E-3</c:v>
                </c:pt>
                <c:pt idx="36">
                  <c:v>2.2084845798691919E-3</c:v>
                </c:pt>
                <c:pt idx="37">
                  <c:v>2.3011408717281481E-3</c:v>
                </c:pt>
                <c:pt idx="38">
                  <c:v>2.3950578900022914E-3</c:v>
                </c:pt>
                <c:pt idx="39">
                  <c:v>2.4902189326402617E-3</c:v>
                </c:pt>
                <c:pt idx="40">
                  <c:v>2.5866079443506275E-3</c:v>
                </c:pt>
                <c:pt idx="41">
                  <c:v>2.6842094759057505E-3</c:v>
                </c:pt>
                <c:pt idx="42">
                  <c:v>2.7830086469430885E-3</c:v>
                </c:pt>
                <c:pt idx="43">
                  <c:v>2.8829911118867118E-3</c:v>
                </c:pt>
                <c:pt idx="44">
                  <c:v>2.9841430286603604E-3</c:v>
                </c:pt>
                <c:pt idx="45">
                  <c:v>3.0864510299047345E-3</c:v>
                </c:pt>
                <c:pt idx="46">
                  <c:v>3.189902196447061E-3</c:v>
                </c:pt>
                <c:pt idx="47">
                  <c:v>3.2944840328012251E-3</c:v>
                </c:pt>
                <c:pt idx="48">
                  <c:v>3.4001844445029762E-3</c:v>
                </c:pt>
                <c:pt idx="49">
                  <c:v>3.5069917171070982E-3</c:v>
                </c:pt>
                <c:pt idx="50">
                  <c:v>3.6148944966931237E-3</c:v>
                </c:pt>
                <c:pt idx="51">
                  <c:v>3.7238817717430298E-3</c:v>
                </c:pt>
                <c:pt idx="52">
                  <c:v>3.8339428562692195E-3</c:v>
                </c:pt>
                <c:pt idx="53">
                  <c:v>3.9450673740840251E-3</c:v>
                </c:pt>
                <c:pt idx="54">
                  <c:v>4.0572452441133009E-3</c:v>
                </c:pt>
                <c:pt idx="55">
                  <c:v>4.1704666666666701E-3</c:v>
                </c:pt>
                <c:pt idx="56">
                  <c:v>4.2847221105857302E-3</c:v>
                </c:pt>
                <c:pt idx="57">
                  <c:v>4.4000023011993971E-3</c:v>
                </c:pt>
                <c:pt idx="58">
                  <c:v>4.5162982090222736E-3</c:v>
                </c:pt>
                <c:pt idx="59">
                  <c:v>4.6336010391381625E-3</c:v>
                </c:pt>
                <c:pt idx="60">
                  <c:v>4.7519022212162568E-3</c:v>
                </c:pt>
                <c:pt idx="61">
                  <c:v>4.871193400112315E-3</c:v>
                </c:pt>
                <c:pt idx="62">
                  <c:v>4.9914664270114314E-3</c:v>
                </c:pt>
                <c:pt idx="63">
                  <c:v>5.1127133510729915E-3</c:v>
                </c:pt>
                <c:pt idx="64">
                  <c:v>5.2349264115417902E-3</c:v>
                </c:pt>
                <c:pt idx="65">
                  <c:v>5.3580980302923003E-3</c:v>
                </c:pt>
                <c:pt idx="66">
                  <c:v>5.4822208047761089E-3</c:v>
                </c:pt>
                <c:pt idx="67">
                  <c:v>5.6072875013448154E-3</c:v>
                </c:pt>
                <c:pt idx="68">
                  <c:v>5.7332910489231439E-3</c:v>
                </c:pt>
                <c:pt idx="69">
                  <c:v>5.8602245330089554E-3</c:v>
                </c:pt>
                <c:pt idx="70">
                  <c:v>5.9880811899787906E-3</c:v>
                </c:pt>
                <c:pt idx="71">
                  <c:v>6.1168544016792026E-3</c:v>
                </c:pt>
                <c:pt idx="72">
                  <c:v>6.2465376902857209E-3</c:v>
                </c:pt>
                <c:pt idx="73">
                  <c:v>6.3771247134126047E-3</c:v>
                </c:pt>
                <c:pt idx="74">
                  <c:v>6.5086092594579875E-3</c:v>
                </c:pt>
                <c:pt idx="75">
                  <c:v>6.6409852431698752E-3</c:v>
                </c:pt>
                <c:pt idx="76">
                  <c:v>6.7742467014198574E-3</c:v>
                </c:pt>
                <c:pt idx="77">
                  <c:v>6.9083877891721003E-3</c:v>
                </c:pt>
                <c:pt idx="78">
                  <c:v>7.0434027756362226E-3</c:v>
                </c:pt>
                <c:pt idx="79">
                  <c:v>7.1792860405932996E-3</c:v>
                </c:pt>
                <c:pt idx="80">
                  <c:v>7.3160320708852995E-3</c:v>
                </c:pt>
                <c:pt idx="81">
                  <c:v>7.4536354570585231E-3</c:v>
                </c:pt>
                <c:pt idx="82">
                  <c:v>7.5920908901525759E-3</c:v>
                </c:pt>
                <c:pt idx="83">
                  <c:v>7.7313931586268638E-3</c:v>
                </c:pt>
                <c:pt idx="84">
                  <c:v>7.8715371454170235E-3</c:v>
                </c:pt>
                <c:pt idx="85">
                  <c:v>8.0125178251145134E-3</c:v>
                </c:pt>
                <c:pt idx="86">
                  <c:v>8.1543302612625563E-3</c:v>
                </c:pt>
                <c:pt idx="87">
                  <c:v>8.2969696037625724E-3</c:v>
                </c:pt>
                <c:pt idx="88">
                  <c:v>8.4404310863852149E-3</c:v>
                </c:pt>
                <c:pt idx="89">
                  <c:v>8.584710024380689E-3</c:v>
                </c:pt>
                <c:pt idx="90">
                  <c:v>8.7298018121833697E-3</c:v>
                </c:pt>
                <c:pt idx="91">
                  <c:v>8.8757019212058787E-3</c:v>
                </c:pt>
                <c:pt idx="92">
                  <c:v>9.0224058977183171E-3</c:v>
                </c:pt>
                <c:pt idx="93">
                  <c:v>9.1699093608083194E-3</c:v>
                </c:pt>
                <c:pt idx="94">
                  <c:v>9.3182080004182034E-3</c:v>
                </c:pt>
                <c:pt idx="95">
                  <c:v>9.4672975754553253E-3</c:v>
                </c:pt>
                <c:pt idx="96">
                  <c:v>9.6171739119722752E-3</c:v>
                </c:pt>
                <c:pt idx="97">
                  <c:v>9.7678329014135833E-3</c:v>
                </c:pt>
                <c:pt idx="98">
                  <c:v>9.9192704989259344E-3</c:v>
                </c:pt>
                <c:pt idx="99">
                  <c:v>1.0071482721728718E-2</c:v>
                </c:pt>
                <c:pt idx="100">
                  <c:v>1.0224465647542556E-2</c:v>
                </c:pt>
                <c:pt idx="101">
                  <c:v>1.0378215413072817E-2</c:v>
                </c:pt>
                <c:pt idx="102">
                  <c:v>1.0532728212545884E-2</c:v>
                </c:pt>
                <c:pt idx="103">
                  <c:v>1.0688000296295738E-2</c:v>
                </c:pt>
                <c:pt idx="104">
                  <c:v>1.0844027969398743E-2</c:v>
                </c:pt>
                <c:pt idx="105">
                  <c:v>1.1000807590354449E-2</c:v>
                </c:pt>
                <c:pt idx="106">
                  <c:v>1.1158335569810482E-2</c:v>
                </c:pt>
                <c:pt idx="107">
                  <c:v>1.1316608369329663E-2</c:v>
                </c:pt>
                <c:pt idx="108">
                  <c:v>1.1475622500197541E-2</c:v>
                </c:pt>
                <c:pt idx="109">
                  <c:v>1.163537452226863E-2</c:v>
                </c:pt>
                <c:pt idx="110">
                  <c:v>1.1795861042849834E-2</c:v>
                </c:pt>
                <c:pt idx="111">
                  <c:v>1.1957078715619464E-2</c:v>
                </c:pt>
                <c:pt idx="112">
                  <c:v>1.2119024239580417E-2</c:v>
                </c:pt>
                <c:pt idx="113">
                  <c:v>1.2281694358046142E-2</c:v>
                </c:pt>
                <c:pt idx="114">
                  <c:v>1.2445085857658036E-2</c:v>
                </c:pt>
                <c:pt idx="115">
                  <c:v>1.2609195567433227E-2</c:v>
                </c:pt>
                <c:pt idx="116">
                  <c:v>1.2774020357841235E-2</c:v>
                </c:pt>
                <c:pt idx="117">
                  <c:v>1.293955713990862E-2</c:v>
                </c:pt>
                <c:pt idx="118">
                  <c:v>1.3105802864350508E-2</c:v>
                </c:pt>
                <c:pt idx="119">
                  <c:v>1.3272754520727875E-2</c:v>
                </c:pt>
                <c:pt idx="120">
                  <c:v>1.3440409136629732E-2</c:v>
                </c:pt>
                <c:pt idx="121">
                  <c:v>1.3608763776879144E-2</c:v>
                </c:pt>
                <c:pt idx="122">
                  <c:v>1.3777815542762297E-2</c:v>
                </c:pt>
                <c:pt idx="123">
                  <c:v>1.3947561571279753E-2</c:v>
                </c:pt>
                <c:pt idx="124">
                  <c:v>1.411799903441908E-2</c:v>
                </c:pt>
                <c:pt idx="125">
                  <c:v>1.428912513844785E-2</c:v>
                </c:pt>
                <c:pt idx="126">
                  <c:v>1.446093712322684E-2</c:v>
                </c:pt>
                <c:pt idx="127">
                  <c:v>1.4633432261541996E-2</c:v>
                </c:pt>
                <c:pt idx="128">
                  <c:v>1.4806607858455041E-2</c:v>
                </c:pt>
                <c:pt idx="129">
                  <c:v>1.4980461250671819E-2</c:v>
                </c:pt>
                <c:pt idx="130">
                  <c:v>1.5154989805927874E-2</c:v>
                </c:pt>
                <c:pt idx="131">
                  <c:v>1.5330190922390439E-2</c:v>
                </c:pt>
                <c:pt idx="132">
                  <c:v>1.5506062028076632E-2</c:v>
                </c:pt>
                <c:pt idx="133">
                  <c:v>1.5682600580286997E-2</c:v>
                </c:pt>
                <c:pt idx="134">
                  <c:v>1.5859804065053964E-2</c:v>
                </c:pt>
                <c:pt idx="135">
                  <c:v>1.6037669996604869E-2</c:v>
                </c:pt>
                <c:pt idx="136">
                  <c:v>1.6216195916838757E-2</c:v>
                </c:pt>
                <c:pt idx="137">
                  <c:v>1.6395379394816771E-2</c:v>
                </c:pt>
                <c:pt idx="138">
                  <c:v>1.6575218026265603E-2</c:v>
                </c:pt>
                <c:pt idx="139">
                  <c:v>1.6755709433093485E-2</c:v>
                </c:pt>
                <c:pt idx="140">
                  <c:v>1.693685126291845E-2</c:v>
                </c:pt>
                <c:pt idx="141">
                  <c:v>1.71186411886084E-2</c:v>
                </c:pt>
                <c:pt idx="142">
                  <c:v>1.7301076907832579E-2</c:v>
                </c:pt>
                <c:pt idx="143">
                  <c:v>1.7484156142624174E-2</c:v>
                </c:pt>
                <c:pt idx="144">
                  <c:v>1.7667876638953531E-2</c:v>
                </c:pt>
                <c:pt idx="145">
                  <c:v>1.7852236166311992E-2</c:v>
                </c:pt>
                <c:pt idx="146">
                  <c:v>1.803723251730549E-2</c:v>
                </c:pt>
                <c:pt idx="147">
                  <c:v>1.8222863507258141E-2</c:v>
                </c:pt>
                <c:pt idx="148">
                  <c:v>1.8409126973825185E-2</c:v>
                </c:pt>
                <c:pt idx="149">
                  <c:v>1.8596020776615155E-2</c:v>
                </c:pt>
                <c:pt idx="150">
                  <c:v>1.8783542796820842E-2</c:v>
                </c:pt>
              </c:numCache>
            </c:numRef>
          </c:yVal>
          <c:smooth val="1"/>
          <c:extLst>
            <c:ext xmlns:c16="http://schemas.microsoft.com/office/drawing/2014/chart" uri="{C3380CC4-5D6E-409C-BE32-E72D297353CC}">
              <c16:uniqueId val="{00000003-8AEF-4CD2-9E91-5056CF00EB36}"/>
            </c:ext>
          </c:extLst>
        </c:ser>
        <c:dLbls>
          <c:showLegendKey val="0"/>
          <c:showVal val="0"/>
          <c:showCatName val="0"/>
          <c:showSerName val="0"/>
          <c:showPercent val="0"/>
          <c:showBubbleSize val="0"/>
        </c:dLbls>
        <c:axId val="145058432"/>
        <c:axId val="145056896"/>
      </c:scatterChart>
      <c:valAx>
        <c:axId val="145036800"/>
        <c:scaling>
          <c:orientation val="minMax"/>
        </c:scaling>
        <c:delete val="0"/>
        <c:axPos val="b"/>
        <c:majorGridlines/>
        <c:numFmt formatCode="General" sourceLinked="1"/>
        <c:majorTickMark val="out"/>
        <c:minorTickMark val="none"/>
        <c:tickLblPos val="nextTo"/>
        <c:crossAx val="145038336"/>
        <c:crosses val="autoZero"/>
        <c:crossBetween val="midCat"/>
      </c:valAx>
      <c:valAx>
        <c:axId val="145038336"/>
        <c:scaling>
          <c:orientation val="minMax"/>
          <c:max val="100"/>
        </c:scaling>
        <c:delete val="0"/>
        <c:axPos val="l"/>
        <c:majorGridlines/>
        <c:title>
          <c:overlay val="0"/>
          <c:txPr>
            <a:bodyPr rot="-5400000" vert="horz"/>
            <a:lstStyle/>
            <a:p>
              <a:pPr>
                <a:defRPr/>
              </a:pPr>
              <a:endParaRPr lang="en-US"/>
            </a:p>
          </c:txPr>
        </c:title>
        <c:numFmt formatCode="General" sourceLinked="1"/>
        <c:majorTickMark val="out"/>
        <c:minorTickMark val="none"/>
        <c:tickLblPos val="nextTo"/>
        <c:crossAx val="145036800"/>
        <c:crosses val="autoZero"/>
        <c:crossBetween val="midCat"/>
      </c:valAx>
      <c:valAx>
        <c:axId val="145056896"/>
        <c:scaling>
          <c:orientation val="minMax"/>
        </c:scaling>
        <c:delete val="0"/>
        <c:axPos val="r"/>
        <c:numFmt formatCode="General" sourceLinked="1"/>
        <c:majorTickMark val="out"/>
        <c:minorTickMark val="none"/>
        <c:tickLblPos val="nextTo"/>
        <c:crossAx val="145058432"/>
        <c:crosses val="max"/>
        <c:crossBetween val="midCat"/>
      </c:valAx>
      <c:valAx>
        <c:axId val="145058432"/>
        <c:scaling>
          <c:orientation val="minMax"/>
        </c:scaling>
        <c:delete val="1"/>
        <c:axPos val="b"/>
        <c:numFmt formatCode="General" sourceLinked="1"/>
        <c:majorTickMark val="out"/>
        <c:minorTickMark val="none"/>
        <c:tickLblPos val="nextTo"/>
        <c:crossAx val="145056896"/>
        <c:crosses val="autoZero"/>
        <c:crossBetween val="midCat"/>
      </c:valAx>
    </c:plotArea>
    <c:legend>
      <c:legendPos val="r"/>
      <c:overlay val="1"/>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Plant Transfer</a:t>
            </a:r>
            <a:r>
              <a:rPr lang="en-US" baseline="0"/>
              <a:t> Function</a:t>
            </a:r>
            <a:endParaRPr lang="en-US"/>
          </a:p>
        </c:rich>
      </c:tx>
      <c:overlay val="0"/>
    </c:title>
    <c:autoTitleDeleted val="0"/>
    <c:plotArea>
      <c:layout/>
      <c:scatterChart>
        <c:scatterStyle val="smoothMarker"/>
        <c:varyColors val="0"/>
        <c:ser>
          <c:idx val="0"/>
          <c:order val="0"/>
          <c:tx>
            <c:v>Gain(dB)</c:v>
          </c:tx>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Loop_Modeling!$AD$19:$AD$560</c:f>
              <c:numCache>
                <c:formatCode>0.000</c:formatCode>
                <c:ptCount val="542"/>
                <c:pt idx="0">
                  <c:v>56.528453848787009</c:v>
                </c:pt>
                <c:pt idx="1">
                  <c:v>56.478763637188933</c:v>
                </c:pt>
                <c:pt idx="2">
                  <c:v>56.42733385584846</c:v>
                </c:pt>
                <c:pt idx="3">
                  <c:v>56.374125164730941</c:v>
                </c:pt>
                <c:pt idx="4">
                  <c:v>56.31909882367075</c:v>
                </c:pt>
                <c:pt idx="5">
                  <c:v>56.262216802650698</c:v>
                </c:pt>
                <c:pt idx="6">
                  <c:v>56.203441894086687</c:v>
                </c:pt>
                <c:pt idx="7">
                  <c:v>56.14273782654454</c:v>
                </c:pt>
                <c:pt idx="8">
                  <c:v>56.080069379271563</c:v>
                </c:pt>
                <c:pt idx="9">
                  <c:v>56.015402496882402</c:v>
                </c:pt>
                <c:pt idx="10">
                  <c:v>55.948704403503342</c:v>
                </c:pt>
                <c:pt idx="11">
                  <c:v>55.87994371564865</c:v>
                </c:pt>
                <c:pt idx="12">
                  <c:v>55.809090553077084</c:v>
                </c:pt>
                <c:pt idx="13">
                  <c:v>55.736116646863081</c:v>
                </c:pt>
                <c:pt idx="14">
                  <c:v>55.660995443905804</c:v>
                </c:pt>
                <c:pt idx="15">
                  <c:v>55.583702207101489</c:v>
                </c:pt>
                <c:pt idx="16">
                  <c:v>55.50421411041421</c:v>
                </c:pt>
                <c:pt idx="17">
                  <c:v>55.422510328098468</c:v>
                </c:pt>
                <c:pt idx="18">
                  <c:v>55.338572117355625</c:v>
                </c:pt>
                <c:pt idx="19">
                  <c:v>55.25238289374586</c:v>
                </c:pt>
                <c:pt idx="20">
                  <c:v>55.163928298723526</c:v>
                </c:pt>
                <c:pt idx="21">
                  <c:v>55.073196258719932</c:v>
                </c:pt>
                <c:pt idx="22">
                  <c:v>54.980177035264447</c:v>
                </c:pt>
                <c:pt idx="23">
                  <c:v>54.884863265704105</c:v>
                </c:pt>
                <c:pt idx="24">
                  <c:v>54.787249994162927</c:v>
                </c:pt>
                <c:pt idx="25">
                  <c:v>54.687334692464908</c:v>
                </c:pt>
                <c:pt idx="26">
                  <c:v>54.585117270833983</c:v>
                </c:pt>
                <c:pt idx="27">
                  <c:v>54.480600078273895</c:v>
                </c:pt>
                <c:pt idx="28">
                  <c:v>54.373787892626012</c:v>
                </c:pt>
                <c:pt idx="29">
                  <c:v>54.264687900392545</c:v>
                </c:pt>
                <c:pt idx="30">
                  <c:v>54.153309666508001</c:v>
                </c:pt>
                <c:pt idx="31">
                  <c:v>54.039665094325485</c:v>
                </c:pt>
                <c:pt idx="32">
                  <c:v>53.92376837617406</c:v>
                </c:pt>
                <c:pt idx="33">
                  <c:v>53.805635934918413</c:v>
                </c:pt>
                <c:pt idx="34">
                  <c:v>53.685286357026257</c:v>
                </c:pt>
                <c:pt idx="35">
                  <c:v>53.562740317715445</c:v>
                </c:pt>
                <c:pt idx="36">
                  <c:v>53.43802049880761</c:v>
                </c:pt>
                <c:pt idx="37">
                  <c:v>53.311151499964637</c:v>
                </c:pt>
                <c:pt idx="38">
                  <c:v>53.182159744022783</c:v>
                </c:pt>
                <c:pt idx="39">
                  <c:v>53.051073377170383</c:v>
                </c:pt>
                <c:pt idx="40">
                  <c:v>52.91792216473069</c:v>
                </c:pt>
                <c:pt idx="41">
                  <c:v>52.78273738332696</c:v>
                </c:pt>
                <c:pt idx="42">
                  <c:v>52.645551710203989</c:v>
                </c:pt>
                <c:pt idx="43">
                  <c:v>52.506399110474895</c:v>
                </c:pt>
                <c:pt idx="44">
                  <c:v>52.365314723045032</c:v>
                </c:pt>
                <c:pt idx="45">
                  <c:v>52.222334745941296</c:v>
                </c:pt>
                <c:pt idx="46">
                  <c:v>52.077496321746764</c:v>
                </c:pt>
                <c:pt idx="47">
                  <c:v>51.930837423802181</c:v>
                </c:pt>
                <c:pt idx="48">
                  <c:v>51.782396743795374</c:v>
                </c:pt>
                <c:pt idx="49">
                  <c:v>51.632213581316478</c:v>
                </c:pt>
                <c:pt idx="50">
                  <c:v>51.480327735904424</c:v>
                </c:pt>
                <c:pt idx="51">
                  <c:v>51.326779402062897</c:v>
                </c:pt>
                <c:pt idx="52">
                  <c:v>51.171609067670339</c:v>
                </c:pt>
                <c:pt idx="53">
                  <c:v>51.014857416154356</c:v>
                </c:pt>
                <c:pt idx="54">
                  <c:v>50.856565232749915</c:v>
                </c:pt>
                <c:pt idx="55">
                  <c:v>50.696773315107642</c:v>
                </c:pt>
                <c:pt idx="56">
                  <c:v>50.535522388467591</c:v>
                </c:pt>
                <c:pt idx="57">
                  <c:v>50.372853025564126</c:v>
                </c:pt>
                <c:pt idx="58">
                  <c:v>50.208805571383905</c:v>
                </c:pt>
                <c:pt idx="59">
                  <c:v>50.043420072850999</c:v>
                </c:pt>
                <c:pt idx="60">
                  <c:v>49.876736213474885</c:v>
                </c:pt>
                <c:pt idx="61">
                  <c:v>49.708793252959055</c:v>
                </c:pt>
                <c:pt idx="62">
                  <c:v>49.539629971732502</c:v>
                </c:pt>
                <c:pt idx="63">
                  <c:v>49.369284620336387</c:v>
                </c:pt>
                <c:pt idx="64">
                  <c:v>49.197794873569613</c:v>
                </c:pt>
                <c:pt idx="65">
                  <c:v>49.025197789274408</c:v>
                </c:pt>
                <c:pt idx="66">
                  <c:v>48.851529771620235</c:v>
                </c:pt>
                <c:pt idx="67">
                  <c:v>48.676826538727987</c:v>
                </c:pt>
                <c:pt idx="68">
                  <c:v>48.501123094461931</c:v>
                </c:pt>
                <c:pt idx="69">
                  <c:v>48.324453704203869</c:v>
                </c:pt>
                <c:pt idx="70">
                  <c:v>48.146851874416619</c:v>
                </c:pt>
                <c:pt idx="71">
                  <c:v>47.968350335796458</c:v>
                </c:pt>
                <c:pt idx="72">
                  <c:v>47.78898102980952</c:v>
                </c:pt>
                <c:pt idx="73">
                  <c:v>47.608775098406618</c:v>
                </c:pt>
                <c:pt idx="74">
                  <c:v>47.427762876709103</c:v>
                </c:pt>
                <c:pt idx="75">
                  <c:v>47.245973888460114</c:v>
                </c:pt>
                <c:pt idx="76">
                  <c:v>47.063436844039224</c:v>
                </c:pt>
                <c:pt idx="77">
                  <c:v>46.880179640841504</c:v>
                </c:pt>
                <c:pt idx="78">
                  <c:v>46.696229365827435</c:v>
                </c:pt>
                <c:pt idx="79">
                  <c:v>46.511612300056925</c:v>
                </c:pt>
                <c:pt idx="80">
                  <c:v>46.326353925026204</c:v>
                </c:pt>
                <c:pt idx="81">
                  <c:v>46.140478930634231</c:v>
                </c:pt>
                <c:pt idx="82">
                  <c:v>45.954011224613815</c:v>
                </c:pt>
                <c:pt idx="83">
                  <c:v>45.766973943268979</c:v>
                </c:pt>
                <c:pt idx="84">
                  <c:v>45.579389463370589</c:v>
                </c:pt>
                <c:pt idx="85">
                  <c:v>45.391279415068304</c:v>
                </c:pt>
                <c:pt idx="86">
                  <c:v>45.202664695687645</c:v>
                </c:pt>
                <c:pt idx="87">
                  <c:v>45.013565484288101</c:v>
                </c:pt>
                <c:pt idx="88">
                  <c:v>44.824001256865742</c:v>
                </c:pt>
                <c:pt idx="89">
                  <c:v>44.63399080209436</c:v>
                </c:pt>
                <c:pt idx="90">
                  <c:v>44.443552237504377</c:v>
                </c:pt>
                <c:pt idx="91">
                  <c:v>44.25270302600866</c:v>
                </c:pt>
                <c:pt idx="92">
                  <c:v>44.061459992689159</c:v>
                </c:pt>
                <c:pt idx="93">
                  <c:v>43.869839341768966</c:v>
                </c:pt>
                <c:pt idx="94">
                  <c:v>43.677856673697036</c:v>
                </c:pt>
                <c:pt idx="95">
                  <c:v>43.485527002282886</c:v>
                </c:pt>
                <c:pt idx="96">
                  <c:v>43.292864771822117</c:v>
                </c:pt>
                <c:pt idx="97">
                  <c:v>43.099883874160483</c:v>
                </c:pt>
                <c:pt idx="98">
                  <c:v>42.906597665649819</c:v>
                </c:pt>
                <c:pt idx="99">
                  <c:v>42.713018983953191</c:v>
                </c:pt>
                <c:pt idx="100">
                  <c:v>42.519160164662452</c:v>
                </c:pt>
                <c:pt idx="101">
                  <c:v>42.325033057695563</c:v>
                </c:pt>
                <c:pt idx="102">
                  <c:v>42.130649043444073</c:v>
                </c:pt>
                <c:pt idx="103">
                  <c:v>41.936019048646529</c:v>
                </c:pt>
                <c:pt idx="104">
                  <c:v>41.741153561966371</c:v>
                </c:pt>
                <c:pt idx="105">
                  <c:v>41.546062649255447</c:v>
                </c:pt>
                <c:pt idx="106">
                  <c:v>41.35075596848867</c:v>
                </c:pt>
                <c:pt idx="107">
                  <c:v>41.15524278435678</c:v>
                </c:pt>
                <c:pt idx="108">
                  <c:v>40.959531982507364</c:v>
                </c:pt>
                <c:pt idx="109">
                  <c:v>40.763632083425911</c:v>
                </c:pt>
                <c:pt idx="110">
                  <c:v>40.56755125595209</c:v>
                </c:pt>
                <c:pt idx="111">
                  <c:v>40.371297330426152</c:v>
                </c:pt>
                <c:pt idx="112">
                  <c:v>40.174877811464434</c:v>
                </c:pt>
                <c:pt idx="113">
                  <c:v>39.978299890361832</c:v>
                </c:pt>
                <c:pt idx="114">
                  <c:v>39.781570457123109</c:v>
                </c:pt>
                <c:pt idx="115">
                  <c:v>39.584696112124306</c:v>
                </c:pt>
                <c:pt idx="116">
                  <c:v>39.387683177406927</c:v>
                </c:pt>
                <c:pt idx="117">
                  <c:v>39.190537707608804</c:v>
                </c:pt>
                <c:pt idx="118">
                  <c:v>38.993265500536438</c:v>
                </c:pt>
                <c:pt idx="119">
                  <c:v>38.79587210738373</c:v>
                </c:pt>
                <c:pt idx="120">
                  <c:v>38.598362842603322</c:v>
                </c:pt>
                <c:pt idx="121">
                  <c:v>38.400742793436564</c:v>
                </c:pt>
                <c:pt idx="122">
                  <c:v>38.203016829109764</c:v>
                </c:pt>
                <c:pt idx="123">
                  <c:v>38.005189609702555</c:v>
                </c:pt>
                <c:pt idx="124">
                  <c:v>37.807265594697647</c:v>
                </c:pt>
                <c:pt idx="125">
                  <c:v>37.609249051218249</c:v>
                </c:pt>
                <c:pt idx="126">
                  <c:v>37.411144061961515</c:v>
                </c:pt>
                <c:pt idx="127">
                  <c:v>37.212954532836704</c:v>
                </c:pt>
                <c:pt idx="128">
                  <c:v>37.01468420031609</c:v>
                </c:pt>
                <c:pt idx="129">
                  <c:v>36.816336638505049</c:v>
                </c:pt>
                <c:pt idx="130">
                  <c:v>36.617915265942642</c:v>
                </c:pt>
                <c:pt idx="131">
                  <c:v>36.419423352138153</c:v>
                </c:pt>
                <c:pt idx="132">
                  <c:v>36.220864023853899</c:v>
                </c:pt>
                <c:pt idx="133">
                  <c:v>36.022240271140411</c:v>
                </c:pt>
                <c:pt idx="134">
                  <c:v>35.823554953133488</c:v>
                </c:pt>
                <c:pt idx="135">
                  <c:v>35.624810803620754</c:v>
                </c:pt>
                <c:pt idx="136">
                  <c:v>35.426010436385063</c:v>
                </c:pt>
                <c:pt idx="137">
                  <c:v>35.227156350332486</c:v>
                </c:pt>
                <c:pt idx="138">
                  <c:v>35.028250934413087</c:v>
                </c:pt>
                <c:pt idx="139">
                  <c:v>34.829296472341078</c:v>
                </c:pt>
                <c:pt idx="140">
                  <c:v>34.630295147121558</c:v>
                </c:pt>
                <c:pt idx="141">
                  <c:v>34.431249045391638</c:v>
                </c:pt>
                <c:pt idx="142">
                  <c:v>34.23216016158171</c:v>
                </c:pt>
                <c:pt idx="143">
                  <c:v>34.033030401904412</c:v>
                </c:pt>
                <c:pt idx="144">
                  <c:v>33.833861588177619</c:v>
                </c:pt>
                <c:pt idx="145">
                  <c:v>33.634655461486858</c:v>
                </c:pt>
                <c:pt idx="146">
                  <c:v>33.435413685694769</c:v>
                </c:pt>
                <c:pt idx="147">
                  <c:v>33.236137850802358</c:v>
                </c:pt>
                <c:pt idx="148">
                  <c:v>33.036829476168158</c:v>
                </c:pt>
                <c:pt idx="149">
                  <c:v>32.837490013591328</c:v>
                </c:pt>
                <c:pt idx="150">
                  <c:v>32.638120850262915</c:v>
                </c:pt>
                <c:pt idx="151">
                  <c:v>32.438723311591673</c:v>
                </c:pt>
                <c:pt idx="152">
                  <c:v>32.23929866390926</c:v>
                </c:pt>
                <c:pt idx="153">
                  <c:v>32.039848117058625</c:v>
                </c:pt>
                <c:pt idx="154">
                  <c:v>31.840372826871686</c:v>
                </c:pt>
                <c:pt idx="155">
                  <c:v>31.640873897540104</c:v>
                </c:pt>
                <c:pt idx="156">
                  <c:v>31.441352383883348</c:v>
                </c:pt>
                <c:pt idx="157">
                  <c:v>31.241809293518578</c:v>
                </c:pt>
                <c:pt idx="158">
                  <c:v>31.042245588936233</c:v>
                </c:pt>
                <c:pt idx="159">
                  <c:v>30.84266218948575</c:v>
                </c:pt>
                <c:pt idx="160">
                  <c:v>30.643059973273822</c:v>
                </c:pt>
                <c:pt idx="161">
                  <c:v>30.443439778980427</c:v>
                </c:pt>
                <c:pt idx="162">
                  <c:v>30.243802407594895</c:v>
                </c:pt>
                <c:pt idx="163">
                  <c:v>30.044148624075817</c:v>
                </c:pt>
                <c:pt idx="164">
                  <c:v>29.844479158938114</c:v>
                </c:pt>
                <c:pt idx="165">
                  <c:v>29.644794709769915</c:v>
                </c:pt>
                <c:pt idx="166">
                  <c:v>29.445095942682372</c:v>
                </c:pt>
                <c:pt idx="167">
                  <c:v>29.245383493695741</c:v>
                </c:pt>
                <c:pt idx="168">
                  <c:v>29.045657970063505</c:v>
                </c:pt>
                <c:pt idx="169">
                  <c:v>28.845919951537692</c:v>
                </c:pt>
                <c:pt idx="170">
                  <c:v>28.646169991578063</c:v>
                </c:pt>
                <c:pt idx="171">
                  <c:v>28.446408618507171</c:v>
                </c:pt>
                <c:pt idx="172">
                  <c:v>28.246636336613506</c:v>
                </c:pt>
                <c:pt idx="173">
                  <c:v>28.046853627205707</c:v>
                </c:pt>
                <c:pt idx="174">
                  <c:v>27.847060949618452</c:v>
                </c:pt>
                <c:pt idx="175">
                  <c:v>27.647258742174206</c:v>
                </c:pt>
                <c:pt idx="176">
                  <c:v>27.447447423100041</c:v>
                </c:pt>
                <c:pt idx="177">
                  <c:v>27.247627391404365</c:v>
                </c:pt>
                <c:pt idx="178">
                  <c:v>27.047799027712422</c:v>
                </c:pt>
                <c:pt idx="179">
                  <c:v>26.847962695064584</c:v>
                </c:pt>
                <c:pt idx="180">
                  <c:v>26.648118739677656</c:v>
                </c:pt>
                <c:pt idx="181">
                  <c:v>26.448267491671164</c:v>
                </c:pt>
                <c:pt idx="182">
                  <c:v>26.248409265760543</c:v>
                </c:pt>
                <c:pt idx="183">
                  <c:v>26.048544361917219</c:v>
                </c:pt>
                <c:pt idx="184">
                  <c:v>25.848673065999229</c:v>
                </c:pt>
                <c:pt idx="185">
                  <c:v>25.648795650351236</c:v>
                </c:pt>
                <c:pt idx="186">
                  <c:v>25.448912374376626</c:v>
                </c:pt>
                <c:pt idx="187">
                  <c:v>25.249023485082859</c:v>
                </c:pt>
                <c:pt idx="188">
                  <c:v>25.049129217600161</c:v>
                </c:pt>
                <c:pt idx="189">
                  <c:v>24.849229795675779</c:v>
                </c:pt>
                <c:pt idx="190">
                  <c:v>24.649325432143996</c:v>
                </c:pt>
                <c:pt idx="191">
                  <c:v>24.44941632937358</c:v>
                </c:pt>
                <c:pt idx="192">
                  <c:v>24.249502679692462</c:v>
                </c:pt>
                <c:pt idx="193">
                  <c:v>24.049584665792025</c:v>
                </c:pt>
                <c:pt idx="194">
                  <c:v>23.849662461110348</c:v>
                </c:pt>
                <c:pt idx="195">
                  <c:v>23.649736230196417</c:v>
                </c:pt>
                <c:pt idx="196">
                  <c:v>23.449806129054917</c:v>
                </c:pt>
                <c:pt idx="197">
                  <c:v>23.249872305473414</c:v>
                </c:pt>
                <c:pt idx="198">
                  <c:v>23.049934899331625</c:v>
                </c:pt>
                <c:pt idx="199">
                  <c:v>22.849994042894089</c:v>
                </c:pt>
                <c:pt idx="200">
                  <c:v>22.65004986108622</c:v>
                </c:pt>
                <c:pt idx="201">
                  <c:v>22.450102471755148</c:v>
                </c:pt>
                <c:pt idx="202">
                  <c:v>22.250151985914655</c:v>
                </c:pt>
                <c:pt idx="203">
                  <c:v>22.050198507976067</c:v>
                </c:pt>
                <c:pt idx="204">
                  <c:v>21.85024213596424</c:v>
                </c:pt>
                <c:pt idx="205">
                  <c:v>21.650282961720105</c:v>
                </c:pt>
                <c:pt idx="206">
                  <c:v>21.450321071089327</c:v>
                </c:pt>
                <c:pt idx="207">
                  <c:v>21.250356544098313</c:v>
                </c:pt>
                <c:pt idx="208">
                  <c:v>21.050389455116971</c:v>
                </c:pt>
                <c:pt idx="209">
                  <c:v>20.850419873008811</c:v>
                </c:pt>
                <c:pt idx="210">
                  <c:v>20.650447861269331</c:v>
                </c:pt>
                <c:pt idx="211">
                  <c:v>20.450473478151942</c:v>
                </c:pt>
                <c:pt idx="212">
                  <c:v>20.250496776781965</c:v>
                </c:pt>
                <c:pt idx="213">
                  <c:v>20.050517805258959</c:v>
                </c:pt>
                <c:pt idx="214">
                  <c:v>19.850536606747934</c:v>
                </c:pt>
                <c:pt idx="215">
                  <c:v>19.650553219558187</c:v>
                </c:pt>
                <c:pt idx="216">
                  <c:v>19.450567677211655</c:v>
                </c:pt>
                <c:pt idx="217">
                  <c:v>19.250580008499242</c:v>
                </c:pt>
                <c:pt idx="218">
                  <c:v>19.050590237526002</c:v>
                </c:pt>
                <c:pt idx="219">
                  <c:v>18.850598383744888</c:v>
                </c:pt>
                <c:pt idx="220">
                  <c:v>18.65060446197905</c:v>
                </c:pt>
                <c:pt idx="221">
                  <c:v>18.45060848243223</c:v>
                </c:pt>
                <c:pt idx="222">
                  <c:v>18.250610450687944</c:v>
                </c:pt>
                <c:pt idx="223">
                  <c:v>18.05061036769586</c:v>
                </c:pt>
                <c:pt idx="224">
                  <c:v>17.850608229746989</c:v>
                </c:pt>
                <c:pt idx="225">
                  <c:v>17.650604028435595</c:v>
                </c:pt>
                <c:pt idx="226">
                  <c:v>17.450597750608235</c:v>
                </c:pt>
                <c:pt idx="227">
                  <c:v>17.250589378300511</c:v>
                </c:pt>
                <c:pt idx="228">
                  <c:v>17.050578888659093</c:v>
                </c:pt>
                <c:pt idx="229">
                  <c:v>16.85056625385015</c:v>
                </c:pt>
                <c:pt idx="230">
                  <c:v>16.650551440953091</c:v>
                </c:pt>
                <c:pt idx="231">
                  <c:v>16.450534411838408</c:v>
                </c:pt>
                <c:pt idx="232">
                  <c:v>16.25051512303067</c:v>
                </c:pt>
                <c:pt idx="233">
                  <c:v>16.050493525553154</c:v>
                </c:pt>
                <c:pt idx="234">
                  <c:v>15.850469564756118</c:v>
                </c:pt>
                <c:pt idx="235">
                  <c:v>15.650443180125777</c:v>
                </c:pt>
                <c:pt idx="236">
                  <c:v>15.450414305073787</c:v>
                </c:pt>
                <c:pt idx="237">
                  <c:v>15.250382866706039</c:v>
                </c:pt>
                <c:pt idx="238">
                  <c:v>15.050348785569183</c:v>
                </c:pt>
                <c:pt idx="239">
                  <c:v>14.850311975374028</c:v>
                </c:pt>
                <c:pt idx="240">
                  <c:v>14.650272342693903</c:v>
                </c:pt>
                <c:pt idx="241">
                  <c:v>14.450229786636331</c:v>
                </c:pt>
                <c:pt idx="242">
                  <c:v>14.250184198486357</c:v>
                </c:pt>
                <c:pt idx="243">
                  <c:v>14.05013546132013</c:v>
                </c:pt>
                <c:pt idx="244">
                  <c:v>13.850083449585016</c:v>
                </c:pt>
                <c:pt idx="245">
                  <c:v>13.650028028645711</c:v>
                </c:pt>
                <c:pt idx="246">
                  <c:v>13.449969054292676</c:v>
                </c:pt>
                <c:pt idx="247">
                  <c:v>13.249906372210685</c:v>
                </c:pt>
                <c:pt idx="248">
                  <c:v>13.04983981740379</c:v>
                </c:pt>
                <c:pt idx="249">
                  <c:v>12.849769213574525</c:v>
                </c:pt>
                <c:pt idx="250">
                  <c:v>12.649694372452107</c:v>
                </c:pt>
                <c:pt idx="251">
                  <c:v>12.449615093067557</c:v>
                </c:pt>
                <c:pt idx="252">
                  <c:v>12.249531160969811</c:v>
                </c:pt>
                <c:pt idx="253">
                  <c:v>12.049442347379454</c:v>
                </c:pt>
                <c:pt idx="254">
                  <c:v>11.849348408273968</c:v>
                </c:pt>
                <c:pt idx="255">
                  <c:v>11.649249083399404</c:v>
                </c:pt>
                <c:pt idx="256">
                  <c:v>11.449144095203005</c:v>
                </c:pt>
                <c:pt idx="257">
                  <c:v>11.249033147678409</c:v>
                </c:pt>
                <c:pt idx="258">
                  <c:v>11.048915925118635</c:v>
                </c:pt>
                <c:pt idx="259">
                  <c:v>10.848792090766867</c:v>
                </c:pt>
                <c:pt idx="260">
                  <c:v>10.648661285357699</c:v>
                </c:pt>
                <c:pt idx="261">
                  <c:v>10.448523125539289</c:v>
                </c:pt>
                <c:pt idx="262">
                  <c:v>10.248377202165553</c:v>
                </c:pt>
                <c:pt idx="263">
                  <c:v>10.048223078448526</c:v>
                </c:pt>
                <c:pt idx="264">
                  <c:v>9.8480602879576313</c:v>
                </c:pt>
                <c:pt idx="265">
                  <c:v>9.6478883324529967</c:v>
                </c:pt>
                <c:pt idx="266">
                  <c:v>9.4477066795388236</c:v>
                </c:pt>
                <c:pt idx="267">
                  <c:v>9.2475147601203247</c:v>
                </c:pt>
                <c:pt idx="268">
                  <c:v>9.0473119656474896</c:v>
                </c:pt>
                <c:pt idx="269">
                  <c:v>8.8470976451268939</c:v>
                </c:pt>
                <c:pt idx="270">
                  <c:v>8.6468711018809312</c:v>
                </c:pt>
                <c:pt idx="271">
                  <c:v>8.4466315900321334</c:v>
                </c:pt>
                <c:pt idx="272">
                  <c:v>8.2463783106881898</c:v>
                </c:pt>
                <c:pt idx="273">
                  <c:v>8.0461104078016437</c:v>
                </c:pt>
                <c:pt idx="274">
                  <c:v>7.8458269636738613</c:v>
                </c:pt>
                <c:pt idx="275">
                  <c:v>7.6455269940729664</c:v>
                </c:pt>
                <c:pt idx="276">
                  <c:v>7.445209442930266</c:v>
                </c:pt>
                <c:pt idx="277">
                  <c:v>7.2448731765780616</c:v>
                </c:pt>
                <c:pt idx="278">
                  <c:v>7.0445169774868521</c:v>
                </c:pt>
                <c:pt idx="279">
                  <c:v>6.8441395374574698</c:v>
                </c:pt>
                <c:pt idx="280">
                  <c:v>6.6437394502193765</c:v>
                </c:pt>
                <c:pt idx="281">
                  <c:v>6.4433152033808883</c:v>
                </c:pt>
                <c:pt idx="282">
                  <c:v>6.2428651696731237</c:v>
                </c:pt>
                <c:pt idx="283">
                  <c:v>6.0423875974244332</c:v>
                </c:pt>
                <c:pt idx="284">
                  <c:v>5.8418806001955348</c:v>
                </c:pt>
                <c:pt idx="285">
                  <c:v>5.6413421454992463</c:v>
                </c:pt>
                <c:pt idx="286">
                  <c:v>5.4407700425230487</c:v>
                </c:pt>
                <c:pt idx="287">
                  <c:v>5.2401619287637446</c:v>
                </c:pt>
                <c:pt idx="288">
                  <c:v>5.0395152554765748</c:v>
                </c:pt>
                <c:pt idx="289">
                  <c:v>4.8388272718318923</c:v>
                </c:pt>
                <c:pt idx="290">
                  <c:v>4.6380950076628054</c:v>
                </c:pt>
                <c:pt idx="291">
                  <c:v>4.437315254678059</c:v>
                </c:pt>
                <c:pt idx="292">
                  <c:v>4.2364845460006437</c:v>
                </c:pt>
                <c:pt idx="293">
                  <c:v>4.035599133884447</c:v>
                </c:pt>
                <c:pt idx="294">
                  <c:v>3.8346549654441757</c:v>
                </c:pt>
                <c:pt idx="295">
                  <c:v>3.6336476562227964</c:v>
                </c:pt>
                <c:pt idx="296">
                  <c:v>3.4325724614034496</c:v>
                </c:pt>
                <c:pt idx="297">
                  <c:v>3.2314242444577301</c:v>
                </c:pt>
                <c:pt idx="298">
                  <c:v>3.030197443004234</c:v>
                </c:pt>
                <c:pt idx="299">
                  <c:v>2.8288860316316273</c:v>
                </c:pt>
                <c:pt idx="300">
                  <c:v>2.6274834814221149</c:v>
                </c:pt>
                <c:pt idx="301">
                  <c:v>2.4259827158872374</c:v>
                </c:pt>
                <c:pt idx="302">
                  <c:v>2.2243760630067797</c:v>
                </c:pt>
                <c:pt idx="303">
                  <c:v>2.0226552030368827</c:v>
                </c:pt>
                <c:pt idx="304">
                  <c:v>1.8208111117254802</c:v>
                </c:pt>
                <c:pt idx="305">
                  <c:v>1.618833998549938</c:v>
                </c:pt>
                <c:pt idx="306">
                  <c:v>1.4167132395585442</c:v>
                </c:pt>
                <c:pt idx="307">
                  <c:v>1.2144373043710144</c:v>
                </c:pt>
                <c:pt idx="308">
                  <c:v>1.0119936768604612</c:v>
                </c:pt>
                <c:pt idx="309">
                  <c:v>0.80936876900722421</c:v>
                </c:pt>
                <c:pt idx="310">
                  <c:v>0.60654782738399438</c:v>
                </c:pt>
                <c:pt idx="311">
                  <c:v>0.40351483169533964</c:v>
                </c:pt>
                <c:pt idx="312">
                  <c:v>0.20025238476572474</c:v>
                </c:pt>
                <c:pt idx="313">
                  <c:v>-3.2584066648343214E-3</c:v>
                </c:pt>
                <c:pt idx="314">
                  <c:v>-0.2070380610085534</c:v>
                </c:pt>
                <c:pt idx="315">
                  <c:v>-0.41110886145925202</c:v>
                </c:pt>
                <c:pt idx="316">
                  <c:v>-0.61549500690905123</c:v>
                </c:pt>
                <c:pt idx="317">
                  <c:v>-0.82022277489608841</c:v>
                </c:pt>
                <c:pt idx="318">
                  <c:v>-1.0253206973427293</c:v>
                </c:pt>
                <c:pt idx="319">
                  <c:v>-1.2308197498488764</c:v>
                </c:pt>
                <c:pt idx="320">
                  <c:v>-1.4367535553006809</c:v>
                </c:pt>
                <c:pt idx="321">
                  <c:v>-1.6431586025372178</c:v>
                </c:pt>
                <c:pt idx="322">
                  <c:v>-1.8500744807833818</c:v>
                </c:pt>
                <c:pt idx="323">
                  <c:v>-2.057544130503965</c:v>
                </c:pt>
                <c:pt idx="324">
                  <c:v>-2.2656141112557835</c:v>
                </c:pt>
                <c:pt idx="325">
                  <c:v>-2.4743348870063655</c:v>
                </c:pt>
                <c:pt idx="326">
                  <c:v>-2.6837611292483987</c:v>
                </c:pt>
                <c:pt idx="327">
                  <c:v>-2.8939520380560104</c:v>
                </c:pt>
                <c:pt idx="328">
                  <c:v>-3.1049716809990811</c:v>
                </c:pt>
                <c:pt idx="329">
                  <c:v>-3.3168893495493119</c:v>
                </c:pt>
                <c:pt idx="330">
                  <c:v>-3.5297799322622101</c:v>
                </c:pt>
                <c:pt idx="331">
                  <c:v>-3.743724303603174</c:v>
                </c:pt>
                <c:pt idx="332">
                  <c:v>-3.9588097267828859</c:v>
                </c:pt>
                <c:pt idx="333">
                  <c:v>-4.1751302683836586</c:v>
                </c:pt>
                <c:pt idx="334">
                  <c:v>-4.3927872218662536</c:v>
                </c:pt>
                <c:pt idx="335">
                  <c:v>-4.6118895362585439</c:v>
                </c:pt>
                <c:pt idx="336">
                  <c:v>-4.8325542454204404</c:v>
                </c:pt>
                <c:pt idx="337">
                  <c:v>-5.0549068922601057</c:v>
                </c:pt>
                <c:pt idx="338">
                  <c:v>-5.2790819411393652</c:v>
                </c:pt>
                <c:pt idx="339">
                  <c:v>-5.5052231704549781</c:v>
                </c:pt>
                <c:pt idx="340">
                  <c:v>-5.7334840360325359</c:v>
                </c:pt>
                <c:pt idx="341">
                  <c:v>-5.964027994531131</c:v>
                </c:pt>
                <c:pt idx="342">
                  <c:v>-6.1970287745618791</c:v>
                </c:pt>
                <c:pt idx="343">
                  <c:v>-6.4326705817100791</c:v>
                </c:pt>
                <c:pt idx="344">
                  <c:v>-6.6711482221704586</c:v>
                </c:pt>
                <c:pt idx="345">
                  <c:v>-6.9126671283199217</c:v>
                </c:pt>
                <c:pt idx="346">
                  <c:v>-7.1574432683539868</c:v>
                </c:pt>
                <c:pt idx="347">
                  <c:v>-7.4057029211869132</c:v>
                </c:pt>
                <c:pt idx="348">
                  <c:v>-7.6576822972939116</c:v>
                </c:pt>
                <c:pt idx="349">
                  <c:v>-7.9136269861572099</c:v>
                </c:pt>
                <c:pt idx="350">
                  <c:v>-8.1737912116344287</c:v>
                </c:pt>
                <c:pt idx="351">
                  <c:v>-8.4384368780091314</c:v>
                </c:pt>
                <c:pt idx="352">
                  <c:v>-8.7078323918587444</c:v>
                </c:pt>
                <c:pt idx="353">
                  <c:v>-8.9822512482987129</c:v>
                </c:pt>
                <c:pt idx="354">
                  <c:v>-9.2619703747109767</c:v>
                </c:pt>
                <c:pt idx="355">
                  <c:v>-9.547268230786786</c:v>
                </c:pt>
                <c:pt idx="356">
                  <c:v>-9.8384226705821138</c:v>
                </c:pt>
                <c:pt idx="357">
                  <c:v>-10.135708580190874</c:v>
                </c:pt>
                <c:pt idx="358">
                  <c:v>-10.439395313398867</c:v>
                </c:pt>
                <c:pt idx="359">
                  <c:v>-10.749743956995983</c:v>
                </c:pt>
                <c:pt idx="360">
                  <c:v>-11.067004466901935</c:v>
                </c:pt>
                <c:pt idx="361">
                  <c:v>-11.391412725424885</c:v>
                </c:pt>
                <c:pt idx="362">
                  <c:v>-11.723187578270606</c:v>
                </c:pt>
                <c:pt idx="363">
                  <c:v>-12.062527916771153</c:v>
                </c:pt>
                <c:pt idx="364">
                  <c:v>-12.409609875625735</c:v>
                </c:pt>
                <c:pt idx="365">
                  <c:v>-12.764584218720035</c:v>
                </c:pt>
                <c:pt idx="366">
                  <c:v>-13.127573984911976</c:v>
                </c:pt>
                <c:pt idx="367">
                  <c:v>-13.498672461779513</c:v>
                </c:pt>
                <c:pt idx="368">
                  <c:v>-13.877941548188293</c:v>
                </c:pt>
                <c:pt idx="369">
                  <c:v>-14.265410556314166</c:v>
                </c:pt>
                <c:pt idx="370">
                  <c:v>-14.661075490878886</c:v>
                </c:pt>
                <c:pt idx="371">
                  <c:v>-15.064898828424539</c:v>
                </c:pt>
                <c:pt idx="372">
                  <c:v>-15.476809803267003</c:v>
                </c:pt>
                <c:pt idx="373">
                  <c:v>-15.896705190211689</c:v>
                </c:pt>
                <c:pt idx="374">
                  <c:v>-16.324450558120681</c:v>
                </c:pt>
                <c:pt idx="375">
                  <c:v>-16.759881953850247</c:v>
                </c:pt>
                <c:pt idx="376">
                  <c:v>-17.202807963706626</c:v>
                </c:pt>
                <c:pt idx="377">
                  <c:v>-17.653012089956409</c:v>
                </c:pt>
                <c:pt idx="378">
                  <c:v>-18.110255373456695</c:v>
                </c:pt>
                <c:pt idx="379">
                  <c:v>-18.57427919025341</c:v>
                </c:pt>
                <c:pt idx="380">
                  <c:v>-19.044808149954605</c:v>
                </c:pt>
                <c:pt idx="381">
                  <c:v>-19.521553026532285</c:v>
                </c:pt>
                <c:pt idx="382">
                  <c:v>-20.004213657492215</c:v>
                </c:pt>
                <c:pt idx="383">
                  <c:v>-20.492481754559279</c:v>
                </c:pt>
                <c:pt idx="384">
                  <c:v>-20.986043577549999</c:v>
                </c:pt>
                <c:pt idx="385">
                  <c:v>-21.484582432386198</c:v>
                </c:pt>
                <c:pt idx="386">
                  <c:v>-21.987780963686738</c:v>
                </c:pt>
                <c:pt idx="387">
                  <c:v>-22.495323221609929</c:v>
                </c:pt>
                <c:pt idx="388">
                  <c:v>-23.006896491226275</c:v>
                </c:pt>
                <c:pt idx="389">
                  <c:v>-23.522192880412526</c:v>
                </c:pt>
                <c:pt idx="390">
                  <c:v>-24.040910668898444</c:v>
                </c:pt>
                <c:pt idx="391">
                  <c:v>-24.562755426582655</c:v>
                </c:pt>
                <c:pt idx="392">
                  <c:v>-25.087440913546271</c:v>
                </c:pt>
                <c:pt idx="393">
                  <c:v>-25.61468977739586</c:v>
                </c:pt>
                <c:pt idx="394">
                  <c:v>-26.144234065736359</c:v>
                </c:pt>
                <c:pt idx="395">
                  <c:v>-26.675815572846187</c:v>
                </c:pt>
                <c:pt idx="396">
                  <c:v>-27.209186040121462</c:v>
                </c:pt>
                <c:pt idx="397">
                  <c:v>-27.744107229727554</c:v>
                </c:pt>
                <c:pt idx="398">
                  <c:v>-28.280350890265748</c:v>
                </c:pt>
                <c:pt idx="399">
                  <c:v>-28.817698632265738</c:v>
                </c:pt>
                <c:pt idx="400">
                  <c:v>-29.355941730052795</c:v>
                </c:pt>
                <c:pt idx="401">
                  <c:v>-29.894880865115262</c:v>
                </c:pt>
                <c:pt idx="402">
                  <c:v>-30.43432582458399</c:v>
                </c:pt>
                <c:pt idx="403">
                  <c:v>-30.97409516689979</c:v>
                </c:pt>
                <c:pt idx="404">
                  <c:v>-31.514015865233318</c:v>
                </c:pt>
                <c:pt idx="405">
                  <c:v>-32.053922937770729</c:v>
                </c:pt>
                <c:pt idx="406">
                  <c:v>-32.593659072614614</c:v>
                </c:pt>
                <c:pt idx="407">
                  <c:v>-33.133074253784329</c:v>
                </c:pt>
                <c:pt idx="408">
                  <c:v>-33.672025393652085</c:v>
                </c:pt>
                <c:pt idx="409">
                  <c:v>-34.210375976107066</c:v>
                </c:pt>
                <c:pt idx="410">
                  <c:v>-34.747995713819208</c:v>
                </c:pt>
                <c:pt idx="411">
                  <c:v>-35.284760222154304</c:v>
                </c:pt>
                <c:pt idx="412">
                  <c:v>-35.820550711578655</c:v>
                </c:pt>
                <c:pt idx="413">
                  <c:v>-36.355253699769456</c:v>
                </c:pt>
                <c:pt idx="414">
                  <c:v>-36.888760744117761</c:v>
                </c:pt>
                <c:pt idx="415">
                  <c:v>-37.420968194850836</c:v>
                </c:pt>
                <c:pt idx="416">
                  <c:v>-37.951776968620962</c:v>
                </c:pt>
                <c:pt idx="417">
                  <c:v>-38.481092342081425</c:v>
                </c:pt>
                <c:pt idx="418">
                  <c:v>-39.008823764706108</c:v>
                </c:pt>
                <c:pt idx="419">
                  <c:v>-39.534884689890674</c:v>
                </c:pt>
                <c:pt idx="420">
                  <c:v>-40.059192423198965</c:v>
                </c:pt>
                <c:pt idx="421">
                  <c:v>-40.581667986480745</c:v>
                </c:pt>
                <c:pt idx="422">
                  <c:v>-41.10223599648323</c:v>
                </c:pt>
                <c:pt idx="423">
                  <c:v>-41.620824556510684</c:v>
                </c:pt>
                <c:pt idx="424">
                  <c:v>-42.137365159631209</c:v>
                </c:pt>
                <c:pt idx="425">
                  <c:v>-42.651792601915517</c:v>
                </c:pt>
                <c:pt idx="426">
                  <c:v>-43.164044904187534</c:v>
                </c:pt>
                <c:pt idx="427">
                  <c:v>-43.674063240780626</c:v>
                </c:pt>
                <c:pt idx="428">
                  <c:v>-44.181791873835969</c:v>
                </c:pt>
                <c:pt idx="429">
                  <c:v>-44.687178091728654</c:v>
                </c:pt>
                <c:pt idx="430">
                  <c:v>-45.190172150264402</c:v>
                </c:pt>
                <c:pt idx="431">
                  <c:v>-45.690727215383234</c:v>
                </c:pt>
                <c:pt idx="432">
                  <c:v>-46.188799306180002</c:v>
                </c:pt>
                <c:pt idx="433">
                  <c:v>-46.684347237166754</c:v>
                </c:pt>
                <c:pt idx="434">
                  <c:v>-47.177332558797659</c:v>
                </c:pt>
                <c:pt idx="435">
                  <c:v>-47.667719495401897</c:v>
                </c:pt>
                <c:pt idx="436">
                  <c:v>-48.155474879788336</c:v>
                </c:pt>
                <c:pt idx="437">
                  <c:v>-48.64056808391144</c:v>
                </c:pt>
                <c:pt idx="438">
                  <c:v>-49.122970945118034</c:v>
                </c:pt>
                <c:pt idx="439">
                  <c:v>-49.602657687622823</c:v>
                </c:pt>
                <c:pt idx="440">
                  <c:v>-50.07960483899106</c:v>
                </c:pt>
                <c:pt idx="441">
                  <c:v>-50.553791141535072</c:v>
                </c:pt>
                <c:pt idx="442">
                  <c:v>-51.025197458651576</c:v>
                </c:pt>
                <c:pt idx="443">
                  <c:v>-51.493806676249733</c:v>
                </c:pt>
                <c:pt idx="444">
                  <c:v>-51.959603599530965</c:v>
                </c:pt>
                <c:pt idx="445">
                  <c:v>-52.422574845486338</c:v>
                </c:pt>
                <c:pt idx="446">
                  <c:v>-52.882708731573523</c:v>
                </c:pt>
                <c:pt idx="447">
                  <c:v>-53.339995161124591</c:v>
                </c:pt>
                <c:pt idx="448">
                  <c:v>-53.794425506110272</c:v>
                </c:pt>
                <c:pt idx="449">
                  <c:v>-54.245992487954275</c:v>
                </c:pt>
                <c:pt idx="450">
                  <c:v>-54.694690057144122</c:v>
                </c:pt>
                <c:pt idx="451">
                  <c:v>-55.140513272430141</c:v>
                </c:pt>
                <c:pt idx="452">
                  <c:v>-55.58345818043415</c:v>
                </c:pt>
                <c:pt idx="453">
                  <c:v>-56.023521696511615</c:v>
                </c:pt>
                <c:pt idx="454">
                  <c:v>-56.46070148771777</c:v>
                </c:pt>
                <c:pt idx="455">
                  <c:v>-56.894995858729786</c:v>
                </c:pt>
                <c:pt idx="456">
                  <c:v>-57.326403641559402</c:v>
                </c:pt>
                <c:pt idx="457">
                  <c:v>-57.754924089876809</c:v>
                </c:pt>
                <c:pt idx="458">
                  <c:v>-58.180556778726327</c:v>
                </c:pt>
                <c:pt idx="459">
                  <c:v>-58.603301510383929</c:v>
                </c:pt>
                <c:pt idx="460">
                  <c:v>-59.023158227051596</c:v>
                </c:pt>
                <c:pt idx="461">
                  <c:v>-59.440126931036311</c:v>
                </c:pt>
                <c:pt idx="462">
                  <c:v>-59.85420761299725</c:v>
                </c:pt>
                <c:pt idx="463">
                  <c:v>-60.265400188780582</c:v>
                </c:pt>
                <c:pt idx="464">
                  <c:v>-60.673704445291051</c:v>
                </c:pt>
                <c:pt idx="465">
                  <c:v>-61.079119995775542</c:v>
                </c:pt>
                <c:pt idx="466">
                  <c:v>-61.481646244817014</c:v>
                </c:pt>
                <c:pt idx="467">
                  <c:v>-61.881282363254044</c:v>
                </c:pt>
                <c:pt idx="468">
                  <c:v>-62.278027273164582</c:v>
                </c:pt>
                <c:pt idx="469">
                  <c:v>-62.671879642963731</c:v>
                </c:pt>
                <c:pt idx="470">
                  <c:v>-63.062837892583687</c:v>
                </c:pt>
                <c:pt idx="471">
                  <c:v>-63.450900208620752</c:v>
                </c:pt>
                <c:pt idx="472">
                  <c:v>-63.836064569245011</c:v>
                </c:pt>
                <c:pt idx="473">
                  <c:v>-64.218328778591896</c:v>
                </c:pt>
                <c:pt idx="474">
                  <c:v>-64.597690510268293</c:v>
                </c:pt>
                <c:pt idx="475">
                  <c:v>-64.974147359526228</c:v>
                </c:pt>
                <c:pt idx="476">
                  <c:v>-65.347696903584293</c:v>
                </c:pt>
                <c:pt idx="477">
                  <c:v>-65.718336769498663</c:v>
                </c:pt>
                <c:pt idx="478">
                  <c:v>-66.086064708919636</c:v>
                </c:pt>
                <c:pt idx="479">
                  <c:v>-66.450878679003793</c:v>
                </c:pt>
                <c:pt idx="480">
                  <c:v>-66.812776928693523</c:v>
                </c:pt>
                <c:pt idx="481">
                  <c:v>-67.17175808952129</c:v>
                </c:pt>
                <c:pt idx="482">
                  <c:v>-67.527821270054147</c:v>
                </c:pt>
                <c:pt idx="483">
                  <c:v>-67.880966153050821</c:v>
                </c:pt>
                <c:pt idx="484">
                  <c:v>-68.231193094379165</c:v>
                </c:pt>
                <c:pt idx="485">
                  <c:v>-68.57850322271679</c:v>
                </c:pt>
                <c:pt idx="486">
                  <c:v>-68.922898539049385</c:v>
                </c:pt>
                <c:pt idx="487">
                  <c:v>-69.26438201497966</c:v>
                </c:pt>
                <c:pt idx="488">
                  <c:v>-69.602957688865402</c:v>
                </c:pt>
                <c:pt idx="489">
                  <c:v>-69.938630758830556</c:v>
                </c:pt>
                <c:pt idx="490">
                  <c:v>-70.271407671716716</c:v>
                </c:pt>
                <c:pt idx="491">
                  <c:v>-70.601296207087046</c:v>
                </c:pt>
                <c:pt idx="492">
                  <c:v>-70.928305555443117</c:v>
                </c:pt>
                <c:pt idx="493">
                  <c:v>-71.252446389874621</c:v>
                </c:pt>
                <c:pt idx="494">
                  <c:v>-71.573730930431537</c:v>
                </c:pt>
                <c:pt idx="495">
                  <c:v>-71.892173000585103</c:v>
                </c:pt>
                <c:pt idx="496">
                  <c:v>-72.207788075227398</c:v>
                </c:pt>
                <c:pt idx="497">
                  <c:v>-72.520593319749764</c:v>
                </c:pt>
                <c:pt idx="498">
                  <c:v>-72.830607619836144</c:v>
                </c:pt>
                <c:pt idx="499">
                  <c:v>-73.137851601703886</c:v>
                </c:pt>
                <c:pt idx="500">
                  <c:v>-73.442347642626586</c:v>
                </c:pt>
                <c:pt idx="501">
                  <c:v>-73.744119871674883</c:v>
                </c:pt>
                <c:pt idx="502">
                  <c:v>-74.043194160708936</c:v>
                </c:pt>
                <c:pt idx="503">
                  <c:v>-74.339598105757418</c:v>
                </c:pt>
                <c:pt idx="504">
                  <c:v>-74.633360999008843</c:v>
                </c:pt>
                <c:pt idx="505">
                  <c:v>-74.924513791733474</c:v>
                </c:pt>
                <c:pt idx="506">
                  <c:v>-75.213089048533348</c:v>
                </c:pt>
                <c:pt idx="507">
                  <c:v>-75.499120893396778</c:v>
                </c:pt>
                <c:pt idx="508">
                  <c:v>-75.782644948099417</c:v>
                </c:pt>
                <c:pt idx="509">
                  <c:v>-76.063698263553235</c:v>
                </c:pt>
                <c:pt idx="510">
                  <c:v>-76.34231924475344</c:v>
                </c:pt>
                <c:pt idx="511">
                  <c:v>-76.618547570013575</c:v>
                </c:pt>
                <c:pt idx="512">
                  <c:v>-76.892424105207766</c:v>
                </c:pt>
                <c:pt idx="513">
                  <c:v>-77.163990813759725</c:v>
                </c:pt>
                <c:pt idx="514">
                  <c:v>-77.433290663126243</c:v>
                </c:pt>
                <c:pt idx="515">
                  <c:v>-77.700367528525959</c:v>
                </c:pt>
                <c:pt idx="516">
                  <c:v>-77.965266094653671</c:v>
                </c:pt>
                <c:pt idx="517">
                  <c:v>-78.228031756106091</c:v>
                </c:pt>
                <c:pt idx="518">
                  <c:v>-78.488710517219303</c:v>
                </c:pt>
                <c:pt idx="519">
                  <c:v>-78.747348891988892</c:v>
                </c:pt>
                <c:pt idx="520">
                  <c:v>-79.003993804707704</c:v>
                </c:pt>
                <c:pt idx="521">
                  <c:v>-79.258692491914587</c:v>
                </c:pt>
                <c:pt idx="522">
                  <c:v>-79.511492406201413</c:v>
                </c:pt>
                <c:pt idx="523">
                  <c:v>-79.762441122381233</c:v>
                </c:pt>
                <c:pt idx="524">
                  <c:v>-80.011586246466493</c:v>
                </c:pt>
                <c:pt idx="525">
                  <c:v>-80.258975327857172</c:v>
                </c:pt>
                <c:pt idx="526">
                  <c:v>-80.504655775085809</c:v>
                </c:pt>
                <c:pt idx="527">
                  <c:v>-80.748674775416077</c:v>
                </c:pt>
                <c:pt idx="528">
                  <c:v>-80.991079218539298</c:v>
                </c:pt>
                <c:pt idx="529">
                  <c:v>-81.231915624566852</c:v>
                </c:pt>
                <c:pt idx="530">
                  <c:v>-81.47123007646411</c:v>
                </c:pt>
                <c:pt idx="531">
                  <c:v>-81.709068157034835</c:v>
                </c:pt>
                <c:pt idx="532">
                  <c:v>-81.94547489051304</c:v>
                </c:pt>
                <c:pt idx="533">
                  <c:v>-82.180494688791356</c:v>
                </c:pt>
                <c:pt idx="534">
                  <c:v>-82.414171302268358</c:v>
                </c:pt>
                <c:pt idx="535">
                  <c:v>-82.64654777527285</c:v>
                </c:pt>
                <c:pt idx="536">
                  <c:v>-82.877666405990723</c:v>
                </c:pt>
                <c:pt idx="537">
                  <c:v>-83.107568710793416</c:v>
                </c:pt>
                <c:pt idx="538">
                  <c:v>-83.336295392847504</c:v>
                </c:pt>
                <c:pt idx="539">
                  <c:v>-83.563886314861762</c:v>
                </c:pt>
                <c:pt idx="540">
                  <c:v>-83.790380475815908</c:v>
                </c:pt>
                <c:pt idx="541">
                  <c:v>-84.015815991500361</c:v>
                </c:pt>
              </c:numCache>
            </c:numRef>
          </c:yVal>
          <c:smooth val="1"/>
          <c:extLst>
            <c:ext xmlns:c16="http://schemas.microsoft.com/office/drawing/2014/chart" uri="{C3380CC4-5D6E-409C-BE32-E72D297353CC}">
              <c16:uniqueId val="{00000000-B561-4C80-890B-643E0BF90D63}"/>
            </c:ext>
          </c:extLst>
        </c:ser>
        <c:dLbls>
          <c:showLegendKey val="0"/>
          <c:showVal val="0"/>
          <c:showCatName val="0"/>
          <c:showSerName val="0"/>
          <c:showPercent val="0"/>
          <c:showBubbleSize val="0"/>
        </c:dLbls>
        <c:axId val="162497664"/>
        <c:axId val="162499584"/>
      </c:scatterChart>
      <c:scatterChart>
        <c:scatterStyle val="smoothMarker"/>
        <c:varyColors val="0"/>
        <c:ser>
          <c:idx val="1"/>
          <c:order val="1"/>
          <c:tx>
            <c:v>Phase (deg)</c:v>
          </c:tx>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Loop_Modeling!$AE$19:$AE$560</c:f>
              <c:numCache>
                <c:formatCode>General</c:formatCode>
                <c:ptCount val="542"/>
                <c:pt idx="0">
                  <c:v>-29.597397346399315</c:v>
                </c:pt>
                <c:pt idx="1">
                  <c:v>-30.167111381058948</c:v>
                </c:pt>
                <c:pt idx="2">
                  <c:v>-30.743344095712516</c:v>
                </c:pt>
                <c:pt idx="3">
                  <c:v>-31.325933830290882</c:v>
                </c:pt>
                <c:pt idx="4">
                  <c:v>-31.914706656394863</c:v>
                </c:pt>
                <c:pt idx="5">
                  <c:v>-32.509476380945138</c:v>
                </c:pt>
                <c:pt idx="6">
                  <c:v>-33.110044599231436</c:v>
                </c:pt>
                <c:pt idx="7">
                  <c:v>-33.716200799528977</c:v>
                </c:pt>
                <c:pt idx="8">
                  <c:v>-34.327722521143826</c:v>
                </c:pt>
                <c:pt idx="9">
                  <c:v>-34.944375567385059</c:v>
                </c:pt>
                <c:pt idx="10">
                  <c:v>-35.565914274578915</c:v>
                </c:pt>
                <c:pt idx="11">
                  <c:v>-36.19208183780669</c:v>
                </c:pt>
                <c:pt idx="12">
                  <c:v>-36.822610693580501</c:v>
                </c:pt>
                <c:pt idx="13">
                  <c:v>-37.457222959195214</c:v>
                </c:pt>
                <c:pt idx="14">
                  <c:v>-38.095630927973332</c:v>
                </c:pt>
                <c:pt idx="15">
                  <c:v>-38.737537619097296</c:v>
                </c:pt>
                <c:pt idx="16">
                  <c:v>-39.382637380196975</c:v>
                </c:pt>
                <c:pt idx="17">
                  <c:v>-40.03061654032021</c:v>
                </c:pt>
                <c:pt idx="18">
                  <c:v>-40.681154110390366</c:v>
                </c:pt>
                <c:pt idx="19">
                  <c:v>-41.333922527753778</c:v>
                </c:pt>
                <c:pt idx="20">
                  <c:v>-41.98858844093008</c:v>
                </c:pt>
                <c:pt idx="21">
                  <c:v>-42.644813530230877</c:v>
                </c:pt>
                <c:pt idx="22">
                  <c:v>-43.302255359505672</c:v>
                </c:pt>
                <c:pt idx="23">
                  <c:v>-43.960568253915397</c:v>
                </c:pt>
                <c:pt idx="24">
                  <c:v>-44.619404198321284</c:v>
                </c:pt>
                <c:pt idx="25">
                  <c:v>-45.278413750648234</c:v>
                </c:pt>
                <c:pt idx="26">
                  <c:v>-45.937246964383981</c:v>
                </c:pt>
                <c:pt idx="27">
                  <c:v>-46.595554314285948</c:v>
                </c:pt>
                <c:pt idx="28">
                  <c:v>-47.252987619313906</c:v>
                </c:pt>
                <c:pt idx="29">
                  <c:v>-47.909200956846725</c:v>
                </c:pt>
                <c:pt idx="30">
                  <c:v>-48.563851562347509</c:v>
                </c:pt>
                <c:pt idx="31">
                  <c:v>-49.216600708808791</c:v>
                </c:pt>
                <c:pt idx="32">
                  <c:v>-49.867114560550029</c:v>
                </c:pt>
                <c:pt idx="33">
                  <c:v>-50.515064996247048</c:v>
                </c:pt>
                <c:pt idx="34">
                  <c:v>-51.160130396416584</c:v>
                </c:pt>
                <c:pt idx="35">
                  <c:v>-51.801996390996408</c:v>
                </c:pt>
                <c:pt idx="36">
                  <c:v>-52.440356563096628</c:v>
                </c:pt>
                <c:pt idx="37">
                  <c:v>-53.074913105487418</c:v>
                </c:pt>
                <c:pt idx="38">
                  <c:v>-53.705377426893541</c:v>
                </c:pt>
                <c:pt idx="39">
                  <c:v>-54.331470705678434</c:v>
                </c:pt>
                <c:pt idx="40">
                  <c:v>-54.952924389052058</c:v>
                </c:pt>
                <c:pt idx="41">
                  <c:v>-55.569480636454244</c:v>
                </c:pt>
                <c:pt idx="42">
                  <c:v>-56.180892706292532</c:v>
                </c:pt>
                <c:pt idx="43">
                  <c:v>-56.78692528573788</c:v>
                </c:pt>
                <c:pt idx="44">
                  <c:v>-57.387354763753635</c:v>
                </c:pt>
                <c:pt idx="45">
                  <c:v>-57.98196944801272</c:v>
                </c:pt>
                <c:pt idx="46">
                  <c:v>-58.570569726778899</c:v>
                </c:pt>
                <c:pt idx="47">
                  <c:v>-59.152968177228523</c:v>
                </c:pt>
                <c:pt idx="48">
                  <c:v>-59.728989622051991</c:v>
                </c:pt>
                <c:pt idx="49">
                  <c:v>-60.29847113647245</c:v>
                </c:pt>
                <c:pt idx="50">
                  <c:v>-60.861262008112064</c:v>
                </c:pt>
                <c:pt idx="51">
                  <c:v>-61.417223652353464</c:v>
                </c:pt>
                <c:pt idx="52">
                  <c:v>-61.96622948602765</c:v>
                </c:pt>
                <c:pt idx="53">
                  <c:v>-62.508164762416584</c:v>
                </c:pt>
                <c:pt idx="54">
                  <c:v>-63.042926370647535</c:v>
                </c:pt>
                <c:pt idx="55">
                  <c:v>-63.570422602626593</c:v>
                </c:pt>
                <c:pt idx="56">
                  <c:v>-64.090572890687397</c:v>
                </c:pt>
                <c:pt idx="57">
                  <c:v>-64.603307519124371</c:v>
                </c:pt>
                <c:pt idx="58">
                  <c:v>-65.108567312739623</c:v>
                </c:pt>
                <c:pt idx="59">
                  <c:v>-65.606303305479173</c:v>
                </c:pt>
                <c:pt idx="60">
                  <c:v>-66.096476392131891</c:v>
                </c:pt>
                <c:pt idx="61">
                  <c:v>-66.579056965975298</c:v>
                </c:pt>
                <c:pt idx="62">
                  <c:v>-67.054024545107794</c:v>
                </c:pt>
                <c:pt idx="63">
                  <c:v>-67.52136739008364</c:v>
                </c:pt>
                <c:pt idx="64">
                  <c:v>-67.981082115307828</c:v>
                </c:pt>
                <c:pt idx="65">
                  <c:v>-68.433173296491773</c:v>
                </c:pt>
                <c:pt idx="66">
                  <c:v>-68.877653076304824</c:v>
                </c:pt>
                <c:pt idx="67">
                  <c:v>-69.314540770197482</c:v>
                </c:pt>
                <c:pt idx="68">
                  <c:v>-69.743862474189854</c:v>
                </c:pt>
                <c:pt idx="69">
                  <c:v>-70.16565067626567</c:v>
                </c:pt>
                <c:pt idx="70">
                  <c:v>-70.579943872840431</c:v>
                </c:pt>
                <c:pt idx="71">
                  <c:v>-70.986786191611301</c:v>
                </c:pt>
                <c:pt idx="72">
                  <c:v>-71.386227021946368</c:v>
                </c:pt>
                <c:pt idx="73">
                  <c:v>-71.778320653818525</c:v>
                </c:pt>
                <c:pt idx="74">
                  <c:v>-72.163125926147742</c:v>
                </c:pt>
                <c:pt idx="75">
                  <c:v>-72.540705885283884</c:v>
                </c:pt>
                <c:pt idx="76">
                  <c:v>-72.911127454236862</c:v>
                </c:pt>
                <c:pt idx="77">
                  <c:v>-73.274461113139083</c:v>
                </c:pt>
                <c:pt idx="78">
                  <c:v>-73.630780591325049</c:v>
                </c:pt>
                <c:pt idx="79">
                  <c:v>-73.98016257130655</c:v>
                </c:pt>
                <c:pt idx="80">
                  <c:v>-74.322686404830065</c:v>
                </c:pt>
                <c:pt idx="81">
                  <c:v>-74.658433841128925</c:v>
                </c:pt>
                <c:pt idx="82">
                  <c:v>-74.987488767396428</c:v>
                </c:pt>
                <c:pt idx="83">
                  <c:v>-75.309936961446923</c:v>
                </c:pt>
                <c:pt idx="84">
                  <c:v>-75.625865856470824</c:v>
                </c:pt>
                <c:pt idx="85">
                  <c:v>-75.935364317734781</c:v>
                </c:pt>
                <c:pt idx="86">
                  <c:v>-76.238522431035904</c:v>
                </c:pt>
                <c:pt idx="87">
                  <c:v>-76.535431302677779</c:v>
                </c:pt>
                <c:pt idx="88">
                  <c:v>-76.826182870700038</c:v>
                </c:pt>
                <c:pt idx="89">
                  <c:v>-77.11086972707129</c:v>
                </c:pt>
                <c:pt idx="90">
                  <c:v>-77.389584950525233</c:v>
                </c:pt>
                <c:pt idx="91">
                  <c:v>-77.662421949704751</c:v>
                </c:pt>
                <c:pt idx="92">
                  <c:v>-77.929474316262869</c:v>
                </c:pt>
                <c:pt idx="93">
                  <c:v>-78.190835687559854</c:v>
                </c:pt>
                <c:pt idx="94">
                  <c:v>-78.446599618585111</c:v>
                </c:pt>
                <c:pt idx="95">
                  <c:v>-78.696859462732775</c:v>
                </c:pt>
                <c:pt idx="96">
                  <c:v>-78.941708261052057</c:v>
                </c:pt>
                <c:pt idx="97">
                  <c:v>-79.181238639599727</c:v>
                </c:pt>
                <c:pt idx="98">
                  <c:v>-79.415542714519049</c:v>
                </c:pt>
                <c:pt idx="99">
                  <c:v>-79.644712004479402</c:v>
                </c:pt>
                <c:pt idx="100">
                  <c:v>-79.868837350109814</c:v>
                </c:pt>
                <c:pt idx="101">
                  <c:v>-80.088008840075133</c:v>
                </c:pt>
                <c:pt idx="102">
                  <c:v>-80.302315743441966</c:v>
                </c:pt>
                <c:pt idx="103">
                  <c:v>-80.511846448000568</c:v>
                </c:pt>
                <c:pt idx="104">
                  <c:v>-80.716688404209592</c:v>
                </c:pt>
                <c:pt idx="105">
                  <c:v>-80.916928074447796</c:v>
                </c:pt>
                <c:pt idx="106">
                  <c:v>-81.112650887264323</c:v>
                </c:pt>
                <c:pt idx="107">
                  <c:v>-81.303941196330143</c:v>
                </c:pt>
                <c:pt idx="108">
                  <c:v>-81.490882243807079</c:v>
                </c:pt>
                <c:pt idx="109">
                  <c:v>-81.673556127858348</c:v>
                </c:pt>
                <c:pt idx="110">
                  <c:v>-81.852043774040567</c:v>
                </c:pt>
                <c:pt idx="111">
                  <c:v>-82.026424910324735</c:v>
                </c:pt>
                <c:pt idx="112">
                  <c:v>-82.196778045507969</c:v>
                </c:pt>
                <c:pt idx="113">
                  <c:v>-82.363180450786174</c:v>
                </c:pt>
                <c:pt idx="114">
                  <c:v>-82.52570814427186</c:v>
                </c:pt>
                <c:pt idx="115">
                  <c:v>-82.684435878248891</c:v>
                </c:pt>
                <c:pt idx="116">
                  <c:v>-82.839437128970275</c:v>
                </c:pt>
                <c:pt idx="117">
                  <c:v>-82.990784088810301</c:v>
                </c:pt>
                <c:pt idx="118">
                  <c:v>-83.138547660597112</c:v>
                </c:pt>
                <c:pt idx="119">
                  <c:v>-83.282797453958267</c:v>
                </c:pt>
                <c:pt idx="120">
                  <c:v>-83.423601783521676</c:v>
                </c:pt>
                <c:pt idx="121">
                  <c:v>-83.561027668824494</c:v>
                </c:pt>
                <c:pt idx="122">
                  <c:v>-83.695140835788138</c:v>
                </c:pt>
                <c:pt idx="123">
                  <c:v>-83.826005719629848</c:v>
                </c:pt>
                <c:pt idx="124">
                  <c:v>-83.953685469084164</c:v>
                </c:pt>
                <c:pt idx="125">
                  <c:v>-84.078241951819848</c:v>
                </c:pt>
                <c:pt idx="126">
                  <c:v>-84.199735760941408</c:v>
                </c:pt>
                <c:pt idx="127">
                  <c:v>-84.318226222472688</c:v>
                </c:pt>
                <c:pt idx="128">
                  <c:v>-84.433771403725601</c:v>
                </c:pt>
                <c:pt idx="129">
                  <c:v>-84.546428122465372</c:v>
                </c:pt>
                <c:pt idx="130">
                  <c:v>-84.656251956785482</c:v>
                </c:pt>
                <c:pt idx="131">
                  <c:v>-84.763297255615058</c:v>
                </c:pt>
                <c:pt idx="132">
                  <c:v>-84.867617149783243</c:v>
                </c:pt>
                <c:pt idx="133">
                  <c:v>-84.969263563573818</c:v>
                </c:pt>
                <c:pt idx="134">
                  <c:v>-85.068287226702878</c:v>
                </c:pt>
                <c:pt idx="135">
                  <c:v>-85.164737686662207</c:v>
                </c:pt>
                <c:pt idx="136">
                  <c:v>-85.258663321370719</c:v>
                </c:pt>
                <c:pt idx="137">
                  <c:v>-85.350111352083061</c:v>
                </c:pt>
                <c:pt idx="138">
                  <c:v>-85.43912785650619</c:v>
                </c:pt>
                <c:pt idx="139">
                  <c:v>-85.525757782079836</c:v>
                </c:pt>
                <c:pt idx="140">
                  <c:v>-85.610044959378897</c:v>
                </c:pt>
                <c:pt idx="141">
                  <c:v>-85.692032115598522</c:v>
                </c:pt>
                <c:pt idx="142">
                  <c:v>-85.771760888087158</c:v>
                </c:pt>
                <c:pt idx="143">
                  <c:v>-85.849271837893596</c:v>
                </c:pt>
                <c:pt idx="144">
                  <c:v>-85.924604463297555</c:v>
                </c:pt>
                <c:pt idx="145">
                  <c:v>-85.997797213295911</c:v>
                </c:pt>
                <c:pt idx="146">
                  <c:v>-86.068887501017642</c:v>
                </c:pt>
                <c:pt idx="147">
                  <c:v>-86.137911717043849</c:v>
                </c:pt>
                <c:pt idx="148">
                  <c:v>-86.204905242611019</c:v>
                </c:pt>
                <c:pt idx="149">
                  <c:v>-86.269902462675958</c:v>
                </c:pt>
                <c:pt idx="150">
                  <c:v>-86.332936778824802</c:v>
                </c:pt>
                <c:pt idx="151">
                  <c:v>-86.394040622008376</c:v>
                </c:pt>
                <c:pt idx="152">
                  <c:v>-86.45324546508742</c:v>
                </c:pt>
                <c:pt idx="153">
                  <c:v>-86.510581835174463</c:v>
                </c:pt>
                <c:pt idx="154">
                  <c:v>-86.566079325758039</c:v>
                </c:pt>
                <c:pt idx="155">
                  <c:v>-86.619766608597402</c:v>
                </c:pt>
                <c:pt idx="156">
                  <c:v>-86.671671445377029</c:v>
                </c:pt>
                <c:pt idx="157">
                  <c:v>-86.721820699110168</c:v>
                </c:pt>
                <c:pt idx="158">
                  <c:v>-86.770240345282716</c:v>
                </c:pt>
                <c:pt idx="159">
                  <c:v>-86.816955482728957</c:v>
                </c:pt>
                <c:pt idx="160">
                  <c:v>-86.861990344231501</c:v>
                </c:pt>
                <c:pt idx="161">
                  <c:v>-86.905368306838454</c:v>
                </c:pt>
                <c:pt idx="162">
                  <c:v>-86.947111901891944</c:v>
                </c:pt>
                <c:pt idx="163">
                  <c:v>-86.98724282476168</c:v>
                </c:pt>
                <c:pt idx="164">
                  <c:v>-87.025781944279416</c:v>
                </c:pt>
                <c:pt idx="165">
                  <c:v>-87.062749311868515</c:v>
                </c:pt>
                <c:pt idx="166">
                  <c:v>-87.098164170365763</c:v>
                </c:pt>
                <c:pt idx="167">
                  <c:v>-87.13204496253033</c:v>
                </c:pt>
                <c:pt idx="168">
                  <c:v>-87.164409339237764</c:v>
                </c:pt>
                <c:pt idx="169">
                  <c:v>-87.195274167354981</c:v>
                </c:pt>
                <c:pt idx="170">
                  <c:v>-87.224655537293984</c:v>
                </c:pt>
                <c:pt idx="171">
                  <c:v>-87.252568770241794</c:v>
                </c:pt>
                <c:pt idx="172">
                  <c:v>-87.279028425064197</c:v>
                </c:pt>
                <c:pt idx="173">
                  <c:v>-87.304048304881306</c:v>
                </c:pt>
                <c:pt idx="174">
                  <c:v>-87.327641463312986</c:v>
                </c:pt>
                <c:pt idx="175">
                  <c:v>-87.349820210392664</c:v>
                </c:pt>
                <c:pt idx="176">
                  <c:v>-87.370596118147617</c:v>
                </c:pt>
                <c:pt idx="177">
                  <c:v>-87.389980025844437</c:v>
                </c:pt>
                <c:pt idx="178">
                  <c:v>-87.407982044898134</c:v>
                </c:pt>
                <c:pt idx="179">
                  <c:v>-87.424611563443705</c:v>
                </c:pt>
                <c:pt idx="180">
                  <c:v>-87.439877250568756</c:v>
                </c:pt>
                <c:pt idx="181">
                  <c:v>-87.453787060205812</c:v>
                </c:pt>
                <c:pt idx="182">
                  <c:v>-87.466348234683394</c:v>
                </c:pt>
                <c:pt idx="183">
                  <c:v>-87.477567307934109</c:v>
                </c:pt>
                <c:pt idx="184">
                  <c:v>-87.487450108358956</c:v>
                </c:pt>
                <c:pt idx="185">
                  <c:v>-87.496001761346221</c:v>
                </c:pt>
                <c:pt idx="186">
                  <c:v>-87.503226691443587</c:v>
                </c:pt>
                <c:pt idx="187">
                  <c:v>-87.509128624182338</c:v>
                </c:pt>
                <c:pt idx="188">
                  <c:v>-87.51371058755177</c:v>
                </c:pt>
                <c:pt idx="189">
                  <c:v>-87.516974913122482</c:v>
                </c:pt>
                <c:pt idx="190">
                  <c:v>-87.518923236816732</c:v>
                </c:pt>
                <c:pt idx="191">
                  <c:v>-87.519556499324011</c:v>
                </c:pt>
                <c:pt idx="192">
                  <c:v>-87.518874946160267</c:v>
                </c:pt>
                <c:pt idx="193">
                  <c:v>-87.516878127368031</c:v>
                </c:pt>
                <c:pt idx="194">
                  <c:v>-87.513564896856124</c:v>
                </c:pt>
                <c:pt idx="195">
                  <c:v>-87.508933411375821</c:v>
                </c:pt>
                <c:pt idx="196">
                  <c:v>-87.502981129131356</c:v>
                </c:pt>
                <c:pt idx="197">
                  <c:v>-87.49570480802214</c:v>
                </c:pt>
                <c:pt idx="198">
                  <c:v>-87.487100503513403</c:v>
                </c:pt>
                <c:pt idx="199">
                  <c:v>-87.477163566132745</c:v>
                </c:pt>
                <c:pt idx="200">
                  <c:v>-87.465888638588709</c:v>
                </c:pt>
                <c:pt idx="201">
                  <c:v>-87.453269652508496</c:v>
                </c:pt>
                <c:pt idx="202">
                  <c:v>-87.439299824790538</c:v>
                </c:pt>
                <c:pt idx="203">
                  <c:v>-87.423971653568344</c:v>
                </c:pt>
                <c:pt idx="204">
                  <c:v>-87.407276913781175</c:v>
                </c:pt>
                <c:pt idx="205">
                  <c:v>-87.38920665234717</c:v>
                </c:pt>
                <c:pt idx="206">
                  <c:v>-87.369751182934067</c:v>
                </c:pt>
                <c:pt idx="207">
                  <c:v>-87.348900080322608</c:v>
                </c:pt>
                <c:pt idx="208">
                  <c:v>-87.32664217435719</c:v>
                </c:pt>
                <c:pt idx="209">
                  <c:v>-87.302965543477853</c:v>
                </c:pt>
                <c:pt idx="210">
                  <c:v>-87.277857507828145</c:v>
                </c:pt>
                <c:pt idx="211">
                  <c:v>-87.251304621931951</c:v>
                </c:pt>
                <c:pt idx="212">
                  <c:v>-87.223292666932934</c:v>
                </c:pt>
                <c:pt idx="213">
                  <c:v>-87.19380664238922</c:v>
                </c:pt>
                <c:pt idx="214">
                  <c:v>-87.162830757616163</c:v>
                </c:pt>
                <c:pt idx="215">
                  <c:v>-87.130348422568957</c:v>
                </c:pt>
                <c:pt idx="216">
                  <c:v>-87.096342238256952</c:v>
                </c:pt>
                <c:pt idx="217">
                  <c:v>-87.060793986680793</c:v>
                </c:pt>
                <c:pt idx="218">
                  <c:v>-87.023684620283163</c:v>
                </c:pt>
                <c:pt idx="219">
                  <c:v>-86.984994250903327</c:v>
                </c:pt>
                <c:pt idx="220">
                  <c:v>-86.944702138225111</c:v>
                </c:pt>
                <c:pt idx="221">
                  <c:v>-86.902786677707624</c:v>
                </c:pt>
                <c:pt idx="222">
                  <c:v>-86.859225387987181</c:v>
                </c:pt>
                <c:pt idx="223">
                  <c:v>-86.813994897738368</c:v>
                </c:pt>
                <c:pt idx="224">
                  <c:v>-86.767070931981735</c:v>
                </c:pt>
                <c:pt idx="225">
                  <c:v>-86.718428297824687</c:v>
                </c:pt>
                <c:pt idx="226">
                  <c:v>-86.668040869621436</c:v>
                </c:pt>
                <c:pt idx="227">
                  <c:v>-86.615881573537337</c:v>
                </c:pt>
                <c:pt idx="228">
                  <c:v>-86.561922371502334</c:v>
                </c:pt>
                <c:pt idx="229">
                  <c:v>-86.506134244536455</c:v>
                </c:pt>
                <c:pt idx="230">
                  <c:v>-86.448487175430827</c:v>
                </c:pt>
                <c:pt idx="231">
                  <c:v>-86.388950130765579</c:v>
                </c:pt>
                <c:pt idx="232">
                  <c:v>-86.327491042246024</c:v>
                </c:pt>
                <c:pt idx="233">
                  <c:v>-86.264076787336364</c:v>
                </c:pt>
                <c:pt idx="234">
                  <c:v>-86.19867316917022</c:v>
                </c:pt>
                <c:pt idx="235">
                  <c:v>-86.131244895715824</c:v>
                </c:pt>
                <c:pt idx="236">
                  <c:v>-86.061755558171683</c:v>
                </c:pt>
                <c:pt idx="237">
                  <c:v>-85.990167608569024</c:v>
                </c:pt>
                <c:pt idx="238">
                  <c:v>-85.916442336553757</c:v>
                </c:pt>
                <c:pt idx="239">
                  <c:v>-85.840539845321643</c:v>
                </c:pt>
                <c:pt idx="240">
                  <c:v>-85.762419026677335</c:v>
                </c:pt>
                <c:pt idx="241">
                  <c:v>-85.682037535186367</c:v>
                </c:pt>
                <c:pt idx="242">
                  <c:v>-85.599351761388803</c:v>
                </c:pt>
                <c:pt idx="243">
                  <c:v>-85.514316804040121</c:v>
                </c:pt>
                <c:pt idx="244">
                  <c:v>-85.42688644134418</c:v>
                </c:pt>
                <c:pt idx="245">
                  <c:v>-85.337013101140116</c:v>
                </c:pt>
                <c:pt idx="246">
                  <c:v>-85.24464783000397</c:v>
                </c:pt>
                <c:pt idx="247">
                  <c:v>-85.149740261223073</c:v>
                </c:pt>
                <c:pt idx="248">
                  <c:v>-85.052238581599568</c:v>
                </c:pt>
                <c:pt idx="249">
                  <c:v>-84.952089497035615</c:v>
                </c:pt>
                <c:pt idx="250">
                  <c:v>-84.849238196852639</c:v>
                </c:pt>
                <c:pt idx="251">
                  <c:v>-84.743628316791742</c:v>
                </c:pt>
                <c:pt idx="252">
                  <c:v>-84.635201900641832</c:v>
                </c:pt>
                <c:pt idx="253">
                  <c:v>-84.523899360437184</c:v>
                </c:pt>
                <c:pt idx="254">
                  <c:v>-84.409659435164215</c:v>
                </c:pt>
                <c:pt idx="255">
                  <c:v>-84.292419147913847</c:v>
                </c:pt>
                <c:pt idx="256">
                  <c:v>-84.172113761411538</c:v>
                </c:pt>
                <c:pt idx="257">
                  <c:v>-84.048676731854414</c:v>
                </c:pt>
                <c:pt idx="258">
                  <c:v>-83.922039660980175</c:v>
                </c:pt>
                <c:pt idx="259">
                  <c:v>-83.792132246289484</c:v>
                </c:pt>
                <c:pt idx="260">
                  <c:v>-83.658882229337848</c:v>
                </c:pt>
                <c:pt idx="261">
                  <c:v>-83.522215342009844</c:v>
                </c:pt>
                <c:pt idx="262">
                  <c:v>-83.382055250683663</c:v>
                </c:pt>
                <c:pt idx="263">
                  <c:v>-83.238323498187512</c:v>
                </c:pt>
                <c:pt idx="264">
                  <c:v>-83.090939443447056</c:v>
                </c:pt>
                <c:pt idx="265">
                  <c:v>-82.939820198714841</c:v>
                </c:pt>
                <c:pt idx="266">
                  <c:v>-82.784880564269685</c:v>
                </c:pt>
                <c:pt idx="267">
                  <c:v>-82.626032960465324</c:v>
                </c:pt>
                <c:pt idx="268">
                  <c:v>-82.463187357004784</c:v>
                </c:pt>
                <c:pt idx="269">
                  <c:v>-82.296251199308173</c:v>
                </c:pt>
                <c:pt idx="270">
                  <c:v>-82.12512933183578</c:v>
                </c:pt>
                <c:pt idx="271">
                  <c:v>-81.949723918222787</c:v>
                </c:pt>
                <c:pt idx="272">
                  <c:v>-81.769934358073613</c:v>
                </c:pt>
                <c:pt idx="273">
                  <c:v>-81.585657200257216</c:v>
                </c:pt>
                <c:pt idx="274">
                  <c:v>-81.396786052538019</c:v>
                </c:pt>
                <c:pt idx="275">
                  <c:v>-81.203211487370098</c:v>
                </c:pt>
                <c:pt idx="276">
                  <c:v>-81.004820943673209</c:v>
                </c:pt>
                <c:pt idx="277">
                  <c:v>-80.801498624403777</c:v>
                </c:pt>
                <c:pt idx="278">
                  <c:v>-80.593125389726154</c:v>
                </c:pt>
                <c:pt idx="279">
                  <c:v>-80.379578645580608</c:v>
                </c:pt>
                <c:pt idx="280">
                  <c:v>-80.160732227441059</c:v>
                </c:pt>
                <c:pt idx="281">
                  <c:v>-79.936456279044492</c:v>
                </c:pt>
                <c:pt idx="282">
                  <c:v>-79.706617125870807</c:v>
                </c:pt>
                <c:pt idx="283">
                  <c:v>-79.471077143145394</c:v>
                </c:pt>
                <c:pt idx="284">
                  <c:v>-79.229694618130694</c:v>
                </c:pt>
                <c:pt idx="285">
                  <c:v>-78.98232360646999</c:v>
                </c:pt>
                <c:pt idx="286">
                  <c:v>-78.728813782343494</c:v>
                </c:pt>
                <c:pt idx="287">
                  <c:v>-78.469010282194006</c:v>
                </c:pt>
                <c:pt idx="288">
                  <c:v>-78.202753541782087</c:v>
                </c:pt>
                <c:pt idx="289">
                  <c:v>-77.929879126329567</c:v>
                </c:pt>
                <c:pt idx="290">
                  <c:v>-77.65021755351674</c:v>
                </c:pt>
                <c:pt idx="291">
                  <c:v>-77.363594109106941</c:v>
                </c:pt>
                <c:pt idx="292">
                  <c:v>-77.069828654979588</c:v>
                </c:pt>
                <c:pt idx="293">
                  <c:v>-76.768735429370651</c:v>
                </c:pt>
                <c:pt idx="294">
                  <c:v>-76.460122839138947</c:v>
                </c:pt>
                <c:pt idx="295">
                  <c:v>-76.143793243898472</c:v>
                </c:pt>
                <c:pt idx="296">
                  <c:v>-75.819542731893463</c:v>
                </c:pt>
                <c:pt idx="297">
                  <c:v>-75.487160887524766</c:v>
                </c:pt>
                <c:pt idx="298">
                  <c:v>-75.146430550491871</c:v>
                </c:pt>
                <c:pt idx="299">
                  <c:v>-74.797127566562779</c:v>
                </c:pt>
                <c:pt idx="300">
                  <c:v>-74.439020530059551</c:v>
                </c:pt>
                <c:pt idx="301">
                  <c:v>-74.071870518224557</c:v>
                </c:pt>
                <c:pt idx="302">
                  <c:v>-73.695430817730369</c:v>
                </c:pt>
                <c:pt idx="303">
                  <c:v>-73.309446643708171</c:v>
                </c:pt>
                <c:pt idx="304">
                  <c:v>-72.913654851802278</c:v>
                </c:pt>
                <c:pt idx="305">
                  <c:v>-72.507783643914465</c:v>
                </c:pt>
                <c:pt idx="306">
                  <c:v>-72.091552268476079</c:v>
                </c:pt>
                <c:pt idx="307">
                  <c:v>-71.664670716301231</c:v>
                </c:pt>
                <c:pt idx="308">
                  <c:v>-71.226839413304987</c:v>
                </c:pt>
                <c:pt idx="309">
                  <c:v>-70.777748911652182</c:v>
                </c:pt>
                <c:pt idx="310">
                  <c:v>-70.317079581214998</c:v>
                </c:pt>
                <c:pt idx="311">
                  <c:v>-69.844501303578838</c:v>
                </c:pt>
                <c:pt idx="312">
                  <c:v>-69.359673171246854</c:v>
                </c:pt>
                <c:pt idx="313">
                  <c:v>-68.862243195161341</c:v>
                </c:pt>
                <c:pt idx="314">
                  <c:v>-68.351848024189266</c:v>
                </c:pt>
                <c:pt idx="315">
                  <c:v>-67.828112680817412</c:v>
                </c:pt>
                <c:pt idx="316">
                  <c:v>-67.290650317978148</c:v>
                </c:pt>
                <c:pt idx="317">
                  <c:v>-66.739062002680754</c:v>
                </c:pt>
                <c:pt idx="318">
                  <c:v>-66.172936532972855</c:v>
                </c:pt>
                <c:pt idx="319">
                  <c:v>-65.591850295699501</c:v>
                </c:pt>
                <c:pt idx="320">
                  <c:v>-64.995367173574564</c:v>
                </c:pt>
                <c:pt idx="321">
                  <c:v>-64.383038511239036</c:v>
                </c:pt>
                <c:pt idx="322">
                  <c:v>-63.754403151255495</c:v>
                </c:pt>
                <c:pt idx="323">
                  <c:v>-63.10898755238297</c:v>
                </c:pt>
                <c:pt idx="324">
                  <c:v>-62.446306003990316</c:v>
                </c:pt>
                <c:pt idx="325">
                  <c:v>-61.765860952111908</c:v>
                </c:pt>
                <c:pt idx="326">
                  <c:v>-61.067143454396998</c:v>
                </c:pt>
                <c:pt idx="327">
                  <c:v>-60.349633783070423</c:v>
                </c:pt>
                <c:pt idx="328">
                  <c:v>-59.612802196980319</c:v>
                </c:pt>
                <c:pt idx="329">
                  <c:v>-58.856109905826223</c:v>
                </c:pt>
                <c:pt idx="330">
                  <c:v>-58.079010251733578</c:v>
                </c:pt>
                <c:pt idx="331">
                  <c:v>-57.280950135379051</c:v>
                </c:pt>
                <c:pt idx="332">
                  <c:v>-56.461371715879224</c:v>
                </c:pt>
                <c:pt idx="333">
                  <c:v>-55.61971441548333</c:v>
                </c:pt>
                <c:pt idx="334">
                  <c:v>-54.755417261752655</c:v>
                </c:pt>
                <c:pt idx="335">
                  <c:v>-53.867921601159111</c:v>
                </c:pt>
                <c:pt idx="336">
                  <c:v>-52.956674218846224</c:v>
                </c:pt>
                <c:pt idx="337">
                  <c:v>-52.021130899418615</c:v>
                </c:pt>
                <c:pt idx="338">
                  <c:v>-51.060760462951656</c:v>
                </c:pt>
                <c:pt idx="339">
                  <c:v>-50.075049308657604</c:v>
                </c:pt>
                <c:pt idx="340">
                  <c:v>-49.06350649560229</c:v>
                </c:pt>
                <c:pt idx="341">
                  <c:v>-48.025669385273744</c:v>
                </c:pt>
                <c:pt idx="342">
                  <c:v>-46.961109864358619</c:v>
                </c:pt>
                <c:pt idx="343">
                  <c:v>-45.869441157523681</c:v>
                </c:pt>
                <c:pt idx="344">
                  <c:v>-44.750325229042197</c:v>
                </c:pt>
                <c:pt idx="345">
                  <c:v>-43.603480758500126</c:v>
                </c:pt>
                <c:pt idx="346">
                  <c:v>-42.428691659383716</c:v>
                </c:pt>
                <c:pt idx="347">
                  <c:v>-41.225816089984825</c:v>
                </c:pt>
                <c:pt idx="348">
                  <c:v>-39.994795883738256</c:v>
                </c:pt>
                <c:pt idx="349">
                  <c:v>-38.735666301087967</c:v>
                </c:pt>
                <c:pt idx="350">
                  <c:v>-37.448565977531814</c:v>
                </c:pt>
                <c:pt idx="351">
                  <c:v>-36.133746913339991</c:v>
                </c:pt>
                <c:pt idx="352">
                  <c:v>-34.791584320412341</c:v>
                </c:pt>
                <c:pt idx="353">
                  <c:v>-33.422586112054248</c:v>
                </c:pt>
                <c:pt idx="354">
                  <c:v>-32.027401793615375</c:v>
                </c:pt>
                <c:pt idx="355">
                  <c:v>-30.606830487722259</c:v>
                </c:pt>
                <c:pt idx="356">
                  <c:v>-29.161827809244034</c:v>
                </c:pt>
                <c:pt idx="357">
                  <c:v>-27.693511294329291</c:v>
                </c:pt>
                <c:pt idx="358">
                  <c:v>-26.203164086964936</c:v>
                </c:pt>
                <c:pt idx="359">
                  <c:v>-24.692236597506927</c:v>
                </c:pt>
                <c:pt idx="360">
                  <c:v>-23.162345872148403</c:v>
                </c:pt>
                <c:pt idx="361">
                  <c:v>-21.615272451320308</c:v>
                </c:pt>
                <c:pt idx="362">
                  <c:v>-20.052954548794435</c:v>
                </c:pt>
                <c:pt idx="363">
                  <c:v>-18.477479451038818</c:v>
                </c:pt>
                <c:pt idx="364">
                  <c:v>-16.891072116322338</c:v>
                </c:pt>
                <c:pt idx="365">
                  <c:v>-15.296081042212776</c:v>
                </c:pt>
                <c:pt idx="366">
                  <c:v>-13.69496156448737</c:v>
                </c:pt>
                <c:pt idx="367">
                  <c:v>-12.090256845281441</c:v>
                </c:pt>
                <c:pt idx="368">
                  <c:v>-10.484576898141086</c:v>
                </c:pt>
                <c:pt idx="369">
                  <c:v>-8.8805760771952311</c:v>
                </c:pt>
                <c:pt idx="370">
                  <c:v>-7.2809295217315553</c:v>
                </c:pt>
                <c:pt idx="371">
                  <c:v>-5.6883090918856105</c:v>
                </c:pt>
                <c:pt idx="372">
                  <c:v>-4.1053593528442898</c:v>
                </c:pt>
                <c:pt idx="373">
                  <c:v>-2.5346741624667342</c:v>
                </c:pt>
                <c:pt idx="374">
                  <c:v>-0.97877439066146643</c:v>
                </c:pt>
                <c:pt idx="375">
                  <c:v>0.5599127498720623</c:v>
                </c:pt>
                <c:pt idx="376">
                  <c:v>2.079072349587892</c:v>
                </c:pt>
                <c:pt idx="377">
                  <c:v>3.5765180948293791</c:v>
                </c:pt>
                <c:pt idx="378">
                  <c:v>5.0502059687852405</c:v>
                </c:pt>
                <c:pt idx="379">
                  <c:v>6.498245217204353</c:v>
                </c:pt>
                <c:pt idx="380">
                  <c:v>7.9189065290428076</c:v>
                </c:pt>
                <c:pt idx="381">
                  <c:v>9.3106274697518803</c:v>
                </c:pt>
                <c:pt idx="382">
                  <c:v>10.672015282515629</c:v>
                </c:pt>
                <c:pt idx="383">
                  <c:v>12.00184723771198</c:v>
                </c:pt>
                <c:pt idx="384">
                  <c:v>13.29906876159572</c:v>
                </c:pt>
                <c:pt idx="385">
                  <c:v>14.562789611130622</c:v>
                </c:pt>
                <c:pt idx="386">
                  <c:v>15.792278383467583</c:v>
                </c:pt>
                <c:pt idx="387">
                  <c:v>16.986955656897567</c:v>
                </c:pt>
                <c:pt idx="388">
                  <c:v>18.146386056924189</c:v>
                </c:pt>
                <c:pt idx="389">
                  <c:v>19.270269528437673</c:v>
                </c:pt>
                <c:pt idx="390">
                  <c:v>20.358432074943696</c:v>
                </c:pt>
                <c:pt idx="391">
                  <c:v>21.410816200589068</c:v>
                </c:pt>
                <c:pt idx="392">
                  <c:v>22.427471262247405</c:v>
                </c:pt>
                <c:pt idx="393">
                  <c:v>23.408543908939052</c:v>
                </c:pt>
                <c:pt idx="394">
                  <c:v>24.354268755794475</c:v>
                </c:pt>
                <c:pt idx="395">
                  <c:v>25.264959410752706</c:v>
                </c:pt>
                <c:pt idx="396">
                  <c:v>26.140999945068334</c:v>
                </c:pt>
                <c:pt idx="397">
                  <c:v>26.982836874035744</c:v>
                </c:pt>
                <c:pt idx="398">
                  <c:v>27.79097169248789</c:v>
                </c:pt>
                <c:pt idx="399">
                  <c:v>28.565953990676505</c:v>
                </c:pt>
                <c:pt idx="400">
                  <c:v>29.308375160163131</c:v>
                </c:pt>
                <c:pt idx="401">
                  <c:v>30.018862686121317</c:v>
                </c:pt>
                <c:pt idx="402">
                  <c:v>30.698075011856663</c:v>
                </c:pt>
                <c:pt idx="403">
                  <c:v>31.346696953082144</c:v>
                </c:pt>
                <c:pt idx="404">
                  <c:v>31.965435633299027</c:v>
                </c:pt>
                <c:pt idx="405">
                  <c:v>32.555016907225294</c:v>
                </c:pt>
                <c:pt idx="406">
                  <c:v>33.11618223633473</c:v>
                </c:pt>
                <c:pt idx="407">
                  <c:v>33.649685978932119</c:v>
                </c:pt>
                <c:pt idx="408">
                  <c:v>34.156293056594812</c:v>
                </c:pt>
                <c:pt idx="409">
                  <c:v>34.636776959017581</c:v>
                </c:pt>
                <c:pt idx="410">
                  <c:v>35.091918050146155</c:v>
                </c:pt>
                <c:pt idx="411">
                  <c:v>35.522502139818656</c:v>
                </c:pt>
                <c:pt idx="412">
                  <c:v>35.929319286809253</c:v>
                </c:pt>
                <c:pt idx="413">
                  <c:v>36.313162801095523</c:v>
                </c:pt>
                <c:pt idx="414">
                  <c:v>36.674828415263079</c:v>
                </c:pt>
                <c:pt idx="415">
                  <c:v>37.015113597128</c:v>
                </c:pt>
                <c:pt idx="416">
                  <c:v>37.334816977880394</c:v>
                </c:pt>
                <c:pt idx="417">
                  <c:v>37.63473787226711</c:v>
                </c:pt>
                <c:pt idx="418">
                  <c:v>37.915675869503374</c:v>
                </c:pt>
                <c:pt idx="419">
                  <c:v>38.178430475747483</c:v>
                </c:pt>
                <c:pt idx="420">
                  <c:v>38.423800791019772</c:v>
                </c:pt>
                <c:pt idx="421">
                  <c:v>38.652585205438918</c:v>
                </c:pt>
                <c:pt idx="422">
                  <c:v>38.865581101540208</c:v>
                </c:pt>
                <c:pt idx="423">
                  <c:v>39.063584551258231</c:v>
                </c:pt>
                <c:pt idx="424">
                  <c:v>39.247389997870663</c:v>
                </c:pt>
                <c:pt idx="425">
                  <c:v>39.417789914832532</c:v>
                </c:pt>
                <c:pt idx="426">
                  <c:v>39.575574434970058</c:v>
                </c:pt>
                <c:pt idx="427">
                  <c:v>39.721530944945435</c:v>
                </c:pt>
                <c:pt idx="428">
                  <c:v>39.85644364126356</c:v>
                </c:pt>
                <c:pt idx="429">
                  <c:v>39.98109304535636</c:v>
                </c:pt>
                <c:pt idx="430">
                  <c:v>40.09625547643936</c:v>
                </c:pt>
                <c:pt idx="431">
                  <c:v>40.202702481923815</c:v>
                </c:pt>
                <c:pt idx="432">
                  <c:v>40.301200226137105</c:v>
                </c:pt>
                <c:pt idx="433">
                  <c:v>40.392508838991866</c:v>
                </c:pt>
                <c:pt idx="434">
                  <c:v>40.477381727023129</c:v>
                </c:pt>
                <c:pt idx="435">
                  <c:v>40.556564849904518</c:v>
                </c:pt>
                <c:pt idx="436">
                  <c:v>40.630795966131735</c:v>
                </c:pt>
                <c:pt idx="437">
                  <c:v>40.700803852053824</c:v>
                </c:pt>
                <c:pt idx="438">
                  <c:v>40.767307498812841</c:v>
                </c:pt>
                <c:pt idx="439">
                  <c:v>40.831015292047027</c:v>
                </c:pt>
                <c:pt idx="440">
                  <c:v>40.892624179401878</c:v>
                </c:pt>
                <c:pt idx="441">
                  <c:v>40.95281883100651</c:v>
                </c:pt>
                <c:pt idx="442">
                  <c:v>41.012270798077758</c:v>
                </c:pt>
                <c:pt idx="443">
                  <c:v>41.071637674767672</c:v>
                </c:pt>
                <c:pt idx="444">
                  <c:v>41.131562268222254</c:v>
                </c:pt>
                <c:pt idx="445">
                  <c:v>41.192671781626643</c:v>
                </c:pt>
                <c:pt idx="446">
                  <c:v>41.255577014753179</c:v>
                </c:pt>
                <c:pt idx="447">
                  <c:v>41.320871586216469</c:v>
                </c:pt>
                <c:pt idx="448">
                  <c:v>41.389131181307498</c:v>
                </c:pt>
                <c:pt idx="449">
                  <c:v>41.460912828888759</c:v>
                </c:pt>
                <c:pt idx="450">
                  <c:v>41.536754210461055</c:v>
                </c:pt>
                <c:pt idx="451">
                  <c:v>41.617173004081174</c:v>
                </c:pt>
                <c:pt idx="452">
                  <c:v>41.702666265442012</c:v>
                </c:pt>
                <c:pt idx="453">
                  <c:v>41.793709847994847</c:v>
                </c:pt>
                <c:pt idx="454">
                  <c:v>41.89075786364635</c:v>
                </c:pt>
                <c:pt idx="455">
                  <c:v>41.99424218518444</c:v>
                </c:pt>
                <c:pt idx="456">
                  <c:v>42.104571991274874</c:v>
                </c:pt>
                <c:pt idx="457">
                  <c:v>42.222133354567866</c:v>
                </c:pt>
                <c:pt idx="458">
                  <c:v>42.347288873212406</c:v>
                </c:pt>
                <c:pt idx="459">
                  <c:v>42.480377345852204</c:v>
                </c:pt>
                <c:pt idx="460">
                  <c:v>42.621713490014876</c:v>
                </c:pt>
                <c:pt idx="461">
                  <c:v>42.771587703674975</c:v>
                </c:pt>
                <c:pt idx="462">
                  <c:v>42.930265869696797</c:v>
                </c:pt>
                <c:pt idx="463">
                  <c:v>43.097989202808193</c:v>
                </c:pt>
                <c:pt idx="464">
                  <c:v>43.274974138760463</c:v>
                </c:pt>
                <c:pt idx="465">
                  <c:v>43.461412265359598</c:v>
                </c:pt>
                <c:pt idx="466">
                  <c:v>43.657470295109832</c:v>
                </c:pt>
                <c:pt idx="467">
                  <c:v>43.863290079297229</c:v>
                </c:pt>
                <c:pt idx="468">
                  <c:v>44.078988663449906</c:v>
                </c:pt>
                <c:pt idx="469">
                  <c:v>44.304658384220453</c:v>
                </c:pt>
                <c:pt idx="470">
                  <c:v>44.5403670078666</c:v>
                </c:pt>
                <c:pt idx="471">
                  <c:v>44.786157910628397</c:v>
                </c:pt>
                <c:pt idx="472">
                  <c:v>45.042050301416786</c:v>
                </c:pt>
                <c:pt idx="473">
                  <c:v>45.308039487332685</c:v>
                </c:pt>
                <c:pt idx="474">
                  <c:v>45.584097182624795</c:v>
                </c:pt>
                <c:pt idx="475">
                  <c:v>45.870171861748105</c:v>
                </c:pt>
                <c:pt idx="476">
                  <c:v>46.166189157223847</c:v>
                </c:pt>
                <c:pt idx="477">
                  <c:v>46.472052302987848</c:v>
                </c:pt>
                <c:pt idx="478">
                  <c:v>46.787642623882277</c:v>
                </c:pt>
                <c:pt idx="479">
                  <c:v>47.112820071847466</c:v>
                </c:pt>
                <c:pt idx="480">
                  <c:v>47.447423809263732</c:v>
                </c:pt>
                <c:pt idx="481">
                  <c:v>47.791272839692844</c:v>
                </c:pt>
                <c:pt idx="482">
                  <c:v>48.144166686085349</c:v>
                </c:pt>
                <c:pt idx="483">
                  <c:v>48.505886116232595</c:v>
                </c:pt>
                <c:pt idx="484">
                  <c:v>48.876193914966038</c:v>
                </c:pt>
                <c:pt idx="485">
                  <c:v>49.254835702254447</c:v>
                </c:pt>
                <c:pt idx="486">
                  <c:v>49.641540795998665</c:v>
                </c:pt>
                <c:pt idx="487">
                  <c:v>50.036023117911938</c:v>
                </c:pt>
                <c:pt idx="488">
                  <c:v>50.437982140480933</c:v>
                </c:pt>
                <c:pt idx="489">
                  <c:v>50.847103872558428</c:v>
                </c:pt>
                <c:pt idx="490">
                  <c:v>51.26306188072202</c:v>
                </c:pt>
                <c:pt idx="491">
                  <c:v>51.685518343100291</c:v>
                </c:pt>
                <c:pt idx="492">
                  <c:v>52.114125131955078</c:v>
                </c:pt>
                <c:pt idx="493">
                  <c:v>52.548524920915739</c:v>
                </c:pt>
                <c:pt idx="494">
                  <c:v>52.988352312398746</c:v>
                </c:pt>
                <c:pt idx="495">
                  <c:v>53.433234980415428</c:v>
                </c:pt>
                <c:pt idx="496">
                  <c:v>53.882794823692919</c:v>
                </c:pt>
                <c:pt idx="497">
                  <c:v>54.33664912380371</c:v>
                </c:pt>
                <c:pt idx="498">
                  <c:v>54.794411702815573</c:v>
                </c:pt>
                <c:pt idx="499">
                  <c:v>55.255694074876921</c:v>
                </c:pt>
                <c:pt idx="500">
                  <c:v>55.72010658609171</c:v>
                </c:pt>
                <c:pt idx="501">
                  <c:v>56.187259537058218</c:v>
                </c:pt>
                <c:pt idx="502">
                  <c:v>56.65676428254362</c:v>
                </c:pt>
                <c:pt idx="503">
                  <c:v>57.128234302897553</c:v>
                </c:pt>
                <c:pt idx="504">
                  <c:v>57.601286242041418</c:v>
                </c:pt>
                <c:pt idx="505">
                  <c:v>58.075540907137245</c:v>
                </c:pt>
                <c:pt idx="506">
                  <c:v>58.550624225370065</c:v>
                </c:pt>
                <c:pt idx="507">
                  <c:v>59.026168153665594</c:v>
                </c:pt>
                <c:pt idx="508">
                  <c:v>59.501811537583166</c:v>
                </c:pt>
                <c:pt idx="509">
                  <c:v>59.977200916088705</c:v>
                </c:pt>
                <c:pt idx="510">
                  <c:v>60.451991269397958</c:v>
                </c:pt>
                <c:pt idx="511">
                  <c:v>60.92584670759468</c:v>
                </c:pt>
                <c:pt idx="512">
                  <c:v>61.398441098243651</c:v>
                </c:pt>
                <c:pt idx="513">
                  <c:v>61.869458631744955</c:v>
                </c:pt>
                <c:pt idx="514">
                  <c:v>62.338594323701543</c:v>
                </c:pt>
                <c:pt idx="515">
                  <c:v>62.805554454072897</c:v>
                </c:pt>
                <c:pt idx="516">
                  <c:v>63.270056943388219</c:v>
                </c:pt>
                <c:pt idx="517">
                  <c:v>63.731831666752065</c:v>
                </c:pt>
                <c:pt idx="518">
                  <c:v>64.190620706817725</c:v>
                </c:pt>
                <c:pt idx="519">
                  <c:v>64.646178547305553</c:v>
                </c:pt>
                <c:pt idx="520">
                  <c:v>65.098272209009025</c:v>
                </c:pt>
                <c:pt idx="521">
                  <c:v>65.546681330554918</c:v>
                </c:pt>
                <c:pt idx="522">
                  <c:v>65.99119819647396</c:v>
                </c:pt>
                <c:pt idx="523">
                  <c:v>66.431627715367398</c:v>
                </c:pt>
                <c:pt idx="524">
                  <c:v>66.867787351166498</c:v>
                </c:pt>
                <c:pt idx="525">
                  <c:v>67.299507010618896</c:v>
                </c:pt>
                <c:pt idx="526">
                  <c:v>67.726628890267946</c:v>
                </c:pt>
                <c:pt idx="527">
                  <c:v>68.149007286245535</c:v>
                </c:pt>
                <c:pt idx="528">
                  <c:v>68.566508370249664</c:v>
                </c:pt>
                <c:pt idx="529">
                  <c:v>68.979009935072185</c:v>
                </c:pt>
                <c:pt idx="530">
                  <c:v>69.386401113010962</c:v>
                </c:pt>
                <c:pt idx="531">
                  <c:v>69.788582070445443</c:v>
                </c:pt>
                <c:pt idx="532">
                  <c:v>70.185463681766819</c:v>
                </c:pt>
                <c:pt idx="533">
                  <c:v>70.576967185750959</c:v>
                </c:pt>
                <c:pt idx="534">
                  <c:v>70.963023827333188</c:v>
                </c:pt>
                <c:pt idx="535">
                  <c:v>71.343574487607327</c:v>
                </c:pt>
                <c:pt idx="536">
                  <c:v>71.718569304714507</c:v>
                </c:pt>
                <c:pt idx="537">
                  <c:v>72.087967288132972</c:v>
                </c:pt>
                <c:pt idx="538">
                  <c:v>72.451735928699691</c:v>
                </c:pt>
                <c:pt idx="539">
                  <c:v>72.809850806534214</c:v>
                </c:pt>
                <c:pt idx="540">
                  <c:v>73.162295198851282</c:v>
                </c:pt>
                <c:pt idx="541">
                  <c:v>73.509059689480878</c:v>
                </c:pt>
              </c:numCache>
            </c:numRef>
          </c:yVal>
          <c:smooth val="1"/>
          <c:extLst>
            <c:ext xmlns:c16="http://schemas.microsoft.com/office/drawing/2014/chart" uri="{C3380CC4-5D6E-409C-BE32-E72D297353CC}">
              <c16:uniqueId val="{00000001-B561-4C80-890B-643E0BF90D63}"/>
            </c:ext>
          </c:extLst>
        </c:ser>
        <c:dLbls>
          <c:showLegendKey val="0"/>
          <c:showVal val="0"/>
          <c:showCatName val="0"/>
          <c:showSerName val="0"/>
          <c:showPercent val="0"/>
          <c:showBubbleSize val="0"/>
        </c:dLbls>
        <c:axId val="162527872"/>
        <c:axId val="162526336"/>
      </c:scatterChart>
      <c:valAx>
        <c:axId val="162497664"/>
        <c:scaling>
          <c:logBase val="10"/>
          <c:orientation val="minMax"/>
          <c:max val="2200000"/>
          <c:min val="10"/>
        </c:scaling>
        <c:delete val="0"/>
        <c:axPos val="b"/>
        <c:minorGridlines/>
        <c:title>
          <c:tx>
            <c:rich>
              <a:bodyPr/>
              <a:lstStyle/>
              <a:p>
                <a:pPr>
                  <a:defRPr/>
                </a:pPr>
                <a:r>
                  <a:rPr lang="en-US"/>
                  <a:t>Frequency</a:t>
                </a:r>
                <a:r>
                  <a:rPr lang="en-US" baseline="0"/>
                  <a:t> (Hz)</a:t>
                </a:r>
                <a:endParaRPr lang="en-US"/>
              </a:p>
            </c:rich>
          </c:tx>
          <c:overlay val="0"/>
        </c:title>
        <c:numFmt formatCode="0" sourceLinked="0"/>
        <c:majorTickMark val="out"/>
        <c:minorTickMark val="none"/>
        <c:tickLblPos val="low"/>
        <c:crossAx val="162499584"/>
        <c:crosses val="autoZero"/>
        <c:crossBetween val="midCat"/>
      </c:valAx>
      <c:valAx>
        <c:axId val="162499584"/>
        <c:scaling>
          <c:orientation val="minMax"/>
          <c:max val="40"/>
          <c:min val="-40"/>
        </c:scaling>
        <c:delete val="0"/>
        <c:axPos val="l"/>
        <c:majorGridlines/>
        <c:minorGridlines/>
        <c:title>
          <c:tx>
            <c:rich>
              <a:bodyPr rot="-5400000" vert="horz"/>
              <a:lstStyle/>
              <a:p>
                <a:pPr>
                  <a:defRPr/>
                </a:pPr>
                <a:r>
                  <a:rPr lang="en-US"/>
                  <a:t>Gain</a:t>
                </a:r>
                <a:r>
                  <a:rPr lang="en-US" baseline="0"/>
                  <a:t> (dB)</a:t>
                </a:r>
                <a:endParaRPr lang="en-US"/>
              </a:p>
            </c:rich>
          </c:tx>
          <c:overlay val="0"/>
        </c:title>
        <c:numFmt formatCode="General" sourceLinked="0"/>
        <c:majorTickMark val="out"/>
        <c:minorTickMark val="none"/>
        <c:tickLblPos val="nextTo"/>
        <c:crossAx val="162497664"/>
        <c:crosses val="autoZero"/>
        <c:crossBetween val="midCat"/>
        <c:majorUnit val="20"/>
        <c:minorUnit val="10"/>
      </c:valAx>
      <c:valAx>
        <c:axId val="162526336"/>
        <c:scaling>
          <c:orientation val="minMax"/>
          <c:max val="180"/>
          <c:min val="-180"/>
        </c:scaling>
        <c:delete val="0"/>
        <c:axPos val="r"/>
        <c:numFmt formatCode="General" sourceLinked="1"/>
        <c:majorTickMark val="out"/>
        <c:minorTickMark val="none"/>
        <c:tickLblPos val="nextTo"/>
        <c:crossAx val="162527872"/>
        <c:crosses val="max"/>
        <c:crossBetween val="midCat"/>
        <c:majorUnit val="90"/>
        <c:minorUnit val="45"/>
      </c:valAx>
      <c:valAx>
        <c:axId val="162527872"/>
        <c:scaling>
          <c:logBase val="10"/>
          <c:orientation val="minMax"/>
        </c:scaling>
        <c:delete val="1"/>
        <c:axPos val="b"/>
        <c:numFmt formatCode="0.00" sourceLinked="1"/>
        <c:majorTickMark val="out"/>
        <c:minorTickMark val="none"/>
        <c:tickLblPos val="nextTo"/>
        <c:crossAx val="162526336"/>
        <c:crosses val="autoZero"/>
        <c:crossBetween val="midCat"/>
      </c:valAx>
    </c:plotArea>
    <c:legend>
      <c:legendPos val="r"/>
      <c:layout>
        <c:manualLayout>
          <c:xMode val="edge"/>
          <c:yMode val="edge"/>
          <c:x val="0.79880558209512509"/>
          <c:y val="0.14321997959862004"/>
          <c:w val="0.13459449276057311"/>
          <c:h val="0.10691609861199437"/>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Error</a:t>
            </a:r>
            <a:r>
              <a:rPr lang="en-US" baseline="0"/>
              <a:t> Amplifier Transfer</a:t>
            </a:r>
          </a:p>
        </c:rich>
      </c:tx>
      <c:overlay val="0"/>
    </c:title>
    <c:autoTitleDeleted val="0"/>
    <c:plotArea>
      <c:layout/>
      <c:scatterChart>
        <c:scatterStyle val="smoothMarker"/>
        <c:varyColors val="0"/>
        <c:ser>
          <c:idx val="0"/>
          <c:order val="0"/>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Loop_Modeling!$AQ$19:$AQ$560</c:f>
              <c:numCache>
                <c:formatCode>General</c:formatCode>
                <c:ptCount val="542"/>
                <c:pt idx="0">
                  <c:v>20.251940294655796</c:v>
                </c:pt>
                <c:pt idx="1">
                  <c:v>20.052186716184593</c:v>
                </c:pt>
                <c:pt idx="2">
                  <c:v>19.85244473621707</c:v>
                </c:pt>
                <c:pt idx="3">
                  <c:v>19.652714899929919</c:v>
                </c:pt>
                <c:pt idx="4">
                  <c:v>19.452997778054375</c:v>
                </c:pt>
                <c:pt idx="5">
                  <c:v>19.25329396806697</c:v>
                </c:pt>
                <c:pt idx="6">
                  <c:v>19.05360409543556</c:v>
                </c:pt>
                <c:pt idx="7">
                  <c:v>18.853928814922142</c:v>
                </c:pt>
                <c:pt idx="8">
                  <c:v>18.654268811946011</c:v>
                </c:pt>
                <c:pt idx="9">
                  <c:v>18.454624804009438</c:v>
                </c:pt>
                <c:pt idx="10">
                  <c:v>18.254997542188384</c:v>
                </c:pt>
                <c:pt idx="11">
                  <c:v>18.055387812691603</c:v>
                </c:pt>
                <c:pt idx="12">
                  <c:v>17.85579643849109</c:v>
                </c:pt>
                <c:pt idx="13">
                  <c:v>17.656224281026795</c:v>
                </c:pt>
                <c:pt idx="14">
                  <c:v>17.456672241989274</c:v>
                </c:pt>
                <c:pt idx="15">
                  <c:v>17.257141265182948</c:v>
                </c:pt>
                <c:pt idx="16">
                  <c:v>17.057632338474455</c:v>
                </c:pt>
                <c:pt idx="17">
                  <c:v>16.858146495829121</c:v>
                </c:pt>
                <c:pt idx="18">
                  <c:v>16.6586848194396</c:v>
                </c:pt>
                <c:pt idx="19">
                  <c:v>16.459248441950486</c:v>
                </c:pt>
                <c:pt idx="20">
                  <c:v>16.259838548783499</c:v>
                </c:pt>
                <c:pt idx="21">
                  <c:v>16.060456380566798</c:v>
                </c:pt>
                <c:pt idx="22">
                  <c:v>15.861103235673797</c:v>
                </c:pt>
                <c:pt idx="23">
                  <c:v>15.661780472874922</c:v>
                </c:pt>
                <c:pt idx="24">
                  <c:v>15.462489514108359</c:v>
                </c:pt>
                <c:pt idx="25">
                  <c:v>15.26323184737365</c:v>
                </c:pt>
                <c:pt idx="26">
                  <c:v>15.06400902975415</c:v>
                </c:pt>
                <c:pt idx="27">
                  <c:v>14.864822690573021</c:v>
                </c:pt>
                <c:pt idx="28">
                  <c:v>14.665674534688309</c:v>
                </c:pt>
                <c:pt idx="29">
                  <c:v>14.466566345933273</c:v>
                </c:pt>
                <c:pt idx="30">
                  <c:v>14.267499990707325</c:v>
                </c:pt>
                <c:pt idx="31">
                  <c:v>14.068477421723546</c:v>
                </c:pt>
                <c:pt idx="32">
                  <c:v>13.869500681919675</c:v>
                </c:pt>
                <c:pt idx="33">
                  <c:v>13.670571908537973</c:v>
                </c:pt>
                <c:pt idx="34">
                  <c:v>13.471693337381328</c:v>
                </c:pt>
                <c:pt idx="35">
                  <c:v>13.272867307252284</c:v>
                </c:pt>
                <c:pt idx="36">
                  <c:v>13.074096264581403</c:v>
                </c:pt>
                <c:pt idx="37">
                  <c:v>12.875382768252701</c:v>
                </c:pt>
                <c:pt idx="38">
                  <c:v>12.676729494632916</c:v>
                </c:pt>
                <c:pt idx="39">
                  <c:v>12.478139242812716</c:v>
                </c:pt>
                <c:pt idx="40">
                  <c:v>12.279614940066576</c:v>
                </c:pt>
                <c:pt idx="41">
                  <c:v>12.081159647539785</c:v>
                </c:pt>
                <c:pt idx="42">
                  <c:v>11.882776566170056</c:v>
                </c:pt>
                <c:pt idx="43">
                  <c:v>11.684469042852017</c:v>
                </c:pt>
                <c:pt idx="44">
                  <c:v>11.486240576852193</c:v>
                </c:pt>
                <c:pt idx="45">
                  <c:v>11.288094826483231</c:v>
                </c:pt>
                <c:pt idx="46">
                  <c:v>11.090035616044805</c:v>
                </c:pt>
                <c:pt idx="47">
                  <c:v>10.892066943040481</c:v>
                </c:pt>
                <c:pt idx="48">
                  <c:v>10.69419298567766</c:v>
                </c:pt>
                <c:pt idx="49">
                  <c:v>10.496418110659494</c:v>
                </c:pt>
                <c:pt idx="50">
                  <c:v>10.298746881276861</c:v>
                </c:pt>
                <c:pt idx="51">
                  <c:v>10.101184065808155</c:v>
                </c:pt>
                <c:pt idx="52">
                  <c:v>9.9037346462346409</c:v>
                </c:pt>
                <c:pt idx="53">
                  <c:v>9.7064038272797291</c:v>
                </c:pt>
                <c:pt idx="54">
                  <c:v>9.5091970457785209</c:v>
                </c:pt>
                <c:pt idx="55">
                  <c:v>9.3121199803857539</c:v>
                </c:pt>
                <c:pt idx="56">
                  <c:v>9.1151785616275998</c:v>
                </c:pt>
                <c:pt idx="57">
                  <c:v>8.9183789823047537</c:v>
                </c:pt>
                <c:pt idx="58">
                  <c:v>8.7217277082510893</c:v>
                </c:pt>
                <c:pt idx="59">
                  <c:v>8.525231489454173</c:v>
                </c:pt>
                <c:pt idx="60">
                  <c:v>8.3288973715403873</c:v>
                </c:pt>
                <c:pt idx="61">
                  <c:v>8.1327327076292928</c:v>
                </c:pt>
                <c:pt idx="62">
                  <c:v>7.9367451705586065</c:v>
                </c:pt>
                <c:pt idx="63">
                  <c:v>7.7409427654812699</c:v>
                </c:pt>
                <c:pt idx="64">
                  <c:v>7.5453338428347658</c:v>
                </c:pt>
                <c:pt idx="65">
                  <c:v>7.3499271116806932</c:v>
                </c:pt>
                <c:pt idx="66">
                  <c:v>7.1547316534121421</c:v>
                </c:pt>
                <c:pt idx="67">
                  <c:v>6.9597569358231226</c:v>
                </c:pt>
                <c:pt idx="68">
                  <c:v>6.7650128275346768</c:v>
                </c:pt>
                <c:pt idx="69">
                  <c:v>6.5705096127666049</c:v>
                </c:pt>
                <c:pt idx="70">
                  <c:v>6.3762580064461005</c:v>
                </c:pt>
                <c:pt idx="71">
                  <c:v>6.1822691696368324</c:v>
                </c:pt>
                <c:pt idx="72">
                  <c:v>5.988554725273473</c:v>
                </c:pt>
                <c:pt idx="73">
                  <c:v>5.7951267741811119</c:v>
                </c:pt>
                <c:pt idx="74">
                  <c:v>5.6019979113563139</c:v>
                </c:pt>
                <c:pt idx="75">
                  <c:v>5.409181242483065</c:v>
                </c:pt>
                <c:pt idx="76">
                  <c:v>5.2166904006525572</c:v>
                </c:pt>
                <c:pt idx="77">
                  <c:v>5.0245395632518717</c:v>
                </c:pt>
                <c:pt idx="78">
                  <c:v>4.8327434689822839</c:v>
                </c:pt>
                <c:pt idx="79">
                  <c:v>4.6413174349611603</c:v>
                </c:pt>
                <c:pt idx="80">
                  <c:v>4.4502773738597314</c:v>
                </c:pt>
                <c:pt idx="81">
                  <c:v>4.259639811018995</c:v>
                </c:pt>
                <c:pt idx="82">
                  <c:v>4.0694219014849304</c:v>
                </c:pt>
                <c:pt idx="83">
                  <c:v>3.8796414468926788</c:v>
                </c:pt>
                <c:pt idx="84">
                  <c:v>3.6903169121282509</c:v>
                </c:pt>
                <c:pt idx="85">
                  <c:v>3.5014674416842335</c:v>
                </c:pt>
                <c:pt idx="86">
                  <c:v>3.3131128756230979</c:v>
                </c:pt>
                <c:pt idx="87">
                  <c:v>3.1252737650504998</c:v>
                </c:pt>
                <c:pt idx="88">
                  <c:v>2.9379713869970603</c:v>
                </c:pt>
                <c:pt idx="89">
                  <c:v>2.7512277585943421</c:v>
                </c:pt>
                <c:pt idx="90">
                  <c:v>2.565065650427651</c:v>
                </c:pt>
                <c:pt idx="91">
                  <c:v>2.3795085989356899</c:v>
                </c:pt>
                <c:pt idx="92">
                  <c:v>2.1945809177210847</c:v>
                </c:pt>
                <c:pt idx="93">
                  <c:v>2.0103077076273519</c:v>
                </c:pt>
                <c:pt idx="94">
                  <c:v>1.8267148654266243</c:v>
                </c:pt>
                <c:pt idx="95">
                  <c:v>1.6438290909598985</c:v>
                </c:pt>
                <c:pt idx="96">
                  <c:v>1.4616778925564546</c:v>
                </c:pt>
                <c:pt idx="97">
                  <c:v>1.2802895905583465</c:v>
                </c:pt>
                <c:pt idx="98">
                  <c:v>1.0996933187633113</c:v>
                </c:pt>
                <c:pt idx="99">
                  <c:v>0.91991902359795386</c:v>
                </c:pt>
                <c:pt idx="100">
                  <c:v>0.74099746082228679</c:v>
                </c:pt>
                <c:pt idx="101">
                  <c:v>0.56296018956663352</c:v>
                </c:pt>
                <c:pt idx="102">
                  <c:v>0.38583956349653215</c:v>
                </c:pt>
                <c:pt idx="103">
                  <c:v>0.20966871889840286</c:v>
                </c:pt>
                <c:pt idx="104">
                  <c:v>3.4481559479708886E-2</c:v>
                </c:pt>
                <c:pt idx="105">
                  <c:v>-0.13968726232200288</c:v>
                </c:pt>
                <c:pt idx="106">
                  <c:v>-0.31280236772378189</c:v>
                </c:pt>
                <c:pt idx="107">
                  <c:v>-0.48482767787317804</c:v>
                </c:pt>
                <c:pt idx="108">
                  <c:v>-0.65572644420388349</c:v>
                </c:pt>
                <c:pt idx="109">
                  <c:v>-0.82546128305036115</c:v>
                </c:pt>
                <c:pt idx="110">
                  <c:v>-0.99399421468771343</c:v>
                </c:pt>
                <c:pt idx="111">
                  <c:v>-1.16128670694578</c:v>
                </c:pt>
                <c:pt idx="112">
                  <c:v>-1.3272997235276884</c:v>
                </c:pt>
                <c:pt idx="113">
                  <c:v>-1.4919937771411318</c:v>
                </c:pt>
                <c:pt idx="114">
                  <c:v>-1.6553289875233657</c:v>
                </c:pt>
                <c:pt idx="115">
                  <c:v>-1.8172651444133212</c:v>
                </c:pt>
                <c:pt idx="116">
                  <c:v>-1.9777617754894381</c:v>
                </c:pt>
                <c:pt idx="117">
                  <c:v>-2.1367782192572968</c:v>
                </c:pt>
                <c:pt idx="118">
                  <c:v>-2.294273702830937</c:v>
                </c:pt>
                <c:pt idx="119">
                  <c:v>-2.4502074245092658</c:v>
                </c:pt>
                <c:pt idx="120">
                  <c:v>-2.6045386410036926</c:v>
                </c:pt>
                <c:pt idx="121">
                  <c:v>-2.7572267591254738</c:v>
                </c:pt>
                <c:pt idx="122">
                  <c:v>-2.9082314316903597</c:v>
                </c:pt>
                <c:pt idx="123">
                  <c:v>-3.0575126573481222</c:v>
                </c:pt>
                <c:pt idx="124">
                  <c:v>-3.2050308839901747</c:v>
                </c:pt>
                <c:pt idx="125">
                  <c:v>-3.3507471153365298</c:v>
                </c:pt>
                <c:pt idx="126">
                  <c:v>-3.4946230202500148</c:v>
                </c:pt>
                <c:pt idx="127">
                  <c:v>-3.6366210442745373</c:v>
                </c:pt>
                <c:pt idx="128">
                  <c:v>-3.7767045228442302</c:v>
                </c:pt>
                <c:pt idx="129">
                  <c:v>-3.9148377955625224</c:v>
                </c:pt>
                <c:pt idx="130">
                  <c:v>-4.0509863209089207</c:v>
                </c:pt>
                <c:pt idx="131">
                  <c:v>-4.1851167906902518</c:v>
                </c:pt>
                <c:pt idx="132">
                  <c:v>-4.3171972435226351</c:v>
                </c:pt>
                <c:pt idx="133">
                  <c:v>-4.4471971766006506</c:v>
                </c:pt>
                <c:pt idx="134">
                  <c:v>-4.5750876549940767</c:v>
                </c:pt>
                <c:pt idx="135">
                  <c:v>-4.7008414176975508</c:v>
                </c:pt>
                <c:pt idx="136">
                  <c:v>-4.824432979657991</c:v>
                </c:pt>
                <c:pt idx="137">
                  <c:v>-4.9458387290086714</c:v>
                </c:pt>
                <c:pt idx="138">
                  <c:v>-5.0650370187558034</c:v>
                </c:pt>
                <c:pt idx="139">
                  <c:v>-5.1820082521857289</c:v>
                </c:pt>
                <c:pt idx="140">
                  <c:v>-5.2967349612985091</c:v>
                </c:pt>
                <c:pt idx="141">
                  <c:v>-5.4092018776145059</c:v>
                </c:pt>
                <c:pt idx="142">
                  <c:v>-5.5193959947556941</c:v>
                </c:pt>
                <c:pt idx="143">
                  <c:v>-5.6273066222629966</c:v>
                </c:pt>
                <c:pt idx="144">
                  <c:v>-5.7329254301820729</c:v>
                </c:pt>
                <c:pt idx="145">
                  <c:v>-5.8362464840244126</c:v>
                </c:pt>
                <c:pt idx="146">
                  <c:v>-5.9372662697941045</c:v>
                </c:pt>
                <c:pt idx="147">
                  <c:v>-6.0359837088561354</c:v>
                </c:pt>
                <c:pt idx="148">
                  <c:v>-6.1324001625135995</c:v>
                </c:pt>
                <c:pt idx="149">
                  <c:v>-6.2265194262521382</c:v>
                </c:pt>
                <c:pt idx="150">
                  <c:v>-6.3183477137034849</c:v>
                </c:pt>
                <c:pt idx="151">
                  <c:v>-6.4078936304723193</c:v>
                </c:pt>
                <c:pt idx="152">
                  <c:v>-6.4951681380593387</c:v>
                </c:pt>
                <c:pt idx="153">
                  <c:v>-6.5801845082015511</c:v>
                </c:pt>
                <c:pt idx="154">
                  <c:v>-6.6629582680302146</c:v>
                </c:pt>
                <c:pt idx="155">
                  <c:v>-6.7435071365238608</c:v>
                </c:pt>
                <c:pt idx="156">
                  <c:v>-6.821850952801336</c:v>
                </c:pt>
                <c:pt idx="157">
                  <c:v>-6.8980115968610907</c:v>
                </c:pt>
                <c:pt idx="158">
                  <c:v>-6.9720129034234652</c:v>
                </c:pt>
                <c:pt idx="159">
                  <c:v>-7.043880569577448</c:v>
                </c:pt>
                <c:pt idx="160">
                  <c:v>-7.1136420569643768</c:v>
                </c:pt>
                <c:pt idx="161">
                  <c:v>-7.1813264892571151</c:v>
                </c:pt>
                <c:pt idx="162">
                  <c:v>-7.2469645457055307</c:v>
                </c:pt>
                <c:pt idx="163">
                  <c:v>-7.3105883515244399</c:v>
                </c:pt>
                <c:pt idx="164">
                  <c:v>-7.3722313658971386</c:v>
                </c:pt>
                <c:pt idx="165">
                  <c:v>-7.4319282683531274</c:v>
                </c:pt>
                <c:pt idx="166">
                  <c:v>-7.4897148442595354</c:v>
                </c:pt>
                <c:pt idx="167">
                  <c:v>-7.5456278701382553</c:v>
                </c:pt>
                <c:pt idx="168">
                  <c:v>-7.599704999485871</c:v>
                </c:pt>
                <c:pt idx="169">
                  <c:v>-7.6519846497360264</c:v>
                </c:pt>
                <c:pt idx="170">
                  <c:v>-7.7025058909580295</c:v>
                </c:pt>
                <c:pt idx="171">
                  <c:v>-7.7513083368405944</c:v>
                </c:pt>
                <c:pt idx="172">
                  <c:v>-7.7984320384577508</c:v>
                </c:pt>
                <c:pt idx="173">
                  <c:v>-7.8439173812623197</c:v>
                </c:pt>
                <c:pt idx="174">
                  <c:v>-7.8878049857015835</c:v>
                </c:pt>
                <c:pt idx="175">
                  <c:v>-7.9301356117929238</c:v>
                </c:pt>
                <c:pt idx="176">
                  <c:v>-7.9709500679487206</c:v>
                </c:pt>
                <c:pt idx="177">
                  <c:v>-8.0102891242855776</c:v>
                </c:pt>
                <c:pt idx="178">
                  <c:v>-8.0481934306039786</c:v>
                </c:pt>
                <c:pt idx="179">
                  <c:v>-8.0847034391774422</c:v>
                </c:pt>
                <c:pt idx="180">
                  <c:v>-8.1198593324441095</c:v>
                </c:pt>
                <c:pt idx="181">
                  <c:v>-8.15370095565269</c:v>
                </c:pt>
                <c:pt idx="182">
                  <c:v>-8.1862677544744891</c:v>
                </c:pt>
                <c:pt idx="183">
                  <c:v>-8.2175987175583085</c:v>
                </c:pt>
                <c:pt idx="184">
                  <c:v>-8.2477323239721247</c:v>
                </c:pt>
                <c:pt idx="185">
                  <c:v>-8.2767064954469696</c:v>
                </c:pt>
                <c:pt idx="186">
                  <c:v>-8.3045585533121304</c:v>
                </c:pt>
                <c:pt idx="187">
                  <c:v>-8.3313251799891912</c:v>
                </c:pt>
                <c:pt idx="188">
                  <c:v>-8.3570423848939885</c:v>
                </c:pt>
                <c:pt idx="189">
                  <c:v>-8.3817454745779614</c:v>
                </c:pt>
                <c:pt idx="190">
                  <c:v>-8.4054690269295591</c:v>
                </c:pt>
                <c:pt idx="191">
                  <c:v>-8.4282468692453527</c:v>
                </c:pt>
                <c:pt idx="192">
                  <c:v>-8.4501120599723762</c:v>
                </c:pt>
                <c:pt idx="193">
                  <c:v>-8.4710968739198869</c:v>
                </c:pt>
                <c:pt idx="194">
                  <c:v>-8.491232790733779</c:v>
                </c:pt>
                <c:pt idx="195">
                  <c:v>-8.5105504864269914</c:v>
                </c:pt>
                <c:pt idx="196">
                  <c:v>-8.5290798277604303</c:v>
                </c:pt>
                <c:pt idx="197">
                  <c:v>-8.5468498692697121</c:v>
                </c:pt>
                <c:pt idx="198">
                  <c:v>-8.5638888527375556</c:v>
                </c:pt>
                <c:pt idx="199">
                  <c:v>-8.5802242089169116</c:v>
                </c:pt>
                <c:pt idx="200">
                  <c:v>-8.5958825613143635</c:v>
                </c:pt>
                <c:pt idx="201">
                  <c:v>-8.6108897318504471</c:v>
                </c:pt>
                <c:pt idx="202">
                  <c:v>-8.6252707482209097</c:v>
                </c:pt>
                <c:pt idx="203">
                  <c:v>-8.6390498527900839</c:v>
                </c:pt>
                <c:pt idx="204">
                  <c:v>-8.6522505128555434</c:v>
                </c:pt>
                <c:pt idx="205">
                  <c:v>-8.6648954321320062</c:v>
                </c:pt>
                <c:pt idx="206">
                  <c:v>-8.6770065633099343</c:v>
                </c:pt>
                <c:pt idx="207">
                  <c:v>-8.6886051215538718</c:v>
                </c:pt>
                <c:pt idx="208">
                  <c:v>-8.6997115988126499</c:v>
                </c:pt>
                <c:pt idx="209">
                  <c:v>-8.7103457788231271</c:v>
                </c:pt>
                <c:pt idx="210">
                  <c:v>-8.7205267526967987</c:v>
                </c:pt>
                <c:pt idx="211">
                  <c:v>-8.7302729349862691</c:v>
                </c:pt>
                <c:pt idx="212">
                  <c:v>-8.7396020801372138</c:v>
                </c:pt>
                <c:pt idx="213">
                  <c:v>-8.74853129923825</c:v>
                </c:pt>
                <c:pt idx="214">
                  <c:v>-8.7570770769880433</c:v>
                </c:pt>
                <c:pt idx="215">
                  <c:v>-8.7652552888076016</c:v>
                </c:pt>
                <c:pt idx="216">
                  <c:v>-8.7730812180295921</c:v>
                </c:pt>
                <c:pt idx="217">
                  <c:v>-8.7805695731053302</c:v>
                </c:pt>
                <c:pt idx="218">
                  <c:v>-8.7877345047739865</c:v>
                </c:pt>
                <c:pt idx="219">
                  <c:v>-8.7945896231457521</c:v>
                </c:pt>
                <c:pt idx="220">
                  <c:v>-8.8011480146542684</c:v>
                </c:pt>
                <c:pt idx="221">
                  <c:v>-8.8074222588400506</c:v>
                </c:pt>
                <c:pt idx="222">
                  <c:v>-8.8134244449299874</c:v>
                </c:pt>
                <c:pt idx="223">
                  <c:v>-8.8191661881830115</c:v>
                </c:pt>
                <c:pt idx="224">
                  <c:v>-8.8246586459758465</c:v>
                </c:pt>
                <c:pt idx="225">
                  <c:v>-8.8299125336053415</c:v>
                </c:pt>
                <c:pt idx="226">
                  <c:v>-8.8349381397891236</c:v>
                </c:pt>
                <c:pt idx="227">
                  <c:v>-8.8397453418476672</c:v>
                </c:pt>
                <c:pt idx="228">
                  <c:v>-8.8443436205554988</c:v>
                </c:pt>
                <c:pt idx="229">
                  <c:v>-8.8487420746482233</c:v>
                </c:pt>
                <c:pt idx="230">
                  <c:v>-8.8529494349806885</c:v>
                </c:pt>
                <c:pt idx="231">
                  <c:v>-8.8569740783259423</c:v>
                </c:pt>
                <c:pt idx="232">
                  <c:v>-8.8608240408147179</c:v>
                </c:pt>
                <c:pt idx="233">
                  <c:v>-8.8645070310085234</c:v>
                </c:pt>
                <c:pt idx="234">
                  <c:v>-8.8680304426096086</c:v>
                </c:pt>
                <c:pt idx="235">
                  <c:v>-8.8714013668046743</c:v>
                </c:pt>
                <c:pt idx="236">
                  <c:v>-8.8746266042461883</c:v>
                </c:pt>
                <c:pt idx="237">
                  <c:v>-8.8777126766731911</c:v>
                </c:pt>
                <c:pt idx="238">
                  <c:v>-8.8806658381755188</c:v>
                </c:pt>
                <c:pt idx="239">
                  <c:v>-8.8834920861060702</c:v>
                </c:pt>
                <c:pt idx="240">
                  <c:v>-8.8861971716468329</c:v>
                </c:pt>
                <c:pt idx="241">
                  <c:v>-8.8887866100339874</c:v>
                </c:pt>
                <c:pt idx="242">
                  <c:v>-8.891265690449913</c:v>
                </c:pt>
                <c:pt idx="243">
                  <c:v>-8.8936394855881158</c:v>
                </c:pt>
                <c:pt idx="244">
                  <c:v>-8.8959128608993758</c:v>
                </c:pt>
                <c:pt idx="245">
                  <c:v>-8.8980904835266763</c:v>
                </c:pt>
                <c:pt idx="246">
                  <c:v>-8.9001768309373919</c:v>
                </c:pt>
                <c:pt idx="247">
                  <c:v>-8.9021761992609747</c:v>
                </c:pt>
                <c:pt idx="248">
                  <c:v>-8.9040927113403718</c:v>
                </c:pt>
                <c:pt idx="249">
                  <c:v>-8.9059303245075601</c:v>
                </c:pt>
                <c:pt idx="250">
                  <c:v>-8.9076928380890887</c:v>
                </c:pt>
                <c:pt idx="251">
                  <c:v>-8.9093839006538715</c:v>
                </c:pt>
                <c:pt idx="252">
                  <c:v>-8.9110070170094922</c:v>
                </c:pt>
                <c:pt idx="253">
                  <c:v>-8.9125655549580571</c:v>
                </c:pt>
                <c:pt idx="254">
                  <c:v>-8.9140627518180064</c:v>
                </c:pt>
                <c:pt idx="255">
                  <c:v>-8.915501720724059</c:v>
                </c:pt>
                <c:pt idx="256">
                  <c:v>-8.9168854567106273</c:v>
                </c:pt>
                <c:pt idx="257">
                  <c:v>-8.91821684259018</c:v>
                </c:pt>
                <c:pt idx="258">
                  <c:v>-8.9194986546334878</c:v>
                </c:pt>
                <c:pt idx="259">
                  <c:v>-8.9207335680612658</c:v>
                </c:pt>
                <c:pt idx="260">
                  <c:v>-8.9219241623546495</c:v>
                </c:pt>
                <c:pt idx="261">
                  <c:v>-8.9230729263942514</c:v>
                </c:pt>
                <c:pt idx="262">
                  <c:v>-8.9241822634347425</c:v>
                </c:pt>
                <c:pt idx="263">
                  <c:v>-8.9252544959230349</c:v>
                </c:pt>
                <c:pt idx="264">
                  <c:v>-8.9262918701692442</c:v>
                </c:pt>
                <c:pt idx="265">
                  <c:v>-8.9272965608767567</c:v>
                </c:pt>
                <c:pt idx="266">
                  <c:v>-8.9282706755401069</c:v>
                </c:pt>
                <c:pt idx="267">
                  <c:v>-8.9292162587178368</c:v>
                </c:pt>
                <c:pt idx="268">
                  <c:v>-8.9301352961873945</c:v>
                </c:pt>
                <c:pt idx="269">
                  <c:v>-8.9310297189905938</c:v>
                </c:pt>
                <c:pt idx="270">
                  <c:v>-8.9319014073752481</c:v>
                </c:pt>
                <c:pt idx="271">
                  <c:v>-8.9327521946412354</c:v>
                </c:pt>
                <c:pt idx="272">
                  <c:v>-8.9335838708978148</c:v>
                </c:pt>
                <c:pt idx="273">
                  <c:v>-8.9343981867383579</c:v>
                </c:pt>
                <c:pt idx="274">
                  <c:v>-8.9351968568402391</c:v>
                </c:pt>
                <c:pt idx="275">
                  <c:v>-8.9359815634958011</c:v>
                </c:pt>
                <c:pt idx="276">
                  <c:v>-8.9367539600814876</c:v>
                </c:pt>
                <c:pt idx="277">
                  <c:v>-8.9375156744716158</c:v>
                </c:pt>
                <c:pt idx="278">
                  <c:v>-8.9382683124027906</c:v>
                </c:pt>
                <c:pt idx="279">
                  <c:v>-8.9390134607961294</c:v>
                </c:pt>
                <c:pt idx="280">
                  <c:v>-8.9397526910428322</c:v>
                </c:pt>
                <c:pt idx="281">
                  <c:v>-8.9404875622603139</c:v>
                </c:pt>
                <c:pt idx="282">
                  <c:v>-8.941219624523999</c:v>
                </c:pt>
                <c:pt idx="283">
                  <c:v>-8.9419504220821935</c:v>
                </c:pt>
                <c:pt idx="284">
                  <c:v>-8.9426814965593628</c:v>
                </c:pt>
                <c:pt idx="285">
                  <c:v>-8.9434143901545049</c:v>
                </c:pt>
                <c:pt idx="286">
                  <c:v>-8.9441506488405729</c:v>
                </c:pt>
                <c:pt idx="287">
                  <c:v>-8.9448918255711103</c:v>
                </c:pt>
                <c:pt idx="288">
                  <c:v>-8.9456394835006652</c:v>
                </c:pt>
                <c:pt idx="289">
                  <c:v>-8.9463951992245168</c:v>
                </c:pt>
                <c:pt idx="290">
                  <c:v>-8.9471605660445803</c:v>
                </c:pt>
                <c:pt idx="291">
                  <c:v>-8.947937197267585</c:v>
                </c:pt>
                <c:pt idx="292">
                  <c:v>-8.9487267295415265</c:v>
                </c:pt>
                <c:pt idx="293">
                  <c:v>-8.9495308262373445</c:v>
                </c:pt>
                <c:pt idx="294">
                  <c:v>-8.950351180881615</c:v>
                </c:pt>
                <c:pt idx="295">
                  <c:v>-8.9511895206471426</c:v>
                </c:pt>
                <c:pt idx="296">
                  <c:v>-8.9520476099081758</c:v>
                </c:pt>
                <c:pt idx="297">
                  <c:v>-8.9529272538659335</c:v>
                </c:pt>
                <c:pt idx="298">
                  <c:v>-8.9538303022530492</c:v>
                </c:pt>
                <c:pt idx="299">
                  <c:v>-8.9547586531209653</c:v>
                </c:pt>
                <c:pt idx="300">
                  <c:v>-8.9557142567202348</c:v>
                </c:pt>
                <c:pt idx="301">
                  <c:v>-8.9566991194785022</c:v>
                </c:pt>
                <c:pt idx="302">
                  <c:v>-8.957715308084115</c:v>
                </c:pt>
                <c:pt idx="303">
                  <c:v>-8.9587649536831062</c:v>
                </c:pt>
                <c:pt idx="304">
                  <c:v>-8.9598502561957503</c:v>
                </c:pt>
                <c:pt idx="305">
                  <c:v>-8.9609734887612067</c:v>
                </c:pt>
                <c:pt idx="306">
                  <c:v>-8.9621370023170712</c:v>
                </c:pt>
                <c:pt idx="307">
                  <c:v>-8.9633432303226499</c:v>
                </c:pt>
                <c:pt idx="308">
                  <c:v>-8.9645946936322787</c:v>
                </c:pt>
                <c:pt idx="309">
                  <c:v>-8.9658940055281171</c:v>
                </c:pt>
                <c:pt idx="310">
                  <c:v>-8.9672438769198486</c:v>
                </c:pt>
                <c:pt idx="311">
                  <c:v>-8.9686471217189805</c:v>
                </c:pt>
                <c:pt idx="312">
                  <c:v>-8.9701066623979315</c:v>
                </c:pt>
                <c:pt idx="313">
                  <c:v>-8.9716255357398609</c:v>
                </c:pt>
                <c:pt idx="314">
                  <c:v>-8.9732068987899698</c:v>
                </c:pt>
                <c:pt idx="315">
                  <c:v>-8.9748540350158752</c:v>
                </c:pt>
                <c:pt idx="316">
                  <c:v>-8.9765703606858551</c:v>
                </c:pt>
                <c:pt idx="317">
                  <c:v>-8.9783594314740274</c:v>
                </c:pt>
                <c:pt idx="318">
                  <c:v>-8.9802249493015793</c:v>
                </c:pt>
                <c:pt idx="319">
                  <c:v>-8.9821707694222948</c:v>
                </c:pt>
                <c:pt idx="320">
                  <c:v>-8.9842009077617853</c:v>
                </c:pt>
                <c:pt idx="321">
                  <c:v>-8.986319548519548</c:v>
                </c:pt>
                <c:pt idx="322">
                  <c:v>-8.9885310520419708</c:v>
                </c:pt>
                <c:pt idx="323">
                  <c:v>-8.9908399629761977</c:v>
                </c:pt>
                <c:pt idx="324">
                  <c:v>-8.9932510187121029</c:v>
                </c:pt>
                <c:pt idx="325">
                  <c:v>-8.9957691581226911</c:v>
                </c:pt>
                <c:pt idx="326">
                  <c:v>-8.998399530609861</c:v>
                </c:pt>
                <c:pt idx="327">
                  <c:v>-9.0011475054639511</c:v>
                </c:pt>
                <c:pt idx="328">
                  <c:v>-9.0040186815459187</c:v>
                </c:pt>
                <c:pt idx="329">
                  <c:v>-9.0070188972973408</c:v>
                </c:pt>
                <c:pt idx="330">
                  <c:v>-9.010154241088232</c:v>
                </c:pt>
                <c:pt idx="331">
                  <c:v>-9.0134310619061218</c:v>
                </c:pt>
                <c:pt idx="332">
                  <c:v>-9.0168559803945829</c:v>
                </c:pt>
                <c:pt idx="333">
                  <c:v>-9.0204359002448644</c:v>
                </c:pt>
                <c:pt idx="334">
                  <c:v>-9.0241780199460386</c:v>
                </c:pt>
                <c:pt idx="335">
                  <c:v>-9.0280898448959483</c:v>
                </c:pt>
                <c:pt idx="336">
                  <c:v>-9.0321791998770511</c:v>
                </c:pt>
                <c:pt idx="337">
                  <c:v>-9.0364542418960312</c:v>
                </c:pt>
                <c:pt idx="338">
                  <c:v>-9.040923473389423</c:v>
                </c:pt>
                <c:pt idx="339">
                  <c:v>-9.0455957557922737</c:v>
                </c:pt>
                <c:pt idx="340">
                  <c:v>-9.0504803234669069</c:v>
                </c:pt>
                <c:pt idx="341">
                  <c:v>-9.055586797987246</c:v>
                </c:pt>
                <c:pt idx="342">
                  <c:v>-9.0609252027706546</c:v>
                </c:pt>
                <c:pt idx="343">
                  <c:v>-9.0665059780493742</c:v>
                </c:pt>
                <c:pt idx="344">
                  <c:v>-9.0723399961686653</c:v>
                </c:pt>
                <c:pt idx="345">
                  <c:v>-9.0784385771978098</c:v>
                </c:pt>
                <c:pt idx="346">
                  <c:v>-9.0848135048370011</c:v>
                </c:pt>
                <c:pt idx="347">
                  <c:v>-9.091477042599152</c:v>
                </c:pt>
                <c:pt idx="348">
                  <c:v>-9.0984419502424672</c:v>
                </c:pt>
                <c:pt idx="349">
                  <c:v>-9.1057215004273999</c:v>
                </c:pt>
                <c:pt idx="350">
                  <c:v>-9.1133294955645123</c:v>
                </c:pt>
                <c:pt idx="351">
                  <c:v>-9.1212802848192318</c:v>
                </c:pt>
                <c:pt idx="352">
                  <c:v>-9.1295887812305274</c:v>
                </c:pt>
                <c:pt idx="353">
                  <c:v>-9.138270478900278</c:v>
                </c:pt>
                <c:pt idx="354">
                  <c:v>-9.1473414701999456</c:v>
                </c:pt>
                <c:pt idx="355">
                  <c:v>-9.1568184629399294</c:v>
                </c:pt>
                <c:pt idx="356">
                  <c:v>-9.166718797437392</c:v>
                </c:pt>
                <c:pt idx="357">
                  <c:v>-9.177060463414314</c:v>
                </c:pt>
                <c:pt idx="358">
                  <c:v>-9.187862116649864</c:v>
                </c:pt>
                <c:pt idx="359">
                  <c:v>-9.1991430953042084</c:v>
                </c:pt>
                <c:pt idx="360">
                  <c:v>-9.210923435823906</c:v>
                </c:pt>
                <c:pt idx="361">
                  <c:v>-9.2232238883313187</c:v>
                </c:pt>
                <c:pt idx="362">
                  <c:v>-9.2360659313923925</c:v>
                </c:pt>
                <c:pt idx="363">
                  <c:v>-9.2494717860491349</c:v>
                </c:pt>
                <c:pt idx="364">
                  <c:v>-9.263464428995368</c:v>
                </c:pt>
                <c:pt idx="365">
                  <c:v>-9.278067604765333</c:v>
                </c:pt>
                <c:pt idx="366">
                  <c:v>-9.2933058367962857</c:v>
                </c:pt>
                <c:pt idx="367">
                  <c:v>-9.3092044372186713</c:v>
                </c:pt>
                <c:pt idx="368">
                  <c:v>-9.3257895152177497</c:v>
                </c:pt>
                <c:pt idx="369">
                  <c:v>-9.3430879838033594</c:v>
                </c:pt>
                <c:pt idx="370">
                  <c:v>-9.3611275648168846</c:v>
                </c:pt>
                <c:pt idx="371">
                  <c:v>-9.3799367919954459</c:v>
                </c:pt>
                <c:pt idx="372">
                  <c:v>-9.3995450119084474</c:v>
                </c:pt>
                <c:pt idx="373">
                  <c:v>-9.4199823825743163</c:v>
                </c:pt>
                <c:pt idx="374">
                  <c:v>-9.4412798695595743</c:v>
                </c:pt>
                <c:pt idx="375">
                  <c:v>-9.4634692393590871</c:v>
                </c:pt>
                <c:pt idx="376">
                  <c:v>-9.4865830498522854</c:v>
                </c:pt>
                <c:pt idx="377">
                  <c:v>-9.5106546376290773</c:v>
                </c:pt>
                <c:pt idx="378">
                  <c:v>-9.5357181019783823</c:v>
                </c:pt>
                <c:pt idx="379">
                  <c:v>-9.5618082853346973</c:v>
                </c:pt>
                <c:pt idx="380">
                  <c:v>-9.5889607499808207</c:v>
                </c:pt>
                <c:pt idx="381">
                  <c:v>-9.6172117508122295</c:v>
                </c:pt>
                <c:pt idx="382">
                  <c:v>-9.6465982039750422</c:v>
                </c:pt>
                <c:pt idx="383">
                  <c:v>-9.6771576512025845</c:v>
                </c:pt>
                <c:pt idx="384">
                  <c:v>-9.7089282196879481</c:v>
                </c:pt>
                <c:pt idx="385">
                  <c:v>-9.7419485773477117</c:v>
                </c:pt>
                <c:pt idx="386">
                  <c:v>-9.7762578833516294</c:v>
                </c:pt>
                <c:pt idx="387">
                  <c:v>-9.8118957338169093</c:v>
                </c:pt>
                <c:pt idx="388">
                  <c:v>-9.8489021025914933</c:v>
                </c:pt>
                <c:pt idx="389">
                  <c:v>-9.887317277083044</c:v>
                </c:pt>
                <c:pt idx="390">
                  <c:v>-9.9271817891209295</c:v>
                </c:pt>
                <c:pt idx="391">
                  <c:v>-9.968536340878412</c:v>
                </c:pt>
                <c:pt idx="392">
                  <c:v>-10.011421725920526</c:v>
                </c:pt>
                <c:pt idx="393">
                  <c:v>-10.055878745487174</c:v>
                </c:pt>
                <c:pt idx="394">
                  <c:v>-10.101948120167158</c:v>
                </c:pt>
                <c:pt idx="395">
                  <c:v>-10.149670397166089</c:v>
                </c:pt>
                <c:pt idx="396">
                  <c:v>-10.19908585342375</c:v>
                </c:pt>
                <c:pt idx="397">
                  <c:v>-10.250234394886249</c:v>
                </c:pt>
                <c:pt idx="398">
                  <c:v>-10.303155452291195</c:v>
                </c:pt>
                <c:pt idx="399">
                  <c:v>-10.35788787388082</c:v>
                </c:pt>
                <c:pt idx="400">
                  <c:v>-10.414469815503839</c:v>
                </c:pt>
                <c:pt idx="401">
                  <c:v>-10.472938628625117</c:v>
                </c:pt>
                <c:pt idx="402">
                  <c:v>-10.533330746806321</c:v>
                </c:pt>
                <c:pt idx="403">
                  <c:v>-10.595681571269896</c:v>
                </c:pt>
                <c:pt idx="404">
                  <c:v>-10.660025356198666</c:v>
                </c:pt>
                <c:pt idx="405">
                  <c:v>-10.726395094462376</c:v>
                </c:pt>
                <c:pt idx="406">
                  <c:v>-10.794822404493004</c:v>
                </c:pt>
                <c:pt idx="407">
                  <c:v>-10.865337419057244</c:v>
                </c:pt>
                <c:pt idx="408">
                  <c:v>-10.937968676689371</c:v>
                </c:pt>
                <c:pt idx="409">
                  <c:v>-11.012743016561132</c:v>
                </c:pt>
                <c:pt idx="410">
                  <c:v>-11.089685477562735</c:v>
                </c:pt>
                <c:pt idx="411">
                  <c:v>-11.168819202363945</c:v>
                </c:pt>
                <c:pt idx="412">
                  <c:v>-11.250165347203554</c:v>
                </c:pt>
                <c:pt idx="413">
                  <c:v>-11.333742998131573</c:v>
                </c:pt>
                <c:pt idx="414">
                  <c:v>-11.419569094389669</c:v>
                </c:pt>
                <c:pt idx="415">
                  <c:v>-11.507658359569373</c:v>
                </c:pt>
                <c:pt idx="416">
                  <c:v>-11.598023241133568</c:v>
                </c:pt>
                <c:pt idx="417">
                  <c:v>-11.69067385882288</c:v>
                </c:pt>
                <c:pt idx="418">
                  <c:v>-11.785617962397046</c:v>
                </c:pt>
                <c:pt idx="419">
                  <c:v>-11.882860899084417</c:v>
                </c:pt>
                <c:pt idx="420">
                  <c:v>-11.982405591028682</c:v>
                </c:pt>
                <c:pt idx="421">
                  <c:v>-12.084252522934737</c:v>
                </c:pt>
                <c:pt idx="422">
                  <c:v>-12.188399740025158</c:v>
                </c:pt>
                <c:pt idx="423">
                  <c:v>-12.294842856324227</c:v>
                </c:pt>
                <c:pt idx="424">
                  <c:v>-12.403575073196937</c:v>
                </c:pt>
                <c:pt idx="425">
                  <c:v>-12.514587207975527</c:v>
                </c:pt>
                <c:pt idx="426">
                  <c:v>-12.627867732419107</c:v>
                </c:pt>
                <c:pt idx="427">
                  <c:v>-12.743402820665757</c:v>
                </c:pt>
                <c:pt idx="428">
                  <c:v>-12.861176406256655</c:v>
                </c:pt>
                <c:pt idx="429">
                  <c:v>-12.981170247738197</c:v>
                </c:pt>
                <c:pt idx="430">
                  <c:v>-13.103364002281241</c:v>
                </c:pt>
                <c:pt idx="431">
                  <c:v>-13.227735306697285</c:v>
                </c:pt>
                <c:pt idx="432">
                  <c:v>-13.354259865185323</c:v>
                </c:pt>
                <c:pt idx="433">
                  <c:v>-13.482911543095993</c:v>
                </c:pt>
                <c:pt idx="434">
                  <c:v>-13.613662465976828</c:v>
                </c:pt>
                <c:pt idx="435">
                  <c:v>-13.746483123133908</c:v>
                </c:pt>
                <c:pt idx="436">
                  <c:v>-13.881342474937286</c:v>
                </c:pt>
                <c:pt idx="437">
                  <c:v>-14.018208063095166</c:v>
                </c:pt>
                <c:pt idx="438">
                  <c:v>-14.157046123125127</c:v>
                </c:pt>
                <c:pt idx="439">
                  <c:v>-14.297821698268269</c:v>
                </c:pt>
                <c:pt idx="440">
                  <c:v>-14.440498754113406</c:v>
                </c:pt>
                <c:pt idx="441">
                  <c:v>-14.585040293226497</c:v>
                </c:pt>
                <c:pt idx="442">
                  <c:v>-14.731408469117191</c:v>
                </c:pt>
                <c:pt idx="443">
                  <c:v>-14.879564698914415</c:v>
                </c:pt>
                <c:pt idx="444">
                  <c:v>-15.029469774166397</c:v>
                </c:pt>
                <c:pt idx="445">
                  <c:v>-15.181083969230498</c:v>
                </c:pt>
                <c:pt idx="446">
                  <c:v>-15.334367146766825</c:v>
                </c:pt>
                <c:pt idx="447">
                  <c:v>-15.489278859903646</c:v>
                </c:pt>
                <c:pt idx="448">
                  <c:v>-15.645778450692768</c:v>
                </c:pt>
                <c:pt idx="449">
                  <c:v>-15.803825144531613</c:v>
                </c:pt>
                <c:pt idx="450">
                  <c:v>-15.9633781402712</c:v>
                </c:pt>
                <c:pt idx="451">
                  <c:v>-16.124396695793738</c:v>
                </c:pt>
                <c:pt idx="452">
                  <c:v>-16.286840208878989</c:v>
                </c:pt>
                <c:pt idx="453">
                  <c:v>-16.450668293237307</c:v>
                </c:pt>
                <c:pt idx="454">
                  <c:v>-16.615840849621641</c:v>
                </c:pt>
                <c:pt idx="455">
                  <c:v>-16.782318131982869</c:v>
                </c:pt>
                <c:pt idx="456">
                  <c:v>-16.950060808658233</c:v>
                </c:pt>
                <c:pt idx="457">
                  <c:v>-17.119030018631896</c:v>
                </c:pt>
                <c:pt idx="458">
                  <c:v>-17.289187422925249</c:v>
                </c:pt>
                <c:pt idx="459">
                  <c:v>-17.460495251211626</c:v>
                </c:pt>
                <c:pt idx="460">
                  <c:v>-17.632916343770955</c:v>
                </c:pt>
                <c:pt idx="461">
                  <c:v>-17.806414188920495</c:v>
                </c:pt>
                <c:pt idx="462">
                  <c:v>-17.980952956080646</c:v>
                </c:pt>
                <c:pt idx="463">
                  <c:v>-18.15649752464239</c:v>
                </c:pt>
                <c:pt idx="464">
                  <c:v>-18.333013508823274</c:v>
                </c:pt>
                <c:pt idx="465">
                  <c:v>-18.510467278701558</c:v>
                </c:pt>
                <c:pt idx="466">
                  <c:v>-18.688825977629556</c:v>
                </c:pt>
                <c:pt idx="467">
                  <c:v>-18.868057536228715</c:v>
                </c:pt>
                <c:pt idx="468">
                  <c:v>-19.048130683173973</c:v>
                </c:pt>
                <c:pt idx="469">
                  <c:v>-19.229014952973362</c:v>
                </c:pt>
                <c:pt idx="470">
                  <c:v>-19.410680690948855</c:v>
                </c:pt>
                <c:pt idx="471">
                  <c:v>-19.593099055621966</c:v>
                </c:pt>
                <c:pt idx="472">
                  <c:v>-19.776242018702785</c:v>
                </c:pt>
                <c:pt idx="473">
                  <c:v>-19.960082362877664</c:v>
                </c:pt>
                <c:pt idx="474">
                  <c:v>-20.144593677582655</c:v>
                </c:pt>
                <c:pt idx="475">
                  <c:v>-20.329750352945773</c:v>
                </c:pt>
                <c:pt idx="476">
                  <c:v>-20.515527572071957</c:v>
                </c:pt>
                <c:pt idx="477">
                  <c:v>-20.701901301837538</c:v>
                </c:pt>
                <c:pt idx="478">
                  <c:v>-20.888848282353006</c:v>
                </c:pt>
                <c:pt idx="479">
                  <c:v>-21.076346015244916</c:v>
                </c:pt>
                <c:pt idx="480">
                  <c:v>-21.264372750898339</c:v>
                </c:pt>
                <c:pt idx="481">
                  <c:v>-21.452907474793985</c:v>
                </c:pt>
                <c:pt idx="482">
                  <c:v>-21.641929893065285</c:v>
                </c:pt>
                <c:pt idx="483">
                  <c:v>-21.831420417391737</c:v>
                </c:pt>
                <c:pt idx="484">
                  <c:v>-22.021360149337678</c:v>
                </c:pt>
                <c:pt idx="485">
                  <c:v>-22.211730864237801</c:v>
                </c:pt>
                <c:pt idx="486">
                  <c:v>-22.402514994721315</c:v>
                </c:pt>
                <c:pt idx="487">
                  <c:v>-22.593695613961565</c:v>
                </c:pt>
                <c:pt idx="488">
                  <c:v>-22.785256418729194</c:v>
                </c:pt>
                <c:pt idx="489">
                  <c:v>-22.977181712320874</c:v>
                </c:pt>
                <c:pt idx="490">
                  <c:v>-23.169456387428241</c:v>
                </c:pt>
                <c:pt idx="491">
                  <c:v>-23.362065909007455</c:v>
                </c:pt>
                <c:pt idx="492">
                  <c:v>-23.554996297201573</c:v>
                </c:pt>
                <c:pt idx="493">
                  <c:v>-23.74823411036401</c:v>
                </c:pt>
                <c:pt idx="494">
                  <c:v>-23.941766428226359</c:v>
                </c:pt>
                <c:pt idx="495">
                  <c:v>-24.135580835247783</c:v>
                </c:pt>
                <c:pt idx="496">
                  <c:v>-24.329665404180368</c:v>
                </c:pt>
                <c:pt idx="497">
                  <c:v>-24.524008679879024</c:v>
                </c:pt>
                <c:pt idx="498">
                  <c:v>-24.71859966338198</c:v>
                </c:pt>
                <c:pt idx="499">
                  <c:v>-24.91342779628414</c:v>
                </c:pt>
                <c:pt idx="500">
                  <c:v>-25.108482945420924</c:v>
                </c:pt>
                <c:pt idx="501">
                  <c:v>-25.303755387879505</c:v>
                </c:pt>
                <c:pt idx="502">
                  <c:v>-25.499235796349989</c:v>
                </c:pt>
                <c:pt idx="503">
                  <c:v>-25.694915224826687</c:v>
                </c:pt>
                <c:pt idx="504">
                  <c:v>-25.890785094667962</c:v>
                </c:pt>
                <c:pt idx="505">
                  <c:v>-26.086837181020694</c:v>
                </c:pt>
                <c:pt idx="506">
                  <c:v>-26.283063599613222</c:v>
                </c:pt>
                <c:pt idx="507">
                  <c:v>-26.479456793920136</c:v>
                </c:pt>
                <c:pt idx="508">
                  <c:v>-26.67600952269828</c:v>
                </c:pt>
                <c:pt idx="509">
                  <c:v>-26.872714847895978</c:v>
                </c:pt>
                <c:pt idx="510">
                  <c:v>-27.069566122930965</c:v>
                </c:pt>
                <c:pt idx="511">
                  <c:v>-27.2665569813371</c:v>
                </c:pt>
                <c:pt idx="512">
                  <c:v>-27.463681325774271</c:v>
                </c:pt>
                <c:pt idx="513">
                  <c:v>-27.660933317398062</c:v>
                </c:pt>
                <c:pt idx="514">
                  <c:v>-27.85830736558356</c:v>
                </c:pt>
                <c:pt idx="515">
                  <c:v>-28.055798117998112</c:v>
                </c:pt>
                <c:pt idx="516">
                  <c:v>-28.253400451015366</c:v>
                </c:pt>
                <c:pt idx="517">
                  <c:v>-28.451109460465393</c:v>
                </c:pt>
                <c:pt idx="518">
                  <c:v>-28.648920452712932</c:v>
                </c:pt>
                <c:pt idx="519">
                  <c:v>-28.846828936055694</c:v>
                </c:pt>
                <c:pt idx="520">
                  <c:v>-29.044830612436861</c:v>
                </c:pt>
                <c:pt idx="521">
                  <c:v>-29.242921369461111</c:v>
                </c:pt>
                <c:pt idx="522">
                  <c:v>-29.441097272709161</c:v>
                </c:pt>
                <c:pt idx="523">
                  <c:v>-29.639354558340145</c:v>
                </c:pt>
                <c:pt idx="524">
                  <c:v>-29.837689625974896</c:v>
                </c:pt>
                <c:pt idx="525">
                  <c:v>-30.036099031851894</c:v>
                </c:pt>
                <c:pt idx="526">
                  <c:v>-30.234579482247156</c:v>
                </c:pt>
                <c:pt idx="527">
                  <c:v>-30.433127827150148</c:v>
                </c:pt>
                <c:pt idx="528">
                  <c:v>-30.631741054187259</c:v>
                </c:pt>
                <c:pt idx="529">
                  <c:v>-30.830416282785865</c:v>
                </c:pt>
                <c:pt idx="530">
                  <c:v>-31.029150758569514</c:v>
                </c:pt>
                <c:pt idx="531">
                  <c:v>-31.227941847977625</c:v>
                </c:pt>
                <c:pt idx="532">
                  <c:v>-31.426787033101228</c:v>
                </c:pt>
                <c:pt idx="533">
                  <c:v>-31.625683906727712</c:v>
                </c:pt>
                <c:pt idx="534">
                  <c:v>-31.824630167587276</c:v>
                </c:pt>
                <c:pt idx="535">
                  <c:v>-32.023623615793262</c:v>
                </c:pt>
                <c:pt idx="536">
                  <c:v>-32.222662148469531</c:v>
                </c:pt>
                <c:pt idx="537">
                  <c:v>-32.421743755558786</c:v>
                </c:pt>
                <c:pt idx="538">
                  <c:v>-32.620866515803698</c:v>
                </c:pt>
                <c:pt idx="539">
                  <c:v>-32.82002859289576</c:v>
                </c:pt>
                <c:pt idx="540">
                  <c:v>-33.019228231784439</c:v>
                </c:pt>
                <c:pt idx="541">
                  <c:v>-33.21846375514135</c:v>
                </c:pt>
              </c:numCache>
            </c:numRef>
          </c:yVal>
          <c:smooth val="1"/>
          <c:extLst>
            <c:ext xmlns:c16="http://schemas.microsoft.com/office/drawing/2014/chart" uri="{C3380CC4-5D6E-409C-BE32-E72D297353CC}">
              <c16:uniqueId val="{00000000-C95D-4273-8D1D-E8C586949522}"/>
            </c:ext>
          </c:extLst>
        </c:ser>
        <c:dLbls>
          <c:showLegendKey val="0"/>
          <c:showVal val="0"/>
          <c:showCatName val="0"/>
          <c:showSerName val="0"/>
          <c:showPercent val="0"/>
          <c:showBubbleSize val="0"/>
        </c:dLbls>
        <c:axId val="160531200"/>
        <c:axId val="160533120"/>
      </c:scatterChart>
      <c:scatterChart>
        <c:scatterStyle val="smoothMarker"/>
        <c:varyColors val="0"/>
        <c:ser>
          <c:idx val="1"/>
          <c:order val="1"/>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Loop_Modeling!$AR$19:$AR$560</c:f>
              <c:numCache>
                <c:formatCode>General</c:formatCode>
                <c:ptCount val="542"/>
                <c:pt idx="0">
                  <c:v>91.984842489448724</c:v>
                </c:pt>
                <c:pt idx="1">
                  <c:v>92.031036918837444</c:v>
                </c:pt>
                <c:pt idx="2">
                  <c:v>92.078304604709842</c:v>
                </c:pt>
                <c:pt idx="3">
                  <c:v>92.126670350092922</c:v>
                </c:pt>
                <c:pt idx="4">
                  <c:v>92.176159521751842</c:v>
                </c:pt>
                <c:pt idx="5">
                  <c:v>92.226798062325031</c:v>
                </c:pt>
                <c:pt idx="6">
                  <c:v>92.278612502671493</c:v>
                </c:pt>
                <c:pt idx="7">
                  <c:v>92.331629974430101</c:v>
                </c:pt>
                <c:pt idx="8">
                  <c:v>92.385878222790467</c:v>
                </c:pt>
                <c:pt idx="9">
                  <c:v>92.441385619474744</c:v>
                </c:pt>
                <c:pt idx="10">
                  <c:v>92.498181175929275</c:v>
                </c:pt>
                <c:pt idx="11">
                  <c:v>92.556294556724083</c:v>
                </c:pt>
                <c:pt idx="12">
                  <c:v>92.615756093158609</c:v>
                </c:pt>
                <c:pt idx="13">
                  <c:v>92.676596797070658</c:v>
                </c:pt>
                <c:pt idx="14">
                  <c:v>92.738848374845475</c:v>
                </c:pt>
                <c:pt idx="15">
                  <c:v>92.802543241621237</c:v>
                </c:pt>
                <c:pt idx="16">
                  <c:v>92.867714535686218</c:v>
                </c:pt>
                <c:pt idx="17">
                  <c:v>92.934396133062478</c:v>
                </c:pt>
                <c:pt idx="18">
                  <c:v>93.002622662270227</c:v>
                </c:pt>
                <c:pt idx="19">
                  <c:v>93.072429519265668</c:v>
                </c:pt>
                <c:pt idx="20">
                  <c:v>93.143852882544763</c:v>
                </c:pt>
                <c:pt idx="21">
                  <c:v>93.216929728404054</c:v>
                </c:pt>
                <c:pt idx="22">
                  <c:v>93.291697846348583</c:v>
                </c:pt>
                <c:pt idx="23">
                  <c:v>93.368195854636397</c:v>
                </c:pt>
                <c:pt idx="24">
                  <c:v>93.44646321594648</c:v>
                </c:pt>
                <c:pt idx="25">
                  <c:v>93.526540253157762</c:v>
                </c:pt>
                <c:pt idx="26">
                  <c:v>93.608468165223186</c:v>
                </c:pt>
                <c:pt idx="27">
                  <c:v>93.69228904312304</c:v>
                </c:pt>
                <c:pt idx="28">
                  <c:v>93.778045885879052</c:v>
                </c:pt>
                <c:pt idx="29">
                  <c:v>93.865782616609707</c:v>
                </c:pt>
                <c:pt idx="30">
                  <c:v>93.955544098604605</c:v>
                </c:pt>
                <c:pt idx="31">
                  <c:v>94.047376151394815</c:v>
                </c:pt>
                <c:pt idx="32">
                  <c:v>94.141325566792261</c:v>
                </c:pt>
                <c:pt idx="33">
                  <c:v>94.237440124871398</c:v>
                </c:pt>
                <c:pt idx="34">
                  <c:v>94.335768609861177</c:v>
                </c:pt>
                <c:pt idx="35">
                  <c:v>94.436360825914932</c:v>
                </c:pt>
                <c:pt idx="36">
                  <c:v>94.539267612721957</c:v>
                </c:pt>
                <c:pt idx="37">
                  <c:v>94.644540860921637</c:v>
                </c:pt>
                <c:pt idx="38">
                  <c:v>94.752233527278364</c:v>
                </c:pt>
                <c:pt idx="39">
                  <c:v>94.86239964957123</c:v>
                </c:pt>
                <c:pt idx="40">
                  <c:v>94.975094361149843</c:v>
                </c:pt>
                <c:pt idx="41">
                  <c:v>95.090373905103434</c:v>
                </c:pt>
                <c:pt idx="42">
                  <c:v>95.208295647986048</c:v>
                </c:pt>
                <c:pt idx="43">
                  <c:v>95.328918093036805</c:v>
                </c:pt>
                <c:pt idx="44">
                  <c:v>95.452300892829626</c:v>
                </c:pt>
                <c:pt idx="45">
                  <c:v>95.578504861281843</c:v>
                </c:pt>
                <c:pt idx="46">
                  <c:v>95.707591984946319</c:v>
                </c:pt>
                <c:pt idx="47">
                  <c:v>95.83962543350556</c:v>
                </c:pt>
                <c:pt idx="48">
                  <c:v>95.974669569382144</c:v>
                </c:pt>
                <c:pt idx="49">
                  <c:v>96.112789956371969</c:v>
                </c:pt>
                <c:pt idx="50">
                  <c:v>96.254053367202587</c:v>
                </c:pt>
                <c:pt idx="51">
                  <c:v>96.39852778990948</c:v>
                </c:pt>
                <c:pt idx="52">
                  <c:v>96.546282432920364</c:v>
                </c:pt>
                <c:pt idx="53">
                  <c:v>96.697387728724877</c:v>
                </c:pt>
                <c:pt idx="54">
                  <c:v>96.851915336005035</c:v>
                </c:pt>
                <c:pt idx="55">
                  <c:v>97.009938140089162</c:v>
                </c:pt>
                <c:pt idx="56">
                  <c:v>97.171530251587257</c:v>
                </c:pt>
                <c:pt idx="57">
                  <c:v>97.336767003053438</c:v>
                </c:pt>
                <c:pt idx="58">
                  <c:v>97.50572494351681</c:v>
                </c:pt>
                <c:pt idx="59">
                  <c:v>97.678481830706815</c:v>
                </c:pt>
                <c:pt idx="60">
                  <c:v>97.855116620795854</c:v>
                </c:pt>
                <c:pt idx="61">
                  <c:v>98.035709455465422</c:v>
                </c:pt>
                <c:pt idx="62">
                  <c:v>98.22034164609741</c:v>
                </c:pt>
                <c:pt idx="63">
                  <c:v>98.409095654877959</c:v>
                </c:pt>
                <c:pt idx="64">
                  <c:v>98.602055072591028</c:v>
                </c:pt>
                <c:pt idx="65">
                  <c:v>98.799304592869277</c:v>
                </c:pt>
                <c:pt idx="66">
                  <c:v>99.00092998265626</c:v>
                </c:pt>
                <c:pt idx="67">
                  <c:v>99.207018048624505</c:v>
                </c:pt>
                <c:pt idx="68">
                  <c:v>99.4176565992815</c:v>
                </c:pt>
                <c:pt idx="69">
                  <c:v>99.632934402484338</c:v>
                </c:pt>
                <c:pt idx="70">
                  <c:v>99.852941138071785</c:v>
                </c:pt>
                <c:pt idx="71">
                  <c:v>100.07776734531359</c:v>
                </c:pt>
                <c:pt idx="72">
                  <c:v>100.30750436486159</c:v>
                </c:pt>
                <c:pt idx="73">
                  <c:v>100.54224427488147</c:v>
                </c:pt>
                <c:pt idx="74">
                  <c:v>100.78207982102963</c:v>
                </c:pt>
                <c:pt idx="75">
                  <c:v>101.02710433993353</c:v>
                </c:pt>
                <c:pt idx="76">
                  <c:v>101.27741167582339</c:v>
                </c:pt>
                <c:pt idx="77">
                  <c:v>101.53309608995488</c:v>
                </c:pt>
                <c:pt idx="78">
                  <c:v>101.79425216245824</c:v>
                </c:pt>
                <c:pt idx="79">
                  <c:v>102.06097468624321</c:v>
                </c:pt>
                <c:pt idx="80">
                  <c:v>102.33335855258426</c:v>
                </c:pt>
                <c:pt idx="81">
                  <c:v>102.61149862801216</c:v>
                </c:pt>
                <c:pt idx="82">
                  <c:v>102.89548962213526</c:v>
                </c:pt>
                <c:pt idx="83">
                  <c:v>103.18542594602125</c:v>
                </c:pt>
                <c:pt idx="84">
                  <c:v>103.48140156077193</c:v>
                </c:pt>
                <c:pt idx="85">
                  <c:v>103.78350981593579</c:v>
                </c:pt>
                <c:pt idx="86">
                  <c:v>104.09184327741457</c:v>
                </c:pt>
                <c:pt idx="87">
                  <c:v>104.40649354453895</c:v>
                </c:pt>
                <c:pt idx="88">
                  <c:v>104.72755105600388</c:v>
                </c:pt>
                <c:pt idx="89">
                  <c:v>105.05510488438919</c:v>
                </c:pt>
                <c:pt idx="90">
                  <c:v>105.3892425190118</c:v>
                </c:pt>
                <c:pt idx="91">
                  <c:v>105.73004963690062</c:v>
                </c:pt>
                <c:pt idx="92">
                  <c:v>106.07760986172396</c:v>
                </c:pt>
                <c:pt idx="93">
                  <c:v>106.43200451054662</c:v>
                </c:pt>
                <c:pt idx="94">
                  <c:v>106.79331232835814</c:v>
                </c:pt>
                <c:pt idx="95">
                  <c:v>107.16160921036298</c:v>
                </c:pt>
                <c:pt idx="96">
                  <c:v>107.53696791211028</c:v>
                </c:pt>
                <c:pt idx="97">
                  <c:v>107.91945774760651</c:v>
                </c:pt>
                <c:pt idx="98">
                  <c:v>108.30914427564987</c:v>
                </c:pt>
                <c:pt idx="99">
                  <c:v>108.70608897471611</c:v>
                </c:pt>
                <c:pt idx="100">
                  <c:v>109.11034890683429</c:v>
                </c:pt>
                <c:pt idx="101">
                  <c:v>109.52197637099678</c:v>
                </c:pt>
                <c:pt idx="102">
                  <c:v>109.94101854677911</c:v>
                </c:pt>
                <c:pt idx="103">
                  <c:v>110.3675171289639</c:v>
                </c:pt>
                <c:pt idx="104">
                  <c:v>110.80150795411154</c:v>
                </c:pt>
                <c:pt idx="105">
                  <c:v>111.24302062015673</c:v>
                </c:pt>
                <c:pt idx="106">
                  <c:v>111.69207810026748</c:v>
                </c:pt>
                <c:pt idx="107">
                  <c:v>112.14869635235965</c:v>
                </c:pt>
                <c:pt idx="108">
                  <c:v>112.61288392582</c:v>
                </c:pt>
                <c:pt idx="109">
                  <c:v>113.08464156716254</c:v>
                </c:pt>
                <c:pt idx="110">
                  <c:v>113.56396182650438</c:v>
                </c:pt>
                <c:pt idx="111">
                  <c:v>114.05082866691967</c:v>
                </c:pt>
                <c:pt idx="112">
                  <c:v>114.54521707889407</c:v>
                </c:pt>
                <c:pt idx="113">
                  <c:v>115.04709270226448</c:v>
                </c:pt>
                <c:pt idx="114">
                  <c:v>115.55641145818228</c:v>
                </c:pt>
                <c:pt idx="115">
                  <c:v>116.07311919378563</c:v>
                </c:pt>
                <c:pt idx="116">
                  <c:v>116.59715134239407</c:v>
                </c:pt>
                <c:pt idx="117">
                  <c:v>117.12843260216162</c:v>
                </c:pt>
                <c:pt idx="118">
                  <c:v>117.66687663621543</c:v>
                </c:pt>
                <c:pt idx="119">
                  <c:v>118.21238579738834</c:v>
                </c:pt>
                <c:pt idx="120">
                  <c:v>118.76485088069771</c:v>
                </c:pt>
                <c:pt idx="121">
                  <c:v>119.32415090674945</c:v>
                </c:pt>
                <c:pt idx="122">
                  <c:v>119.89015293922758</c:v>
                </c:pt>
                <c:pt idx="123">
                  <c:v>120.46271193959305</c:v>
                </c:pt>
                <c:pt idx="124">
                  <c:v>121.04167066201957</c:v>
                </c:pt>
                <c:pt idx="125">
                  <c:v>121.62685959148256</c:v>
                </c:pt>
                <c:pt idx="126">
                  <c:v>122.21809692774247</c:v>
                </c:pt>
                <c:pt idx="127">
                  <c:v>122.81518861775872</c:v>
                </c:pt>
                <c:pt idx="128">
                  <c:v>123.41792843881962</c:v>
                </c:pt>
                <c:pt idx="129">
                  <c:v>124.02609813437977</c:v>
                </c:pt>
                <c:pt idx="130">
                  <c:v>124.63946760425134</c:v>
                </c:pt>
                <c:pt idx="131">
                  <c:v>125.25779515043075</c:v>
                </c:pt>
                <c:pt idx="132">
                  <c:v>125.88082777941355</c:v>
                </c:pt>
                <c:pt idx="133">
                  <c:v>126.50830156141458</c:v>
                </c:pt>
                <c:pt idx="134">
                  <c:v>127.13994204641992</c:v>
                </c:pt>
                <c:pt idx="135">
                  <c:v>127.77546473650341</c:v>
                </c:pt>
                <c:pt idx="136">
                  <c:v>128.41457561331802</c:v>
                </c:pt>
                <c:pt idx="137">
                  <c:v>129.05697171914136</c:v>
                </c:pt>
                <c:pt idx="138">
                  <c:v>129.70234178931747</c:v>
                </c:pt>
                <c:pt idx="139">
                  <c:v>130.35036693342124</c:v>
                </c:pt>
                <c:pt idx="140">
                  <c:v>131.00072136193586</c:v>
                </c:pt>
                <c:pt idx="141">
                  <c:v>131.65307315476016</c:v>
                </c:pt>
                <c:pt idx="142">
                  <c:v>132.30708506738426</c:v>
                </c:pt>
                <c:pt idx="143">
                  <c:v>132.96241537015399</c:v>
                </c:pt>
                <c:pt idx="144">
                  <c:v>133.61871871565958</c:v>
                </c:pt>
                <c:pt idx="145">
                  <c:v>134.27564702896271</c:v>
                </c:pt>
                <c:pt idx="146">
                  <c:v>134.93285041509711</c:v>
                </c:pt>
                <c:pt idx="147">
                  <c:v>135.58997807808444</c:v>
                </c:pt>
                <c:pt idx="148">
                  <c:v>136.24667924555979</c:v>
                </c:pt>
                <c:pt idx="149">
                  <c:v>136.90260409303687</c:v>
                </c:pt>
                <c:pt idx="150">
                  <c:v>137.55740466185378</c:v>
                </c:pt>
                <c:pt idx="151">
                  <c:v>138.21073576490033</c:v>
                </c:pt>
                <c:pt idx="152">
                  <c:v>138.86225587439102</c:v>
                </c:pt>
                <c:pt idx="153">
                  <c:v>139.51162798614902</c:v>
                </c:pt>
                <c:pt idx="154">
                  <c:v>140.1585204551439</c:v>
                </c:pt>
                <c:pt idx="155">
                  <c:v>140.80260779736705</c:v>
                </c:pt>
                <c:pt idx="156">
                  <c:v>141.44357145350384</c:v>
                </c:pt>
                <c:pt idx="157">
                  <c:v>142.0811005103003</c:v>
                </c:pt>
                <c:pt idx="158">
                  <c:v>142.71489237598888</c:v>
                </c:pt>
                <c:pt idx="159">
                  <c:v>143.34465340662695</c:v>
                </c:pt>
                <c:pt idx="160">
                  <c:v>143.97009948073404</c:v>
                </c:pt>
                <c:pt idx="161">
                  <c:v>144.59095652012635</c:v>
                </c:pt>
                <c:pt idx="162">
                  <c:v>145.20696095539299</c:v>
                </c:pt>
                <c:pt idx="163">
                  <c:v>145.81786013498603</c:v>
                </c:pt>
                <c:pt idx="164">
                  <c:v>146.42341267740784</c:v>
                </c:pt>
                <c:pt idx="165">
                  <c:v>147.02338876648784</c:v>
                </c:pt>
                <c:pt idx="166">
                  <c:v>147.6175703902102</c:v>
                </c:pt>
                <c:pt idx="167">
                  <c:v>148.20575152400048</c:v>
                </c:pt>
                <c:pt idx="168">
                  <c:v>148.78773825979385</c:v>
                </c:pt>
                <c:pt idx="169">
                  <c:v>149.36334888257295</c:v>
                </c:pt>
                <c:pt idx="170">
                  <c:v>149.93241389640437</c:v>
                </c:pt>
                <c:pt idx="171">
                  <c:v>150.49477600228701</c:v>
                </c:pt>
                <c:pt idx="172">
                  <c:v>151.05029003037481</c:v>
                </c:pt>
                <c:pt idx="173">
                  <c:v>151.59882282933805</c:v>
                </c:pt>
                <c:pt idx="174">
                  <c:v>152.14025311579201</c:v>
                </c:pt>
                <c:pt idx="175">
                  <c:v>152.67447128683597</c:v>
                </c:pt>
                <c:pt idx="176">
                  <c:v>153.20137919882836</c:v>
                </c:pt>
                <c:pt idx="177">
                  <c:v>153.72088991556427</c:v>
                </c:pt>
                <c:pt idx="178">
                  <c:v>154.23292742903087</c:v>
                </c:pt>
                <c:pt idx="179">
                  <c:v>154.73742635589144</c:v>
                </c:pt>
                <c:pt idx="180">
                  <c:v>155.23433161279323</c:v>
                </c:pt>
                <c:pt idx="181">
                  <c:v>155.72359807352223</c:v>
                </c:pt>
                <c:pt idx="182">
                  <c:v>156.20519021092025</c:v>
                </c:pt>
                <c:pt idx="183">
                  <c:v>156.67908172637007</c:v>
                </c:pt>
                <c:pt idx="184">
                  <c:v>157.14525516951247</c:v>
                </c:pt>
                <c:pt idx="185">
                  <c:v>157.60370155071681</c:v>
                </c:pt>
                <c:pt idx="186">
                  <c:v>158.05441994867201</c:v>
                </c:pt>
                <c:pt idx="187">
                  <c:v>158.49741711529975</c:v>
                </c:pt>
                <c:pt idx="188">
                  <c:v>158.9327070800291</c:v>
                </c:pt>
                <c:pt idx="189">
                  <c:v>159.36031075529701</c:v>
                </c:pt>
                <c:pt idx="190">
                  <c:v>159.78025554498407</c:v>
                </c:pt>
                <c:pt idx="191">
                  <c:v>160.19257495731264</c:v>
                </c:pt>
                <c:pt idx="192">
                  <c:v>160.59730822358711</c:v>
                </c:pt>
                <c:pt idx="193">
                  <c:v>160.99449992398814</c:v>
                </c:pt>
                <c:pt idx="194">
                  <c:v>161.38419962149115</c:v>
                </c:pt>
                <c:pt idx="195">
                  <c:v>161.76646150482193</c:v>
                </c:pt>
                <c:pt idx="196">
                  <c:v>162.14134404124167</c:v>
                </c:pt>
                <c:pt idx="197">
                  <c:v>162.50890963980913</c:v>
                </c:pt>
                <c:pt idx="198">
                  <c:v>162.86922432565922</c:v>
                </c:pt>
                <c:pt idx="199">
                  <c:v>163.22235742571627</c:v>
                </c:pt>
                <c:pt idx="200">
                  <c:v>163.56838126616515</c:v>
                </c:pt>
                <c:pt idx="201">
                  <c:v>163.90737088190158</c:v>
                </c:pt>
                <c:pt idx="202">
                  <c:v>164.23940373810174</c:v>
                </c:pt>
                <c:pt idx="203">
                  <c:v>164.56455946397037</c:v>
                </c:pt>
                <c:pt idx="204">
                  <c:v>164.88291959865768</c:v>
                </c:pt>
                <c:pt idx="205">
                  <c:v>165.19456734927334</c:v>
                </c:pt>
                <c:pt idx="206">
                  <c:v>165.49958736086896</c:v>
                </c:pt>
                <c:pt idx="207">
                  <c:v>165.79806549821441</c:v>
                </c:pt>
                <c:pt idx="208">
                  <c:v>166.09008863914866</c:v>
                </c:pt>
                <c:pt idx="209">
                  <c:v>166.37574447925311</c:v>
                </c:pt>
                <c:pt idx="210">
                  <c:v>166.65512134756099</c:v>
                </c:pt>
                <c:pt idx="211">
                  <c:v>166.92830803299566</c:v>
                </c:pt>
                <c:pt idx="212">
                  <c:v>167.19539362120568</c:v>
                </c:pt>
                <c:pt idx="213">
                  <c:v>167.45646734145168</c:v>
                </c:pt>
                <c:pt idx="214">
                  <c:v>167.71161842318537</c:v>
                </c:pt>
                <c:pt idx="215">
                  <c:v>167.96093596195348</c:v>
                </c:pt>
                <c:pt idx="216">
                  <c:v>168.20450879425249</c:v>
                </c:pt>
                <c:pt idx="217">
                  <c:v>168.44242538095807</c:v>
                </c:pt>
                <c:pt idx="218">
                  <c:v>168.67477369895235</c:v>
                </c:pt>
                <c:pt idx="219">
                  <c:v>168.90164114057262</c:v>
                </c:pt>
                <c:pt idx="220">
                  <c:v>169.12311442051063</c:v>
                </c:pt>
                <c:pt idx="221">
                  <c:v>169.3392794897953</c:v>
                </c:pt>
                <c:pt idx="222">
                  <c:v>169.55022145649784</c:v>
                </c:pt>
                <c:pt idx="223">
                  <c:v>169.75602451280858</c:v>
                </c:pt>
                <c:pt idx="224">
                  <c:v>169.95677186813921</c:v>
                </c:pt>
                <c:pt idx="225">
                  <c:v>170.15254568791877</c:v>
                </c:pt>
                <c:pt idx="226">
                  <c:v>170.34342703775701</c:v>
                </c:pt>
                <c:pt idx="227">
                  <c:v>170.52949583266272</c:v>
                </c:pt>
                <c:pt idx="228">
                  <c:v>170.71083079101356</c:v>
                </c:pt>
                <c:pt idx="229">
                  <c:v>170.88750939298797</c:v>
                </c:pt>
                <c:pt idx="230">
                  <c:v>171.05960784317628</c:v>
                </c:pt>
                <c:pt idx="231">
                  <c:v>171.2272010371054</c:v>
                </c:pt>
                <c:pt idx="232">
                  <c:v>171.39036253141782</c:v>
                </c:pt>
                <c:pt idx="233">
                  <c:v>171.54916451746124</c:v>
                </c:pt>
                <c:pt idx="234">
                  <c:v>171.70367779805261</c:v>
                </c:pt>
                <c:pt idx="235">
                  <c:v>171.85397176719457</c:v>
                </c:pt>
                <c:pt idx="236">
                  <c:v>172.00011439253095</c:v>
                </c:pt>
                <c:pt idx="237">
                  <c:v>172.14217220033964</c:v>
                </c:pt>
                <c:pt idx="238">
                  <c:v>172.28021026287138</c:v>
                </c:pt>
                <c:pt idx="239">
                  <c:v>172.41429218785188</c:v>
                </c:pt>
                <c:pt idx="240">
                  <c:v>172.54448010997638</c:v>
                </c:pt>
                <c:pt idx="241">
                  <c:v>172.67083468423317</c:v>
                </c:pt>
                <c:pt idx="242">
                  <c:v>172.79341508090201</c:v>
                </c:pt>
                <c:pt idx="243">
                  <c:v>172.91227898208317</c:v>
                </c:pt>
                <c:pt idx="244">
                  <c:v>173.02748257961932</c:v>
                </c:pt>
                <c:pt idx="245">
                  <c:v>173.13908057428196</c:v>
                </c:pt>
                <c:pt idx="246">
                  <c:v>173.24712617610027</c:v>
                </c:pt>
                <c:pt idx="247">
                  <c:v>173.35167110571857</c:v>
                </c:pt>
                <c:pt idx="248">
                  <c:v>173.45276559667568</c:v>
                </c:pt>
                <c:pt idx="249">
                  <c:v>173.55045839850342</c:v>
                </c:pt>
                <c:pt idx="250">
                  <c:v>173.64479678055267</c:v>
                </c:pt>
                <c:pt idx="251">
                  <c:v>173.73582653645511</c:v>
                </c:pt>
                <c:pt idx="252">
                  <c:v>173.82359198914057</c:v>
                </c:pt>
                <c:pt idx="253">
                  <c:v>173.90813599632938</c:v>
                </c:pt>
                <c:pt idx="254">
                  <c:v>173.98949995643042</c:v>
                </c:pt>
                <c:pt idx="255">
                  <c:v>174.06772381477319</c:v>
                </c:pt>
                <c:pt idx="256">
                  <c:v>174.14284607011348</c:v>
                </c:pt>
                <c:pt idx="257">
                  <c:v>174.21490378135186</c:v>
                </c:pt>
                <c:pt idx="258">
                  <c:v>174.28393257441004</c:v>
                </c:pt>
                <c:pt idx="259">
                  <c:v>174.34996664921437</c:v>
                </c:pt>
                <c:pt idx="260">
                  <c:v>174.41303878673756</c:v>
                </c:pt>
                <c:pt idx="261">
                  <c:v>174.47318035605488</c:v>
                </c:pt>
                <c:pt idx="262">
                  <c:v>174.53042132137341</c:v>
                </c:pt>
                <c:pt idx="263">
                  <c:v>174.58479024899555</c:v>
                </c:pt>
                <c:pt idx="264">
                  <c:v>174.6363143141819</c:v>
                </c:pt>
                <c:pt idx="265">
                  <c:v>174.68501930788005</c:v>
                </c:pt>
                <c:pt idx="266">
                  <c:v>174.7309296432891</c:v>
                </c:pt>
                <c:pt idx="267">
                  <c:v>174.77406836223147</c:v>
                </c:pt>
                <c:pt idx="268">
                  <c:v>174.81445714130726</c:v>
                </c:pt>
                <c:pt idx="269">
                  <c:v>174.8521162978054</c:v>
                </c:pt>
                <c:pt idx="270">
                  <c:v>174.88706479535171</c:v>
                </c:pt>
                <c:pt idx="271">
                  <c:v>174.9193202492728</c:v>
                </c:pt>
                <c:pt idx="272">
                  <c:v>174.94889893165771</c:v>
                </c:pt>
                <c:pt idx="273">
                  <c:v>174.97581577610075</c:v>
                </c:pt>
                <c:pt idx="274">
                  <c:v>175.000084382111</c:v>
                </c:pt>
                <c:pt idx="275">
                  <c:v>175.02171701917413</c:v>
                </c:pt>
                <c:pt idx="276">
                  <c:v>175.04072463045517</c:v>
                </c:pt>
                <c:pt idx="277">
                  <c:v>175.05711683613089</c:v>
                </c:pt>
                <c:pt idx="278">
                  <c:v>175.07090193634295</c:v>
                </c:pt>
                <c:pt idx="279">
                  <c:v>175.08208691376328</c:v>
                </c:pt>
                <c:pt idx="280">
                  <c:v>175.09067743576466</c:v>
                </c:pt>
                <c:pt idx="281">
                  <c:v>175.09667785619089</c:v>
                </c:pt>
                <c:pt idx="282">
                  <c:v>175.10009121672172</c:v>
                </c:pt>
                <c:pt idx="283">
                  <c:v>175.10091924782907</c:v>
                </c:pt>
                <c:pt idx="284">
                  <c:v>175.09916236932204</c:v>
                </c:pt>
                <c:pt idx="285">
                  <c:v>175.0948196904792</c:v>
                </c:pt>
                <c:pt idx="286">
                  <c:v>175.08788900976779</c:v>
                </c:pt>
                <c:pt idx="287">
                  <c:v>175.078366814151</c:v>
                </c:pt>
                <c:pt idx="288">
                  <c:v>175.0662482779843</c:v>
                </c:pt>
                <c:pt idx="289">
                  <c:v>175.05152726150462</c:v>
                </c:pt>
                <c:pt idx="290">
                  <c:v>175.03419630891557</c:v>
                </c:pt>
                <c:pt idx="291">
                  <c:v>175.01424664607441</c:v>
                </c:pt>
                <c:pt idx="292">
                  <c:v>174.99166817778624</c:v>
                </c:pt>
                <c:pt idx="293">
                  <c:v>174.96644948471391</c:v>
                </c:pt>
                <c:pt idx="294">
                  <c:v>174.93857781991102</c:v>
                </c:pt>
                <c:pt idx="295">
                  <c:v>174.9080391049892</c:v>
                </c:pt>
                <c:pt idx="296">
                  <c:v>174.87481792592951</c:v>
                </c:pt>
                <c:pt idx="297">
                  <c:v>174.83889752855202</c:v>
                </c:pt>
                <c:pt idx="298">
                  <c:v>174.80025981365603</c:v>
                </c:pt>
                <c:pt idx="299">
                  <c:v>174.75888533184838</c:v>
                </c:pt>
                <c:pt idx="300">
                  <c:v>174.71475327807485</c:v>
                </c:pt>
                <c:pt idx="301">
                  <c:v>174.66784148587547</c:v>
                </c:pt>
                <c:pt idx="302">
                  <c:v>174.61812642138304</c:v>
                </c:pt>
                <c:pt idx="303">
                  <c:v>174.56558317708812</c:v>
                </c:pt>
                <c:pt idx="304">
                  <c:v>174.51018546539467</c:v>
                </c:pt>
                <c:pt idx="305">
                  <c:v>174.45190561199325</c:v>
                </c:pt>
                <c:pt idx="306">
                  <c:v>174.39071454908043</c:v>
                </c:pt>
                <c:pt idx="307">
                  <c:v>174.3265818084557</c:v>
                </c:pt>
                <c:pt idx="308">
                  <c:v>174.25947551453018</c:v>
                </c:pt>
                <c:pt idx="309">
                  <c:v>174.18936237728332</c:v>
                </c:pt>
                <c:pt idx="310">
                  <c:v>174.11620768520658</c:v>
                </c:pt>
                <c:pt idx="311">
                  <c:v>174.03997529827765</c:v>
                </c:pt>
                <c:pt idx="312">
                  <c:v>173.96062764100967</c:v>
                </c:pt>
                <c:pt idx="313">
                  <c:v>173.87812569562533</c:v>
                </c:pt>
                <c:pt idx="314">
                  <c:v>173.79242899540878</c:v>
                </c:pt>
                <c:pt idx="315">
                  <c:v>173.70349561829065</c:v>
                </c:pt>
                <c:pt idx="316">
                  <c:v>173.61128218072861</c:v>
                </c:pt>
                <c:pt idx="317">
                  <c:v>173.51574383194739</c:v>
                </c:pt>
                <c:pt idx="318">
                  <c:v>173.41683424860813</c:v>
                </c:pt>
                <c:pt idx="319">
                  <c:v>173.31450562998165</c:v>
                </c:pt>
                <c:pt idx="320">
                  <c:v>173.20870869370506</c:v>
                </c:pt>
                <c:pt idx="321">
                  <c:v>173.09939267220679</c:v>
                </c:pt>
                <c:pt idx="322">
                  <c:v>172.98650530989116</c:v>
                </c:pt>
                <c:pt idx="323">
                  <c:v>172.8699928611785</c:v>
                </c:pt>
                <c:pt idx="324">
                  <c:v>172.74980008950448</c:v>
                </c:pt>
                <c:pt idx="325">
                  <c:v>172.62587026738794</c:v>
                </c:pt>
                <c:pt idx="326">
                  <c:v>172.49814517768505</c:v>
                </c:pt>
                <c:pt idx="327">
                  <c:v>172.36656511615203</c:v>
                </c:pt>
                <c:pt idx="328">
                  <c:v>172.23106889545073</c:v>
                </c:pt>
                <c:pt idx="329">
                  <c:v>172.09159385073386</c:v>
                </c:pt>
                <c:pt idx="330">
                  <c:v>171.94807584696136</c:v>
                </c:pt>
                <c:pt idx="331">
                  <c:v>171.8004492881019</c:v>
                </c:pt>
                <c:pt idx="332">
                  <c:v>171.64864712838857</c:v>
                </c:pt>
                <c:pt idx="333">
                  <c:v>171.49260088580067</c:v>
                </c:pt>
                <c:pt idx="334">
                  <c:v>171.33224065796065</c:v>
                </c:pt>
                <c:pt idx="335">
                  <c:v>171.16749514063864</c:v>
                </c:pt>
                <c:pt idx="336">
                  <c:v>170.99829164907231</c:v>
                </c:pt>
                <c:pt idx="337">
                  <c:v>170.82455614231648</c:v>
                </c:pt>
                <c:pt idx="338">
                  <c:v>170.64621325085227</c:v>
                </c:pt>
                <c:pt idx="339">
                  <c:v>170.46318630769142</c:v>
                </c:pt>
                <c:pt idx="340">
                  <c:v>170.27539738322852</c:v>
                </c:pt>
                <c:pt idx="341">
                  <c:v>170.08276732409934</c:v>
                </c:pt>
                <c:pt idx="342">
                  <c:v>169.88521579631981</c:v>
                </c:pt>
                <c:pt idx="343">
                  <c:v>169.68266133298948</c:v>
                </c:pt>
                <c:pt idx="344">
                  <c:v>169.47502138685391</c:v>
                </c:pt>
                <c:pt idx="345">
                  <c:v>169.26221238803316</c:v>
                </c:pt>
                <c:pt idx="346">
                  <c:v>169.04414980723402</c:v>
                </c:pt>
                <c:pt idx="347">
                  <c:v>168.82074822477409</c:v>
                </c:pt>
                <c:pt idx="348">
                  <c:v>168.59192140575377</c:v>
                </c:pt>
                <c:pt idx="349">
                  <c:v>168.35758238172613</c:v>
                </c:pt>
                <c:pt idx="350">
                  <c:v>168.11764353921745</c:v>
                </c:pt>
                <c:pt idx="351">
                  <c:v>167.87201671546256</c:v>
                </c:pt>
                <c:pt idx="352">
                  <c:v>167.6206133017233</c:v>
                </c:pt>
                <c:pt idx="353">
                  <c:v>167.36334435456425</c:v>
                </c:pt>
                <c:pt idx="354">
                  <c:v>167.10012071545995</c:v>
                </c:pt>
                <c:pt idx="355">
                  <c:v>166.83085313911394</c:v>
                </c:pt>
                <c:pt idx="356">
                  <c:v>166.5554524308624</c:v>
                </c:pt>
                <c:pt idx="357">
                  <c:v>166.27382959353557</c:v>
                </c:pt>
                <c:pt idx="358">
                  <c:v>165.98589598414239</c:v>
                </c:pt>
                <c:pt idx="359">
                  <c:v>165.69156348073213</c:v>
                </c:pt>
                <c:pt idx="360">
                  <c:v>165.3907446597737</c:v>
                </c:pt>
                <c:pt idx="361">
                  <c:v>165.0833529843776</c:v>
                </c:pt>
                <c:pt idx="362">
                  <c:v>164.76930300366016</c:v>
                </c:pt>
                <c:pt idx="363">
                  <c:v>164.44851056352331</c:v>
                </c:pt>
                <c:pt idx="364">
                  <c:v>164.12089302909388</c:v>
                </c:pt>
                <c:pt idx="365">
                  <c:v>163.78636951902365</c:v>
                </c:pt>
                <c:pt idx="366">
                  <c:v>163.44486115180939</c:v>
                </c:pt>
                <c:pt idx="367">
                  <c:v>163.0962913042442</c:v>
                </c:pt>
                <c:pt idx="368">
                  <c:v>162.74058588204724</c:v>
                </c:pt>
                <c:pt idx="369">
                  <c:v>162.37767360265983</c:v>
                </c:pt>
                <c:pt idx="370">
                  <c:v>162.00748629011935</c:v>
                </c:pt>
                <c:pt idx="371">
                  <c:v>161.62995918184467</c:v>
                </c:pt>
                <c:pt idx="372">
                  <c:v>161.24503124707181</c:v>
                </c:pt>
                <c:pt idx="373">
                  <c:v>160.85264551658994</c:v>
                </c:pt>
                <c:pt idx="374">
                  <c:v>160.45274942330968</c:v>
                </c:pt>
                <c:pt idx="375">
                  <c:v>160.04529515309372</c:v>
                </c:pt>
                <c:pt idx="376">
                  <c:v>159.63024000514409</c:v>
                </c:pt>
                <c:pt idx="377">
                  <c:v>159.20754676111679</c:v>
                </c:pt>
                <c:pt idx="378">
                  <c:v>158.77718406199315</c:v>
                </c:pt>
                <c:pt idx="379">
                  <c:v>158.33912679158564</c:v>
                </c:pt>
                <c:pt idx="380">
                  <c:v>157.89335646541045</c:v>
                </c:pt>
                <c:pt idx="381">
                  <c:v>157.43986162349151</c:v>
                </c:pt>
                <c:pt idx="382">
                  <c:v>156.97863822550562</c:v>
                </c:pt>
                <c:pt idx="383">
                  <c:v>156.50969004650088</c:v>
                </c:pt>
                <c:pt idx="384">
                  <c:v>156.03302907126638</c:v>
                </c:pt>
                <c:pt idx="385">
                  <c:v>155.54867588524863</c:v>
                </c:pt>
                <c:pt idx="386">
                  <c:v>155.05666005975789</c:v>
                </c:pt>
                <c:pt idx="387">
                  <c:v>154.55702052904036</c:v>
                </c:pt>
                <c:pt idx="388">
                  <c:v>154.04980595663923</c:v>
                </c:pt>
                <c:pt idx="389">
                  <c:v>153.53507508833107</c:v>
                </c:pt>
                <c:pt idx="390">
                  <c:v>153.01289708879125</c:v>
                </c:pt>
                <c:pt idx="391">
                  <c:v>152.48335185902837</c:v>
                </c:pt>
                <c:pt idx="392">
                  <c:v>151.94653033153821</c:v>
                </c:pt>
                <c:pt idx="393">
                  <c:v>151.40253474006144</c:v>
                </c:pt>
                <c:pt idx="394">
                  <c:v>150.85147886077525</c:v>
                </c:pt>
                <c:pt idx="395">
                  <c:v>150.29348822175004</c:v>
                </c:pt>
                <c:pt idx="396">
                  <c:v>149.72870027751281</c:v>
                </c:pt>
                <c:pt idx="397">
                  <c:v>149.15726454561289</c:v>
                </c:pt>
                <c:pt idx="398">
                  <c:v>148.5793427021907</c:v>
                </c:pt>
                <c:pt idx="399">
                  <c:v>147.99510863366854</c:v>
                </c:pt>
                <c:pt idx="400">
                  <c:v>147.40474844186991</c:v>
                </c:pt>
                <c:pt idx="401">
                  <c:v>146.80846040008976</c:v>
                </c:pt>
                <c:pt idx="402">
                  <c:v>146.20645485789709</c:v>
                </c:pt>
                <c:pt idx="403">
                  <c:v>145.59895409276356</c:v>
                </c:pt>
                <c:pt idx="404">
                  <c:v>144.98619210694685</c:v>
                </c:pt>
                <c:pt idx="405">
                  <c:v>144.36841436846561</c:v>
                </c:pt>
                <c:pt idx="406">
                  <c:v>143.74587749540038</c:v>
                </c:pt>
                <c:pt idx="407">
                  <c:v>143.11884888323328</c:v>
                </c:pt>
                <c:pt idx="408">
                  <c:v>142.4876062754127</c:v>
                </c:pt>
                <c:pt idx="409">
                  <c:v>141.85243727783842</c:v>
                </c:pt>
                <c:pt idx="410">
                  <c:v>141.21363881848757</c:v>
                </c:pt>
                <c:pt idx="411">
                  <c:v>140.57151655393145</c:v>
                </c:pt>
                <c:pt idx="412">
                  <c:v>139.92638422502989</c:v>
                </c:pt>
                <c:pt idx="413">
                  <c:v>139.27856296461042</c:v>
                </c:pt>
                <c:pt idx="414">
                  <c:v>138.62838056045484</c:v>
                </c:pt>
                <c:pt idx="415">
                  <c:v>137.97617067740603</c:v>
                </c:pt>
                <c:pt idx="416">
                  <c:v>137.32227204285252</c:v>
                </c:pt>
                <c:pt idx="417">
                  <c:v>136.66702760027701</c:v>
                </c:pt>
                <c:pt idx="418">
                  <c:v>136.01078363591105</c:v>
                </c:pt>
                <c:pt idx="419">
                  <c:v>135.35388888386382</c:v>
                </c:pt>
                <c:pt idx="420">
                  <c:v>134.69669361532988</c:v>
                </c:pt>
                <c:pt idx="421">
                  <c:v>134.03954871769366</c:v>
                </c:pt>
                <c:pt idx="422">
                  <c:v>133.38280476944442</c:v>
                </c:pt>
                <c:pt idx="423">
                  <c:v>132.72681111688016</c:v>
                </c:pt>
                <c:pt idx="424">
                  <c:v>132.07191495855935</c:v>
                </c:pt>
                <c:pt idx="425">
                  <c:v>131.41846044334943</c:v>
                </c:pt>
                <c:pt idx="426">
                  <c:v>130.76678778777983</c:v>
                </c:pt>
                <c:pt idx="427">
                  <c:v>130.1172324181664</c:v>
                </c:pt>
                <c:pt idx="428">
                  <c:v>129.4701241426861</c:v>
                </c:pt>
                <c:pt idx="429">
                  <c:v>128.82578635822486</c:v>
                </c:pt>
                <c:pt idx="430">
                  <c:v>128.18453529645146</c:v>
                </c:pt>
                <c:pt idx="431">
                  <c:v>127.54667931308904</c:v>
                </c:pt>
                <c:pt idx="432">
                  <c:v>126.91251822392205</c:v>
                </c:pt>
                <c:pt idx="433">
                  <c:v>126.28234269053492</c:v>
                </c:pt>
                <c:pt idx="434">
                  <c:v>125.6564336582928</c:v>
                </c:pt>
                <c:pt idx="435">
                  <c:v>125.03506184851585</c:v>
                </c:pt>
                <c:pt idx="436">
                  <c:v>124.41848730628327</c:v>
                </c:pt>
                <c:pt idx="437">
                  <c:v>123.8069590047604</c:v>
                </c:pt>
                <c:pt idx="438">
                  <c:v>123.20071450644748</c:v>
                </c:pt>
                <c:pt idx="439">
                  <c:v>122.59997968122909</c:v>
                </c:pt>
                <c:pt idx="440">
                  <c:v>122.00496848066348</c:v>
                </c:pt>
                <c:pt idx="441">
                  <c:v>121.41588276748745</c:v>
                </c:pt>
                <c:pt idx="442">
                  <c:v>120.83291219892561</c:v>
                </c:pt>
                <c:pt idx="443">
                  <c:v>120.25623416203187</c:v>
                </c:pt>
                <c:pt idx="444">
                  <c:v>119.68601375895174</c:v>
                </c:pt>
                <c:pt idx="445">
                  <c:v>119.12240383973476</c:v>
                </c:pt>
                <c:pt idx="446">
                  <c:v>118.56554508007723</c:v>
                </c:pt>
                <c:pt idx="447">
                  <c:v>118.01556610118683</c:v>
                </c:pt>
                <c:pt idx="448">
                  <c:v>117.47258362880679</c:v>
                </c:pt>
                <c:pt idx="449">
                  <c:v>116.93670268833803</c:v>
                </c:pt>
                <c:pt idx="450">
                  <c:v>116.40801683291122</c:v>
                </c:pt>
                <c:pt idx="451">
                  <c:v>115.88660840124426</c:v>
                </c:pt>
                <c:pt idx="452">
                  <c:v>115.37254880210691</c:v>
                </c:pt>
                <c:pt idx="453">
                  <c:v>114.86589882225755</c:v>
                </c:pt>
                <c:pt idx="454">
                  <c:v>114.36670895476509</c:v>
                </c:pt>
                <c:pt idx="455">
                  <c:v>113.87501974472504</c:v>
                </c:pt>
                <c:pt idx="456">
                  <c:v>113.3908621494714</c:v>
                </c:pt>
                <c:pt idx="457">
                  <c:v>112.91425791051616</c:v>
                </c:pt>
                <c:pt idx="458">
                  <c:v>112.44521993458345</c:v>
                </c:pt>
                <c:pt idx="459">
                  <c:v>111.98375268125496</c:v>
                </c:pt>
                <c:pt idx="460">
                  <c:v>111.5298525548959</c:v>
                </c:pt>
                <c:pt idx="461">
                  <c:v>111.08350829870268</c:v>
                </c:pt>
                <c:pt idx="462">
                  <c:v>110.64470138887293</c:v>
                </c:pt>
                <c:pt idx="463">
                  <c:v>110.21340642706571</c:v>
                </c:pt>
                <c:pt idx="464">
                  <c:v>109.78959152949953</c:v>
                </c:pt>
                <c:pt idx="465">
                  <c:v>109.37321871118259</c:v>
                </c:pt>
                <c:pt idx="466">
                  <c:v>108.96424426394368</c:v>
                </c:pt>
                <c:pt idx="467">
                  <c:v>108.56261912708548</c:v>
                </c:pt>
                <c:pt idx="468">
                  <c:v>108.1682892496285</c:v>
                </c:pt>
                <c:pt idx="469">
                  <c:v>107.78119594325908</c:v>
                </c:pt>
                <c:pt idx="470">
                  <c:v>107.40127622522847</c:v>
                </c:pt>
                <c:pt idx="471">
                  <c:v>107.02846315057838</c:v>
                </c:pt>
                <c:pt idx="472">
                  <c:v>106.66268613318651</c:v>
                </c:pt>
                <c:pt idx="473">
                  <c:v>106.30387125523245</c:v>
                </c:pt>
                <c:pt idx="474">
                  <c:v>105.95194156478969</c:v>
                </c:pt>
                <c:pt idx="475">
                  <c:v>105.60681736133891</c:v>
                </c:pt>
                <c:pt idx="476">
                  <c:v>105.26841646908449</c:v>
                </c:pt>
                <c:pt idx="477">
                  <c:v>104.93665449802951</c:v>
                </c:pt>
                <c:pt idx="478">
                  <c:v>104.61144509283379</c:v>
                </c:pt>
                <c:pt idx="479">
                  <c:v>104.2927001695421</c:v>
                </c:pt>
                <c:pt idx="480">
                  <c:v>103.98033014031893</c:v>
                </c:pt>
                <c:pt idx="481">
                  <c:v>103.67424412637737</c:v>
                </c:pt>
                <c:pt idx="482">
                  <c:v>103.37435015932697</c:v>
                </c:pt>
                <c:pt idx="483">
                  <c:v>103.08055537120073</c:v>
                </c:pt>
                <c:pt idx="484">
                  <c:v>102.79276617345263</c:v>
                </c:pt>
                <c:pt idx="485">
                  <c:v>102.51088842523637</c:v>
                </c:pt>
                <c:pt idx="486">
                  <c:v>102.23482759130184</c:v>
                </c:pt>
                <c:pt idx="487">
                  <c:v>101.9644888898542</c:v>
                </c:pt>
                <c:pt idx="488">
                  <c:v>101.69977743073864</c:v>
                </c:pt>
                <c:pt idx="489">
                  <c:v>101.44059834431603</c:v>
                </c:pt>
                <c:pt idx="490">
                  <c:v>101.18685690140531</c:v>
                </c:pt>
                <c:pt idx="491">
                  <c:v>100.93845862466492</c:v>
                </c:pt>
                <c:pt idx="492">
                  <c:v>100.69530939179037</c:v>
                </c:pt>
                <c:pt idx="493">
                  <c:v>100.45731553090231</c:v>
                </c:pt>
                <c:pt idx="494">
                  <c:v>100.22438390848998</c:v>
                </c:pt>
                <c:pt idx="495">
                  <c:v>99.996422010279389</c:v>
                </c:pt>
                <c:pt idx="496">
                  <c:v>99.773338015377519</c:v>
                </c:pt>
                <c:pt idx="497">
                  <c:v>99.555040864045438</c:v>
                </c:pt>
                <c:pt idx="498">
                  <c:v>99.341440319436998</c:v>
                </c:pt>
                <c:pt idx="499">
                  <c:v>99.132447023635919</c:v>
                </c:pt>
                <c:pt idx="500">
                  <c:v>98.92797254830873</c:v>
                </c:pt>
                <c:pt idx="501">
                  <c:v>98.727929440283944</c:v>
                </c:pt>
                <c:pt idx="502">
                  <c:v>98.532231262354742</c:v>
                </c:pt>
                <c:pt idx="503">
                  <c:v>98.340792629592244</c:v>
                </c:pt>
                <c:pt idx="504">
                  <c:v>98.153529241443948</c:v>
                </c:pt>
                <c:pt idx="505">
                  <c:v>97.970357909881216</c:v>
                </c:pt>
                <c:pt idx="506">
                  <c:v>97.791196583847892</c:v>
                </c:pt>
                <c:pt idx="507">
                  <c:v>97.615964370250964</c:v>
                </c:pt>
                <c:pt idx="508">
                  <c:v>97.444581551722493</c:v>
                </c:pt>
                <c:pt idx="509">
                  <c:v>97.276969601371306</c:v>
                </c:pt>
                <c:pt idx="510">
                  <c:v>97.113051194732435</c:v>
                </c:pt>
                <c:pt idx="511">
                  <c:v>96.952750219111394</c:v>
                </c:pt>
                <c:pt idx="512">
                  <c:v>96.79599178050988</c:v>
                </c:pt>
                <c:pt idx="513">
                  <c:v>96.642702208309913</c:v>
                </c:pt>
                <c:pt idx="514">
                  <c:v>96.492809057884273</c:v>
                </c:pt>
                <c:pt idx="515">
                  <c:v>96.346241111290695</c:v>
                </c:pt>
                <c:pt idx="516">
                  <c:v>96.202928376199409</c:v>
                </c:pt>
                <c:pt idx="517">
                  <c:v>96.062802083194669</c:v>
                </c:pt>
                <c:pt idx="518">
                  <c:v>95.925794681582062</c:v>
                </c:pt>
                <c:pt idx="519">
                  <c:v>95.79183983382697</c:v>
                </c:pt>
                <c:pt idx="520">
                  <c:v>95.660872408740801</c:v>
                </c:pt>
                <c:pt idx="521">
                  <c:v>95.532828473524688</c:v>
                </c:pt>
                <c:pt idx="522">
                  <c:v>95.407645284774119</c:v>
                </c:pt>
                <c:pt idx="523">
                  <c:v>95.28526127854056</c:v>
                </c:pt>
                <c:pt idx="524">
                  <c:v>95.165616059541023</c:v>
                </c:pt>
                <c:pt idx="525">
                  <c:v>95.048650389599274</c:v>
                </c:pt>
                <c:pt idx="526">
                  <c:v>94.934306175398731</c:v>
                </c:pt>
                <c:pt idx="527">
                  <c:v>94.822526455619538</c:v>
                </c:pt>
                <c:pt idx="528">
                  <c:v>94.713255387530126</c:v>
                </c:pt>
                <c:pt idx="529">
                  <c:v>94.606438233094778</c:v>
                </c:pt>
                <c:pt idx="530">
                  <c:v>94.502021344660179</c:v>
                </c:pt>
                <c:pt idx="531">
                  <c:v>94.399952150273108</c:v>
                </c:pt>
                <c:pt idx="532">
                  <c:v>94.300179138683148</c:v>
                </c:pt>
                <c:pt idx="533">
                  <c:v>94.202651844076584</c:v>
                </c:pt>
                <c:pt idx="534">
                  <c:v>94.107320830586772</c:v>
                </c:pt>
                <c:pt idx="535">
                  <c:v>94.014137676621075</c:v>
                </c:pt>
                <c:pt idx="536">
                  <c:v>93.923054959043597</c:v>
                </c:pt>
                <c:pt idx="537">
                  <c:v>93.834026237246803</c:v>
                </c:pt>
                <c:pt idx="538">
                  <c:v>93.747006037146164</c:v>
                </c:pt>
                <c:pt idx="539">
                  <c:v>93.661949835125952</c:v>
                </c:pt>
                <c:pt idx="540">
                  <c:v>93.578814041965273</c:v>
                </c:pt>
                <c:pt idx="541">
                  <c:v>93.497555986767324</c:v>
                </c:pt>
              </c:numCache>
            </c:numRef>
          </c:yVal>
          <c:smooth val="1"/>
          <c:extLst>
            <c:ext xmlns:c16="http://schemas.microsoft.com/office/drawing/2014/chart" uri="{C3380CC4-5D6E-409C-BE32-E72D297353CC}">
              <c16:uniqueId val="{00000001-C95D-4273-8D1D-E8C586949522}"/>
            </c:ext>
          </c:extLst>
        </c:ser>
        <c:dLbls>
          <c:showLegendKey val="0"/>
          <c:showVal val="0"/>
          <c:showCatName val="0"/>
          <c:showSerName val="0"/>
          <c:showPercent val="0"/>
          <c:showBubbleSize val="0"/>
        </c:dLbls>
        <c:axId val="160545024"/>
        <c:axId val="160543488"/>
      </c:scatterChart>
      <c:valAx>
        <c:axId val="160531200"/>
        <c:scaling>
          <c:logBase val="10"/>
          <c:orientation val="minMax"/>
          <c:max val="2200000"/>
          <c:min val="10"/>
        </c:scaling>
        <c:delete val="0"/>
        <c:axPos val="b"/>
        <c:minorGridlines/>
        <c:title>
          <c:tx>
            <c:rich>
              <a:bodyPr/>
              <a:lstStyle/>
              <a:p>
                <a:pPr>
                  <a:defRPr/>
                </a:pPr>
                <a:r>
                  <a:rPr lang="en-US"/>
                  <a:t>Frequency</a:t>
                </a:r>
                <a:r>
                  <a:rPr lang="en-US" baseline="0"/>
                  <a:t> (Hz)</a:t>
                </a:r>
                <a:endParaRPr lang="en-US"/>
              </a:p>
            </c:rich>
          </c:tx>
          <c:overlay val="0"/>
        </c:title>
        <c:numFmt formatCode="0" sourceLinked="0"/>
        <c:majorTickMark val="out"/>
        <c:minorTickMark val="none"/>
        <c:tickLblPos val="low"/>
        <c:crossAx val="160533120"/>
        <c:crosses val="autoZero"/>
        <c:crossBetween val="midCat"/>
      </c:valAx>
      <c:valAx>
        <c:axId val="160533120"/>
        <c:scaling>
          <c:orientation val="minMax"/>
          <c:max val="40"/>
          <c:min val="-40"/>
        </c:scaling>
        <c:delete val="0"/>
        <c:axPos val="l"/>
        <c:majorGridlines/>
        <c:minorGridlines/>
        <c:title>
          <c:tx>
            <c:rich>
              <a:bodyPr rot="-5400000" vert="horz"/>
              <a:lstStyle/>
              <a:p>
                <a:pPr>
                  <a:defRPr/>
                </a:pPr>
                <a:r>
                  <a:rPr lang="en-US"/>
                  <a:t>Gain</a:t>
                </a:r>
                <a:r>
                  <a:rPr lang="en-US" baseline="0"/>
                  <a:t> (dB)</a:t>
                </a:r>
                <a:endParaRPr lang="en-US"/>
              </a:p>
            </c:rich>
          </c:tx>
          <c:overlay val="0"/>
        </c:title>
        <c:numFmt formatCode="General" sourceLinked="0"/>
        <c:majorTickMark val="out"/>
        <c:minorTickMark val="none"/>
        <c:tickLblPos val="nextTo"/>
        <c:crossAx val="160531200"/>
        <c:crosses val="autoZero"/>
        <c:crossBetween val="midCat"/>
        <c:majorUnit val="20"/>
        <c:minorUnit val="10"/>
      </c:valAx>
      <c:valAx>
        <c:axId val="160543488"/>
        <c:scaling>
          <c:orientation val="minMax"/>
          <c:max val="180"/>
          <c:min val="-180"/>
        </c:scaling>
        <c:delete val="0"/>
        <c:axPos val="r"/>
        <c:numFmt formatCode="General" sourceLinked="1"/>
        <c:majorTickMark val="out"/>
        <c:minorTickMark val="none"/>
        <c:tickLblPos val="nextTo"/>
        <c:crossAx val="160545024"/>
        <c:crosses val="max"/>
        <c:crossBetween val="midCat"/>
        <c:majorUnit val="90"/>
        <c:minorUnit val="45"/>
      </c:valAx>
      <c:valAx>
        <c:axId val="160545024"/>
        <c:scaling>
          <c:logBase val="10"/>
          <c:orientation val="minMax"/>
        </c:scaling>
        <c:delete val="1"/>
        <c:axPos val="b"/>
        <c:numFmt formatCode="0.00" sourceLinked="1"/>
        <c:majorTickMark val="out"/>
        <c:minorTickMark val="none"/>
        <c:tickLblPos val="nextTo"/>
        <c:crossAx val="160543488"/>
        <c:crosses val="autoZero"/>
        <c:crossBetween val="midCat"/>
      </c:valAx>
    </c:plotArea>
    <c:legend>
      <c:legendPos val="r"/>
      <c:layout>
        <c:manualLayout>
          <c:xMode val="edge"/>
          <c:yMode val="edge"/>
          <c:x val="0.79880558209512509"/>
          <c:y val="0.14321997959862004"/>
          <c:w val="0.13485048155591431"/>
          <c:h val="0.10528624969913696"/>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Control Loop Transfer Function</a:t>
            </a:r>
          </a:p>
        </c:rich>
      </c:tx>
      <c:overlay val="0"/>
    </c:title>
    <c:autoTitleDeleted val="0"/>
    <c:plotArea>
      <c:layout/>
      <c:scatterChart>
        <c:scatterStyle val="smoothMarker"/>
        <c:varyColors val="0"/>
        <c:ser>
          <c:idx val="0"/>
          <c:order val="0"/>
          <c:tx>
            <c:v>Gain (dB)</c:v>
          </c:tx>
          <c:spPr>
            <a:ln w="38100">
              <a:solidFill>
                <a:srgbClr val="FF0000"/>
              </a:solidFill>
            </a:ln>
          </c:spPr>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Loop_Modeling!$AT$19:$AT$560</c:f>
              <c:numCache>
                <c:formatCode>0.000</c:formatCode>
                <c:ptCount val="542"/>
                <c:pt idx="0">
                  <c:v>76.780394143442805</c:v>
                </c:pt>
                <c:pt idx="1">
                  <c:v>76.530950353373527</c:v>
                </c:pt>
                <c:pt idx="2">
                  <c:v>76.27977859206554</c:v>
                </c:pt>
                <c:pt idx="3">
                  <c:v>76.02684006466086</c:v>
                </c:pt>
                <c:pt idx="4">
                  <c:v>75.772096601725124</c:v>
                </c:pt>
                <c:pt idx="5">
                  <c:v>75.515510770717668</c:v>
                </c:pt>
                <c:pt idx="6">
                  <c:v>75.25704598952224</c:v>
                </c:pt>
                <c:pt idx="7">
                  <c:v>74.996666641466675</c:v>
                </c:pt>
                <c:pt idx="8">
                  <c:v>74.734338191217574</c:v>
                </c:pt>
                <c:pt idx="9">
                  <c:v>74.470027300891829</c:v>
                </c:pt>
                <c:pt idx="10">
                  <c:v>74.203701945691719</c:v>
                </c:pt>
                <c:pt idx="11">
                  <c:v>73.935331528340257</c:v>
                </c:pt>
                <c:pt idx="12">
                  <c:v>73.664886991568181</c:v>
                </c:pt>
                <c:pt idx="13">
                  <c:v>73.392340927889876</c:v>
                </c:pt>
                <c:pt idx="14">
                  <c:v>73.117667685895071</c:v>
                </c:pt>
                <c:pt idx="15">
                  <c:v>72.840843472284433</c:v>
                </c:pt>
                <c:pt idx="16">
                  <c:v>72.561846448888673</c:v>
                </c:pt>
                <c:pt idx="17">
                  <c:v>72.280656823927586</c:v>
                </c:pt>
                <c:pt idx="18">
                  <c:v>71.997256936795225</c:v>
                </c:pt>
                <c:pt idx="19">
                  <c:v>71.711631335696339</c:v>
                </c:pt>
                <c:pt idx="20">
                  <c:v>71.423766847507025</c:v>
                </c:pt>
                <c:pt idx="21">
                  <c:v>71.133652639286723</c:v>
                </c:pt>
                <c:pt idx="22">
                  <c:v>70.841280270938242</c:v>
                </c:pt>
                <c:pt idx="23">
                  <c:v>70.546643738579021</c:v>
                </c:pt>
                <c:pt idx="24">
                  <c:v>70.24973950827129</c:v>
                </c:pt>
                <c:pt idx="25">
                  <c:v>69.950566539838576</c:v>
                </c:pt>
                <c:pt idx="26">
                  <c:v>69.649126300588136</c:v>
                </c:pt>
                <c:pt idx="27">
                  <c:v>69.345422768846916</c:v>
                </c:pt>
                <c:pt idx="28">
                  <c:v>69.039462427314305</c:v>
                </c:pt>
                <c:pt idx="29">
                  <c:v>68.731254246325818</c:v>
                </c:pt>
                <c:pt idx="30">
                  <c:v>68.420809657215344</c:v>
                </c:pt>
                <c:pt idx="31">
                  <c:v>68.108142516049028</c:v>
                </c:pt>
                <c:pt idx="32">
                  <c:v>67.793269058093728</c:v>
                </c:pt>
                <c:pt idx="33">
                  <c:v>67.476207843456407</c:v>
                </c:pt>
                <c:pt idx="34">
                  <c:v>67.156979694407596</c:v>
                </c:pt>
                <c:pt idx="35">
                  <c:v>66.835607624967736</c:v>
                </c:pt>
                <c:pt idx="36">
                  <c:v>66.512116763389017</c:v>
                </c:pt>
                <c:pt idx="37">
                  <c:v>66.186534268217329</c:v>
                </c:pt>
                <c:pt idx="38">
                  <c:v>65.858889238655706</c:v>
                </c:pt>
                <c:pt idx="39">
                  <c:v>65.529212619983085</c:v>
                </c:pt>
                <c:pt idx="40">
                  <c:v>65.197537104797277</c:v>
                </c:pt>
                <c:pt idx="41">
                  <c:v>64.863897030866752</c:v>
                </c:pt>
                <c:pt idx="42">
                  <c:v>64.528328276374054</c:v>
                </c:pt>
                <c:pt idx="43">
                  <c:v>64.190868153326932</c:v>
                </c:pt>
                <c:pt idx="44">
                  <c:v>63.851555299897235</c:v>
                </c:pt>
                <c:pt idx="45">
                  <c:v>63.510429572424528</c:v>
                </c:pt>
                <c:pt idx="46">
                  <c:v>63.167531937791559</c:v>
                </c:pt>
                <c:pt idx="47">
                  <c:v>62.822904366842671</c:v>
                </c:pt>
                <c:pt idx="48">
                  <c:v>62.476589729473027</c:v>
                </c:pt>
                <c:pt idx="49">
                  <c:v>62.128631691975954</c:v>
                </c:pt>
                <c:pt idx="50">
                  <c:v>61.779074617181294</c:v>
                </c:pt>
                <c:pt idx="51">
                  <c:v>61.427963467871052</c:v>
                </c:pt>
                <c:pt idx="52">
                  <c:v>61.075343713904985</c:v>
                </c:pt>
                <c:pt idx="53">
                  <c:v>60.721261243434093</c:v>
                </c:pt>
                <c:pt idx="54">
                  <c:v>60.365762278528443</c:v>
                </c:pt>
                <c:pt idx="55">
                  <c:v>60.008893295493394</c:v>
                </c:pt>
                <c:pt idx="56">
                  <c:v>59.650700950095185</c:v>
                </c:pt>
                <c:pt idx="57">
                  <c:v>59.291232007868892</c:v>
                </c:pt>
                <c:pt idx="58">
                  <c:v>58.930533279635</c:v>
                </c:pt>
                <c:pt idx="59">
                  <c:v>58.568651562305178</c:v>
                </c:pt>
                <c:pt idx="60">
                  <c:v>58.205633585015278</c:v>
                </c:pt>
                <c:pt idx="61">
                  <c:v>57.841525960588349</c:v>
                </c:pt>
                <c:pt idx="62">
                  <c:v>57.476375142291118</c:v>
                </c:pt>
                <c:pt idx="63">
                  <c:v>57.110227385817666</c:v>
                </c:pt>
                <c:pt idx="64">
                  <c:v>56.743128716404371</c:v>
                </c:pt>
                <c:pt idx="65">
                  <c:v>56.3751249009551</c:v>
                </c:pt>
                <c:pt idx="66">
                  <c:v>56.006261425032385</c:v>
                </c:pt>
                <c:pt idx="67">
                  <c:v>55.636583474551109</c:v>
                </c:pt>
                <c:pt idx="68">
                  <c:v>55.266135921996607</c:v>
                </c:pt>
                <c:pt idx="69">
                  <c:v>54.894963316970468</c:v>
                </c:pt>
                <c:pt idx="70">
                  <c:v>54.523109880862719</c:v>
                </c:pt>
                <c:pt idx="71">
                  <c:v>54.150619505433284</c:v>
                </c:pt>
                <c:pt idx="72">
                  <c:v>53.77753575508298</c:v>
                </c:pt>
                <c:pt idx="73">
                  <c:v>53.403901872587731</c:v>
                </c:pt>
                <c:pt idx="74">
                  <c:v>53.02976078806541</c:v>
                </c:pt>
                <c:pt idx="75">
                  <c:v>52.655155130943186</c:v>
                </c:pt>
                <c:pt idx="76">
                  <c:v>52.280127244691776</c:v>
                </c:pt>
                <c:pt idx="77">
                  <c:v>51.904719204093375</c:v>
                </c:pt>
                <c:pt idx="78">
                  <c:v>51.528972834809721</c:v>
                </c:pt>
                <c:pt idx="79">
                  <c:v>51.152929735018084</c:v>
                </c:pt>
                <c:pt idx="80">
                  <c:v>50.776631298885931</c:v>
                </c:pt>
                <c:pt idx="81">
                  <c:v>50.400118741653237</c:v>
                </c:pt>
                <c:pt idx="82">
                  <c:v>50.023433126098745</c:v>
                </c:pt>
                <c:pt idx="83">
                  <c:v>49.646615390161671</c:v>
                </c:pt>
                <c:pt idx="84">
                  <c:v>49.269706375498849</c:v>
                </c:pt>
                <c:pt idx="85">
                  <c:v>48.892746856752545</c:v>
                </c:pt>
                <c:pt idx="86">
                  <c:v>48.515777571310721</c:v>
                </c:pt>
                <c:pt idx="87">
                  <c:v>48.138839249338588</c:v>
                </c:pt>
                <c:pt idx="88">
                  <c:v>47.761972643862819</c:v>
                </c:pt>
                <c:pt idx="89">
                  <c:v>47.385218560688685</c:v>
                </c:pt>
                <c:pt idx="90">
                  <c:v>47.008617887932019</c:v>
                </c:pt>
                <c:pt idx="91">
                  <c:v>46.632211624944368</c:v>
                </c:pt>
                <c:pt idx="92">
                  <c:v>46.256040910410249</c:v>
                </c:pt>
                <c:pt idx="93">
                  <c:v>45.880147049396314</c:v>
                </c:pt>
                <c:pt idx="94">
                  <c:v>45.504571539123653</c:v>
                </c:pt>
                <c:pt idx="95">
                  <c:v>45.129356093242805</c:v>
                </c:pt>
                <c:pt idx="96">
                  <c:v>44.754542664378548</c:v>
                </c:pt>
                <c:pt idx="97">
                  <c:v>44.380173464718816</c:v>
                </c:pt>
                <c:pt idx="98">
                  <c:v>44.006290984413141</c:v>
                </c:pt>
                <c:pt idx="99">
                  <c:v>43.632938007551154</c:v>
                </c:pt>
                <c:pt idx="100">
                  <c:v>43.26015762548473</c:v>
                </c:pt>
                <c:pt idx="101">
                  <c:v>42.887993247262209</c:v>
                </c:pt>
                <c:pt idx="102">
                  <c:v>42.516488606940584</c:v>
                </c:pt>
                <c:pt idx="103">
                  <c:v>42.145687767544942</c:v>
                </c:pt>
                <c:pt idx="104">
                  <c:v>41.775635121446058</c:v>
                </c:pt>
                <c:pt idx="105">
                  <c:v>41.406375386933462</c:v>
                </c:pt>
                <c:pt idx="106">
                  <c:v>41.037953600764894</c:v>
                </c:pt>
                <c:pt idx="107">
                  <c:v>40.670415106483595</c:v>
                </c:pt>
                <c:pt idx="108">
                  <c:v>40.303805538303479</c:v>
                </c:pt>
                <c:pt idx="109">
                  <c:v>39.938170800375552</c:v>
                </c:pt>
                <c:pt idx="110">
                  <c:v>39.573557041264372</c:v>
                </c:pt>
                <c:pt idx="111">
                  <c:v>39.210010623480379</c:v>
                </c:pt>
                <c:pt idx="112">
                  <c:v>38.847578087936753</c:v>
                </c:pt>
                <c:pt idx="113">
                  <c:v>38.486306113220706</c:v>
                </c:pt>
                <c:pt idx="114">
                  <c:v>38.126241469599748</c:v>
                </c:pt>
                <c:pt idx="115">
                  <c:v>37.767430967710986</c:v>
                </c:pt>
                <c:pt idx="116">
                  <c:v>37.409921401917487</c:v>
                </c:pt>
                <c:pt idx="117">
                  <c:v>37.053759488351503</c:v>
                </c:pt>
                <c:pt idx="118">
                  <c:v>36.698991797705503</c:v>
                </c:pt>
                <c:pt idx="119">
                  <c:v>36.345664682874471</c:v>
                </c:pt>
                <c:pt idx="120">
                  <c:v>35.993824201599622</c:v>
                </c:pt>
                <c:pt idx="121">
                  <c:v>35.643516034311084</c:v>
                </c:pt>
                <c:pt idx="122">
                  <c:v>35.294785397419389</c:v>
                </c:pt>
                <c:pt idx="123">
                  <c:v>34.947676952354435</c:v>
                </c:pt>
                <c:pt idx="124">
                  <c:v>34.602234710707471</c:v>
                </c:pt>
                <c:pt idx="125">
                  <c:v>34.258501935881725</c:v>
                </c:pt>
                <c:pt idx="126">
                  <c:v>33.916521041711505</c:v>
                </c:pt>
                <c:pt idx="127">
                  <c:v>33.576333488562163</c:v>
                </c:pt>
                <c:pt idx="128">
                  <c:v>33.237979677471856</c:v>
                </c:pt>
                <c:pt idx="129">
                  <c:v>32.901498842942523</c:v>
                </c:pt>
                <c:pt idx="130">
                  <c:v>32.56692894503373</c:v>
                </c:pt>
                <c:pt idx="131">
                  <c:v>32.234306561447909</c:v>
                </c:pt>
                <c:pt idx="132">
                  <c:v>31.903666780331275</c:v>
                </c:pt>
                <c:pt idx="133">
                  <c:v>31.575043094539758</c:v>
                </c:pt>
                <c:pt idx="134">
                  <c:v>31.248467298139406</c:v>
                </c:pt>
                <c:pt idx="135">
                  <c:v>30.923969385923211</c:v>
                </c:pt>
                <c:pt idx="136">
                  <c:v>30.601577456727071</c:v>
                </c:pt>
                <c:pt idx="137">
                  <c:v>30.281317621323801</c:v>
                </c:pt>
                <c:pt idx="138">
                  <c:v>29.963213915657278</c:v>
                </c:pt>
                <c:pt idx="139">
                  <c:v>29.64728822015536</c:v>
                </c:pt>
                <c:pt idx="140">
                  <c:v>29.333560185823046</c:v>
                </c:pt>
                <c:pt idx="141">
                  <c:v>29.022047167777139</c:v>
                </c:pt>
                <c:pt idx="142">
                  <c:v>28.71276416682602</c:v>
                </c:pt>
                <c:pt idx="143">
                  <c:v>28.405723779641416</c:v>
                </c:pt>
                <c:pt idx="144">
                  <c:v>28.100936157995555</c:v>
                </c:pt>
                <c:pt idx="145">
                  <c:v>27.798408977462458</c:v>
                </c:pt>
                <c:pt idx="146">
                  <c:v>27.498147415900679</c:v>
                </c:pt>
                <c:pt idx="147">
                  <c:v>27.200154141946228</c:v>
                </c:pt>
                <c:pt idx="148">
                  <c:v>26.90442931365456</c:v>
                </c:pt>
                <c:pt idx="149">
                  <c:v>26.610970587339175</c:v>
                </c:pt>
                <c:pt idx="150">
                  <c:v>26.319773136559412</c:v>
                </c:pt>
                <c:pt idx="151">
                  <c:v>26.030829681119357</c:v>
                </c:pt>
                <c:pt idx="152">
                  <c:v>25.744130525849918</c:v>
                </c:pt>
                <c:pt idx="153">
                  <c:v>25.459663608857085</c:v>
                </c:pt>
                <c:pt idx="154">
                  <c:v>25.177414558841491</c:v>
                </c:pt>
                <c:pt idx="155">
                  <c:v>24.897366761016212</c:v>
                </c:pt>
                <c:pt idx="156">
                  <c:v>24.619501431082021</c:v>
                </c:pt>
                <c:pt idx="157">
                  <c:v>24.343797696657468</c:v>
                </c:pt>
                <c:pt idx="158">
                  <c:v>24.070232685512774</c:v>
                </c:pt>
                <c:pt idx="159">
                  <c:v>23.798781619908326</c:v>
                </c:pt>
                <c:pt idx="160">
                  <c:v>23.529417916309438</c:v>
                </c:pt>
                <c:pt idx="161">
                  <c:v>23.262113289723292</c:v>
                </c:pt>
                <c:pt idx="162">
                  <c:v>22.996837861889343</c:v>
                </c:pt>
                <c:pt idx="163">
                  <c:v>22.733560272551401</c:v>
                </c:pt>
                <c:pt idx="164">
                  <c:v>22.472247793040957</c:v>
                </c:pt>
                <c:pt idx="165">
                  <c:v>22.2128664414168</c:v>
                </c:pt>
                <c:pt idx="166">
                  <c:v>21.955381098422862</c:v>
                </c:pt>
                <c:pt idx="167">
                  <c:v>21.699755623557493</c:v>
                </c:pt>
                <c:pt idx="168">
                  <c:v>21.445952970577608</c:v>
                </c:pt>
                <c:pt idx="169">
                  <c:v>21.19393530180168</c:v>
                </c:pt>
                <c:pt idx="170">
                  <c:v>20.943664100620033</c:v>
                </c:pt>
                <c:pt idx="171">
                  <c:v>20.695100281666573</c:v>
                </c:pt>
                <c:pt idx="172">
                  <c:v>20.448204298155758</c:v>
                </c:pt>
                <c:pt idx="173">
                  <c:v>20.202936245943384</c:v>
                </c:pt>
                <c:pt idx="174">
                  <c:v>19.959255963916874</c:v>
                </c:pt>
                <c:pt idx="175">
                  <c:v>19.717123130381282</c:v>
                </c:pt>
                <c:pt idx="176">
                  <c:v>19.47649735515132</c:v>
                </c:pt>
                <c:pt idx="177">
                  <c:v>19.237338267118787</c:v>
                </c:pt>
                <c:pt idx="178">
                  <c:v>18.999605597108442</c:v>
                </c:pt>
                <c:pt idx="179">
                  <c:v>18.763259255887142</c:v>
                </c:pt>
                <c:pt idx="180">
                  <c:v>18.528259407233545</c:v>
                </c:pt>
                <c:pt idx="181">
                  <c:v>18.294566536018472</c:v>
                </c:pt>
                <c:pt idx="182">
                  <c:v>18.062141511286054</c:v>
                </c:pt>
                <c:pt idx="183">
                  <c:v>17.830945644358913</c:v>
                </c:pt>
                <c:pt idx="184">
                  <c:v>17.600940742027106</c:v>
                </c:pt>
                <c:pt idx="185">
                  <c:v>17.372089154904263</c:v>
                </c:pt>
                <c:pt idx="186">
                  <c:v>17.144353821064492</c:v>
                </c:pt>
                <c:pt idx="187">
                  <c:v>16.917698305093673</c:v>
                </c:pt>
                <c:pt idx="188">
                  <c:v>16.692086832706167</c:v>
                </c:pt>
                <c:pt idx="189">
                  <c:v>16.467484321097817</c:v>
                </c:pt>
                <c:pt idx="190">
                  <c:v>16.243856405214437</c:v>
                </c:pt>
                <c:pt idx="191">
                  <c:v>16.021169460128235</c:v>
                </c:pt>
                <c:pt idx="192">
                  <c:v>15.799390619720086</c:v>
                </c:pt>
                <c:pt idx="193">
                  <c:v>15.578487791872144</c:v>
                </c:pt>
                <c:pt idx="194">
                  <c:v>15.358429670376569</c:v>
                </c:pt>
                <c:pt idx="195">
                  <c:v>15.139185743769426</c:v>
                </c:pt>
                <c:pt idx="196">
                  <c:v>14.920726301294492</c:v>
                </c:pt>
                <c:pt idx="197">
                  <c:v>14.703022436203701</c:v>
                </c:pt>
                <c:pt idx="198">
                  <c:v>14.486046046594064</c:v>
                </c:pt>
                <c:pt idx="199">
                  <c:v>14.269769833977183</c:v>
                </c:pt>
                <c:pt idx="200">
                  <c:v>14.05416729977186</c:v>
                </c:pt>
                <c:pt idx="201">
                  <c:v>13.839212739904701</c:v>
                </c:pt>
                <c:pt idx="202">
                  <c:v>13.624881237693749</c:v>
                </c:pt>
                <c:pt idx="203">
                  <c:v>13.411148655185983</c:v>
                </c:pt>
                <c:pt idx="204">
                  <c:v>13.197991623108706</c:v>
                </c:pt>
                <c:pt idx="205">
                  <c:v>12.985387529588106</c:v>
                </c:pt>
                <c:pt idx="206">
                  <c:v>12.773314507779387</c:v>
                </c:pt>
                <c:pt idx="207">
                  <c:v>12.561751422544432</c:v>
                </c:pt>
                <c:pt idx="208">
                  <c:v>12.350677856304324</c:v>
                </c:pt>
                <c:pt idx="209">
                  <c:v>12.140074094185673</c:v>
                </c:pt>
                <c:pt idx="210">
                  <c:v>11.929921108572536</c:v>
                </c:pt>
                <c:pt idx="211">
                  <c:v>11.720200543165671</c:v>
                </c:pt>
                <c:pt idx="212">
                  <c:v>11.510894696644762</c:v>
                </c:pt>
                <c:pt idx="213">
                  <c:v>11.301986506020709</c:v>
                </c:pt>
                <c:pt idx="214">
                  <c:v>11.09345952975989</c:v>
                </c:pt>
                <c:pt idx="215">
                  <c:v>10.885297930750594</c:v>
                </c:pt>
                <c:pt idx="216">
                  <c:v>10.67748645918207</c:v>
                </c:pt>
                <c:pt idx="217">
                  <c:v>10.470010435393922</c:v>
                </c:pt>
                <c:pt idx="218">
                  <c:v>10.262855732752005</c:v>
                </c:pt>
                <c:pt idx="219">
                  <c:v>10.056008760599127</c:v>
                </c:pt>
                <c:pt idx="220">
                  <c:v>9.8494564473247959</c:v>
                </c:pt>
                <c:pt idx="221">
                  <c:v>9.6431862235921848</c:v>
                </c:pt>
                <c:pt idx="222">
                  <c:v>9.43718600575796</c:v>
                </c:pt>
                <c:pt idx="223">
                  <c:v>9.2314441795128381</c:v>
                </c:pt>
                <c:pt idx="224">
                  <c:v>9.0259495837711547</c:v>
                </c:pt>
                <c:pt idx="225">
                  <c:v>8.8206914948302622</c:v>
                </c:pt>
                <c:pt idx="226">
                  <c:v>8.6156596108191046</c:v>
                </c:pt>
                <c:pt idx="227">
                  <c:v>8.4108440364528434</c:v>
                </c:pt>
                <c:pt idx="228">
                  <c:v>8.2062352681035851</c:v>
                </c:pt>
                <c:pt idx="229">
                  <c:v>8.0018241792019289</c:v>
                </c:pt>
                <c:pt idx="230">
                  <c:v>7.7976020059724149</c:v>
                </c:pt>
                <c:pt idx="231">
                  <c:v>7.5935603335124702</c:v>
                </c:pt>
                <c:pt idx="232">
                  <c:v>7.3896910822159603</c:v>
                </c:pt>
                <c:pt idx="233">
                  <c:v>7.1859864945446175</c:v>
                </c:pt>
                <c:pt idx="234">
                  <c:v>6.9824391221465163</c:v>
                </c:pt>
                <c:pt idx="235">
                  <c:v>6.7790418133210846</c:v>
                </c:pt>
                <c:pt idx="236">
                  <c:v>6.5757877008275845</c:v>
                </c:pt>
                <c:pt idx="237">
                  <c:v>6.3726701900328333</c:v>
                </c:pt>
                <c:pt idx="238">
                  <c:v>6.1696829473936567</c:v>
                </c:pt>
                <c:pt idx="239">
                  <c:v>5.9668198892679527</c:v>
                </c:pt>
                <c:pt idx="240">
                  <c:v>5.7640751710470717</c:v>
                </c:pt>
                <c:pt idx="241">
                  <c:v>5.5614431766023511</c:v>
                </c:pt>
                <c:pt idx="242">
                  <c:v>5.3589185080364405</c:v>
                </c:pt>
                <c:pt idx="243">
                  <c:v>5.1564959757320041</c:v>
                </c:pt>
                <c:pt idx="244">
                  <c:v>4.954170588685642</c:v>
                </c:pt>
                <c:pt idx="245">
                  <c:v>4.7519375451190546</c:v>
                </c:pt>
                <c:pt idx="246">
                  <c:v>4.549792223355273</c:v>
                </c:pt>
                <c:pt idx="247">
                  <c:v>4.347730172949718</c:v>
                </c:pt>
                <c:pt idx="248">
                  <c:v>4.1457471060634123</c:v>
                </c:pt>
                <c:pt idx="249">
                  <c:v>3.9438388890669667</c:v>
                </c:pt>
                <c:pt idx="250">
                  <c:v>3.7420015343630064</c:v>
                </c:pt>
                <c:pt idx="251">
                  <c:v>3.5402311924136969</c:v>
                </c:pt>
                <c:pt idx="252">
                  <c:v>3.3385241439603215</c:v>
                </c:pt>
                <c:pt idx="253">
                  <c:v>3.1368767924214165</c:v>
                </c:pt>
                <c:pt idx="254">
                  <c:v>2.9352856564559451</c:v>
                </c:pt>
                <c:pt idx="255">
                  <c:v>2.7337473626753406</c:v>
                </c:pt>
                <c:pt idx="256">
                  <c:v>2.5322586384923667</c:v>
                </c:pt>
                <c:pt idx="257">
                  <c:v>2.3308163050882631</c:v>
                </c:pt>
                <c:pt idx="258">
                  <c:v>2.1294172704851504</c:v>
                </c:pt>
                <c:pt idx="259">
                  <c:v>1.9280585227055846</c:v>
                </c:pt>
                <c:pt idx="260">
                  <c:v>1.7267371230030313</c:v>
                </c:pt>
                <c:pt idx="261">
                  <c:v>1.5254501991450689</c:v>
                </c:pt>
                <c:pt idx="262">
                  <c:v>1.3241949387308463</c:v>
                </c:pt>
                <c:pt idx="263">
                  <c:v>1.1229685825254876</c:v>
                </c:pt>
                <c:pt idx="264">
                  <c:v>0.92176841778839558</c:v>
                </c:pt>
                <c:pt idx="265">
                  <c:v>0.72059177157622645</c:v>
                </c:pt>
                <c:pt idx="266">
                  <c:v>0.5194360039987157</c:v>
                </c:pt>
                <c:pt idx="267">
                  <c:v>0.31829850140247984</c:v>
                </c:pt>
                <c:pt idx="268">
                  <c:v>0.11717666946010556</c:v>
                </c:pt>
                <c:pt idx="269">
                  <c:v>-8.3932073863700718E-2</c:v>
                </c:pt>
                <c:pt idx="270">
                  <c:v>-0.28503030549431774</c:v>
                </c:pt>
                <c:pt idx="271">
                  <c:v>-0.48612060460910739</c:v>
                </c:pt>
                <c:pt idx="272">
                  <c:v>-0.68720556020963153</c:v>
                </c:pt>
                <c:pt idx="273">
                  <c:v>-0.88828777893671818</c:v>
                </c:pt>
                <c:pt idx="274">
                  <c:v>-1.0893698931663738</c:v>
                </c:pt>
                <c:pt idx="275">
                  <c:v>-1.2904545694228344</c:v>
                </c:pt>
                <c:pt idx="276">
                  <c:v>-1.4915445171512209</c:v>
                </c:pt>
                <c:pt idx="277">
                  <c:v>-1.6926424978935528</c:v>
                </c:pt>
                <c:pt idx="278">
                  <c:v>-1.8937513349159438</c:v>
                </c:pt>
                <c:pt idx="279">
                  <c:v>-2.0948739233386631</c:v>
                </c:pt>
                <c:pt idx="280">
                  <c:v>-2.2960132408234588</c:v>
                </c:pt>
                <c:pt idx="281">
                  <c:v>-2.497172358879431</c:v>
                </c:pt>
                <c:pt idx="282">
                  <c:v>-2.6983544548508753</c:v>
                </c:pt>
                <c:pt idx="283">
                  <c:v>-2.8995628246577625</c:v>
                </c:pt>
                <c:pt idx="284">
                  <c:v>-3.1008008963638329</c:v>
                </c:pt>
                <c:pt idx="285">
                  <c:v>-3.3020722446552551</c:v>
                </c:pt>
                <c:pt idx="286">
                  <c:v>-3.5033806063175299</c:v>
                </c:pt>
                <c:pt idx="287">
                  <c:v>-3.7047298968073719</c:v>
                </c:pt>
                <c:pt idx="288">
                  <c:v>-3.9061242280240971</c:v>
                </c:pt>
                <c:pt idx="289">
                  <c:v>-4.1075679273926262</c:v>
                </c:pt>
                <c:pt idx="290">
                  <c:v>-4.3090655583817705</c:v>
                </c:pt>
                <c:pt idx="291">
                  <c:v>-4.5106219425895215</c:v>
                </c:pt>
                <c:pt idx="292">
                  <c:v>-4.7122421835408783</c:v>
                </c:pt>
                <c:pt idx="293">
                  <c:v>-4.9139316923528948</c:v>
                </c:pt>
                <c:pt idx="294">
                  <c:v>-5.1156962154374463</c:v>
                </c:pt>
                <c:pt idx="295">
                  <c:v>-5.3175418644243386</c:v>
                </c:pt>
                <c:pt idx="296">
                  <c:v>-5.5194751485047169</c:v>
                </c:pt>
                <c:pt idx="297">
                  <c:v>-5.7215030094081953</c:v>
                </c:pt>
                <c:pt idx="298">
                  <c:v>-5.9236328592488094</c:v>
                </c:pt>
                <c:pt idx="299">
                  <c:v>-6.1258726214893322</c:v>
                </c:pt>
                <c:pt idx="300">
                  <c:v>-6.3282307752981204</c:v>
                </c:pt>
                <c:pt idx="301">
                  <c:v>-6.5307164035912715</c:v>
                </c:pt>
                <c:pt idx="302">
                  <c:v>-6.7333392450773353</c:v>
                </c:pt>
                <c:pt idx="303">
                  <c:v>-6.9361097506462155</c:v>
                </c:pt>
                <c:pt idx="304">
                  <c:v>-7.1390391444702637</c:v>
                </c:pt>
                <c:pt idx="305">
                  <c:v>-7.3421394902112649</c:v>
                </c:pt>
                <c:pt idx="306">
                  <c:v>-7.5454237627585368</c:v>
                </c:pt>
                <c:pt idx="307">
                  <c:v>-7.7489059259516404</c:v>
                </c:pt>
                <c:pt idx="308">
                  <c:v>-7.9526010167718191</c:v>
                </c:pt>
                <c:pt idx="309">
                  <c:v>-8.1565252365208885</c:v>
                </c:pt>
                <c:pt idx="310">
                  <c:v>-8.3606960495358447</c:v>
                </c:pt>
                <c:pt idx="311">
                  <c:v>-8.565132290023632</c:v>
                </c:pt>
                <c:pt idx="312">
                  <c:v>-8.769854277632211</c:v>
                </c:pt>
                <c:pt idx="313">
                  <c:v>-8.9748839424047073</c:v>
                </c:pt>
                <c:pt idx="314">
                  <c:v>-9.1802449597985252</c:v>
                </c:pt>
                <c:pt idx="315">
                  <c:v>-9.3859628964751192</c:v>
                </c:pt>
                <c:pt idx="316">
                  <c:v>-9.5920653675948948</c:v>
                </c:pt>
                <c:pt idx="317">
                  <c:v>-9.79858220637011</c:v>
                </c:pt>
                <c:pt idx="318">
                  <c:v>-10.005545646644308</c:v>
                </c:pt>
                <c:pt idx="319">
                  <c:v>-10.212990519271173</c:v>
                </c:pt>
                <c:pt idx="320">
                  <c:v>-10.420954463062479</c:v>
                </c:pt>
                <c:pt idx="321">
                  <c:v>-10.629478151056764</c:v>
                </c:pt>
                <c:pt idx="322">
                  <c:v>-10.838605532825348</c:v>
                </c:pt>
                <c:pt idx="323">
                  <c:v>-11.048384093480168</c:v>
                </c:pt>
                <c:pt idx="324">
                  <c:v>-11.258865129967884</c:v>
                </c:pt>
                <c:pt idx="325">
                  <c:v>-11.470104045129052</c:v>
                </c:pt>
                <c:pt idx="326">
                  <c:v>-11.682160659858251</c:v>
                </c:pt>
                <c:pt idx="327">
                  <c:v>-11.895099543519962</c:v>
                </c:pt>
                <c:pt idx="328">
                  <c:v>-12.108990362545013</c:v>
                </c:pt>
                <c:pt idx="329">
                  <c:v>-12.32390824684666</c:v>
                </c:pt>
                <c:pt idx="330">
                  <c:v>-12.539934173350431</c:v>
                </c:pt>
                <c:pt idx="331">
                  <c:v>-12.757155365509306</c:v>
                </c:pt>
                <c:pt idx="332">
                  <c:v>-12.975665707177477</c:v>
                </c:pt>
                <c:pt idx="333">
                  <c:v>-13.195566168628519</c:v>
                </c:pt>
                <c:pt idx="334">
                  <c:v>-13.416965241812282</c:v>
                </c:pt>
                <c:pt idx="335">
                  <c:v>-13.639979381154507</c:v>
                </c:pt>
                <c:pt idx="336">
                  <c:v>-13.864733445297475</c:v>
                </c:pt>
                <c:pt idx="337">
                  <c:v>-14.091361134156157</c:v>
                </c:pt>
                <c:pt idx="338">
                  <c:v>-14.320005414528779</c:v>
                </c:pt>
                <c:pt idx="339">
                  <c:v>-14.550818926247253</c:v>
                </c:pt>
                <c:pt idx="340">
                  <c:v>-14.783964359499437</c:v>
                </c:pt>
                <c:pt idx="341">
                  <c:v>-15.019614792518375</c:v>
                </c:pt>
                <c:pt idx="342">
                  <c:v>-15.257953977332523</c:v>
                </c:pt>
                <c:pt idx="343">
                  <c:v>-15.49917655975946</c:v>
                </c:pt>
                <c:pt idx="344">
                  <c:v>-15.74348821833912</c:v>
                </c:pt>
                <c:pt idx="345">
                  <c:v>-15.991105705517711</c:v>
                </c:pt>
                <c:pt idx="346">
                  <c:v>-16.242256773191006</c:v>
                </c:pt>
                <c:pt idx="347">
                  <c:v>-16.497179963786085</c:v>
                </c:pt>
                <c:pt idx="348">
                  <c:v>-16.756124247536366</c:v>
                </c:pt>
                <c:pt idx="349">
                  <c:v>-17.01934848658459</c:v>
                </c:pt>
                <c:pt idx="350">
                  <c:v>-17.287120707198934</c:v>
                </c:pt>
                <c:pt idx="351">
                  <c:v>-17.55971716282836</c:v>
                </c:pt>
                <c:pt idx="352">
                  <c:v>-17.837421173089268</c:v>
                </c:pt>
                <c:pt idx="353">
                  <c:v>-18.120521727198991</c:v>
                </c:pt>
                <c:pt idx="354">
                  <c:v>-18.409311844910928</c:v>
                </c:pt>
                <c:pt idx="355">
                  <c:v>-18.704086693726715</c:v>
                </c:pt>
                <c:pt idx="356">
                  <c:v>-19.005141468019506</c:v>
                </c:pt>
                <c:pt idx="357">
                  <c:v>-19.312769043605186</c:v>
                </c:pt>
                <c:pt idx="358">
                  <c:v>-19.627257430048733</c:v>
                </c:pt>
                <c:pt idx="359">
                  <c:v>-19.948887052300186</c:v>
                </c:pt>
                <c:pt idx="360">
                  <c:v>-20.277927902725843</c:v>
                </c:pt>
                <c:pt idx="361">
                  <c:v>-20.614636613756197</c:v>
                </c:pt>
                <c:pt idx="362">
                  <c:v>-20.959253509663004</c:v>
                </c:pt>
                <c:pt idx="363">
                  <c:v>-21.311999702820291</c:v>
                </c:pt>
                <c:pt idx="364">
                  <c:v>-21.673074304621103</c:v>
                </c:pt>
                <c:pt idx="365">
                  <c:v>-22.042651823485372</c:v>
                </c:pt>
                <c:pt idx="366">
                  <c:v>-22.420879821708265</c:v>
                </c:pt>
                <c:pt idx="367">
                  <c:v>-22.807876898998177</c:v>
                </c:pt>
                <c:pt idx="368">
                  <c:v>-23.203731063406035</c:v>
                </c:pt>
                <c:pt idx="369">
                  <c:v>-23.608498540117534</c:v>
                </c:pt>
                <c:pt idx="370">
                  <c:v>-24.02220305569578</c:v>
                </c:pt>
                <c:pt idx="371">
                  <c:v>-24.444835620419994</c:v>
                </c:pt>
                <c:pt idx="372">
                  <c:v>-24.876354815175446</c:v>
                </c:pt>
                <c:pt idx="373">
                  <c:v>-25.316687572786009</c:v>
                </c:pt>
                <c:pt idx="374">
                  <c:v>-25.765730427680261</c:v>
                </c:pt>
                <c:pt idx="375">
                  <c:v>-26.223351193209336</c:v>
                </c:pt>
                <c:pt idx="376">
                  <c:v>-26.689391013558922</c:v>
                </c:pt>
                <c:pt idx="377">
                  <c:v>-27.163666727585483</c:v>
                </c:pt>
                <c:pt idx="378">
                  <c:v>-27.645973475435074</c:v>
                </c:pt>
                <c:pt idx="379">
                  <c:v>-28.136087475588116</c:v>
                </c:pt>
                <c:pt idx="380">
                  <c:v>-28.633768899935433</c:v>
                </c:pt>
                <c:pt idx="381">
                  <c:v>-29.138764777344509</c:v>
                </c:pt>
                <c:pt idx="382">
                  <c:v>-29.650811861467265</c:v>
                </c:pt>
                <c:pt idx="383">
                  <c:v>-30.16963940576186</c:v>
                </c:pt>
                <c:pt idx="384">
                  <c:v>-30.694971797237937</c:v>
                </c:pt>
                <c:pt idx="385">
                  <c:v>-31.226531009733904</c:v>
                </c:pt>
                <c:pt idx="386">
                  <c:v>-31.764038847038375</c:v>
                </c:pt>
                <c:pt idx="387">
                  <c:v>-32.307218955426833</c:v>
                </c:pt>
                <c:pt idx="388">
                  <c:v>-32.855798593817752</c:v>
                </c:pt>
                <c:pt idx="389">
                  <c:v>-33.409510157495575</c:v>
                </c:pt>
                <c:pt idx="390">
                  <c:v>-33.968092458019356</c:v>
                </c:pt>
                <c:pt idx="391">
                  <c:v>-34.531291767461077</c:v>
                </c:pt>
                <c:pt idx="392">
                  <c:v>-35.098862639466788</c:v>
                </c:pt>
                <c:pt idx="393">
                  <c:v>-35.670568522883002</c:v>
                </c:pt>
                <c:pt idx="394">
                  <c:v>-36.24618218590355</c:v>
                </c:pt>
                <c:pt idx="395">
                  <c:v>-36.825485970012245</c:v>
                </c:pt>
                <c:pt idx="396">
                  <c:v>-37.408271893545191</c:v>
                </c:pt>
                <c:pt idx="397">
                  <c:v>-37.994341624613789</c:v>
                </c:pt>
                <c:pt idx="398">
                  <c:v>-38.58350634255693</c:v>
                </c:pt>
                <c:pt idx="399">
                  <c:v>-39.175586506146594</c:v>
                </c:pt>
                <c:pt idx="400">
                  <c:v>-39.770411545556627</c:v>
                </c:pt>
                <c:pt idx="401">
                  <c:v>-40.367819493740377</c:v>
                </c:pt>
                <c:pt idx="402">
                  <c:v>-40.967656571390314</c:v>
                </c:pt>
                <c:pt idx="403">
                  <c:v>-41.569776738169686</c:v>
                </c:pt>
                <c:pt idx="404">
                  <c:v>-42.174041221431992</c:v>
                </c:pt>
                <c:pt idx="405">
                  <c:v>-42.780318032233104</c:v>
                </c:pt>
                <c:pt idx="406">
                  <c:v>-43.388481477107618</c:v>
                </c:pt>
                <c:pt idx="407">
                  <c:v>-43.998411672841577</c:v>
                </c:pt>
                <c:pt idx="408">
                  <c:v>-44.60999407034145</c:v>
                </c:pt>
                <c:pt idx="409">
                  <c:v>-45.223118992668205</c:v>
                </c:pt>
                <c:pt idx="410">
                  <c:v>-45.837681191381932</c:v>
                </c:pt>
                <c:pt idx="411">
                  <c:v>-46.453579424518246</c:v>
                </c:pt>
                <c:pt idx="412">
                  <c:v>-47.07071605878221</c:v>
                </c:pt>
                <c:pt idx="413">
                  <c:v>-47.688996697901018</c:v>
                </c:pt>
                <c:pt idx="414">
                  <c:v>-48.308329838507419</c:v>
                </c:pt>
                <c:pt idx="415">
                  <c:v>-48.928626554420205</c:v>
                </c:pt>
                <c:pt idx="416">
                  <c:v>-49.549800209754522</c:v>
                </c:pt>
                <c:pt idx="417">
                  <c:v>-50.171766200904287</c:v>
                </c:pt>
                <c:pt idx="418">
                  <c:v>-50.794441727103148</c:v>
                </c:pt>
                <c:pt idx="419">
                  <c:v>-51.417745588975087</c:v>
                </c:pt>
                <c:pt idx="420">
                  <c:v>-52.041598014227631</c:v>
                </c:pt>
                <c:pt idx="421">
                  <c:v>-52.6659205094155</c:v>
                </c:pt>
                <c:pt idx="422">
                  <c:v>-53.290635736508392</c:v>
                </c:pt>
                <c:pt idx="423">
                  <c:v>-53.9156674128349</c:v>
                </c:pt>
                <c:pt idx="424">
                  <c:v>-54.540940232828149</c:v>
                </c:pt>
                <c:pt idx="425">
                  <c:v>-55.166379809891062</c:v>
                </c:pt>
                <c:pt idx="426">
                  <c:v>-55.791912636606668</c:v>
                </c:pt>
                <c:pt idx="427">
                  <c:v>-56.417466061446397</c:v>
                </c:pt>
                <c:pt idx="428">
                  <c:v>-57.042968280092616</c:v>
                </c:pt>
                <c:pt idx="429">
                  <c:v>-57.668348339466853</c:v>
                </c:pt>
                <c:pt idx="430">
                  <c:v>-58.293536152545613</c:v>
                </c:pt>
                <c:pt idx="431">
                  <c:v>-58.918462522080503</c:v>
                </c:pt>
                <c:pt idx="432">
                  <c:v>-59.543059171365314</c:v>
                </c:pt>
                <c:pt idx="433">
                  <c:v>-60.167258780262742</c:v>
                </c:pt>
                <c:pt idx="434">
                  <c:v>-60.790995024774482</c:v>
                </c:pt>
                <c:pt idx="435">
                  <c:v>-61.414202618535811</c:v>
                </c:pt>
                <c:pt idx="436">
                  <c:v>-62.036817354725628</c:v>
                </c:pt>
                <c:pt idx="437">
                  <c:v>-62.658776147006606</c:v>
                </c:pt>
                <c:pt idx="438">
                  <c:v>-63.280017068243161</c:v>
                </c:pt>
                <c:pt idx="439">
                  <c:v>-63.900479385891096</c:v>
                </c:pt>
                <c:pt idx="440">
                  <c:v>-64.520103593104466</c:v>
                </c:pt>
                <c:pt idx="441">
                  <c:v>-65.13883143476157</c:v>
                </c:pt>
                <c:pt idx="442">
                  <c:v>-65.75660592776876</c:v>
                </c:pt>
                <c:pt idx="443">
                  <c:v>-66.37337137516414</c:v>
                </c:pt>
                <c:pt idx="444">
                  <c:v>-66.989073373697366</c:v>
                </c:pt>
                <c:pt idx="445">
                  <c:v>-67.603658814716837</c:v>
                </c:pt>
                <c:pt idx="446">
                  <c:v>-68.217075878340367</c:v>
                </c:pt>
                <c:pt idx="447">
                  <c:v>-68.82927402102824</c:v>
                </c:pt>
                <c:pt idx="448">
                  <c:v>-69.440203956803046</c:v>
                </c:pt>
                <c:pt idx="449">
                  <c:v>-70.049817632485897</c:v>
                </c:pt>
                <c:pt idx="450">
                  <c:v>-70.658068197415318</c:v>
                </c:pt>
                <c:pt idx="451">
                  <c:v>-71.26490996822389</c:v>
                </c:pt>
                <c:pt idx="452">
                  <c:v>-71.870298389313149</c:v>
                </c:pt>
                <c:pt idx="453">
                  <c:v>-72.474189989748936</c:v>
                </c:pt>
                <c:pt idx="454">
                  <c:v>-73.076542337339404</c:v>
                </c:pt>
                <c:pt idx="455">
                  <c:v>-73.677313990712662</c:v>
                </c:pt>
                <c:pt idx="456">
                  <c:v>-74.276464450217631</c:v>
                </c:pt>
                <c:pt idx="457">
                  <c:v>-74.873954108508713</c:v>
                </c:pt>
                <c:pt idx="458">
                  <c:v>-75.469744201651594</c:v>
                </c:pt>
                <c:pt idx="459">
                  <c:v>-76.063796761595526</c:v>
                </c:pt>
                <c:pt idx="460">
                  <c:v>-76.656074570822568</c:v>
                </c:pt>
                <c:pt idx="461">
                  <c:v>-77.246541119956788</c:v>
                </c:pt>
                <c:pt idx="462">
                  <c:v>-77.835160569077885</c:v>
                </c:pt>
                <c:pt idx="463">
                  <c:v>-78.421897713422965</c:v>
                </c:pt>
                <c:pt idx="464">
                  <c:v>-79.006717954114322</c:v>
                </c:pt>
                <c:pt idx="465">
                  <c:v>-79.589587274477111</c:v>
                </c:pt>
                <c:pt idx="466">
                  <c:v>-80.170472222446577</c:v>
                </c:pt>
                <c:pt idx="467">
                  <c:v>-80.749339899482763</c:v>
                </c:pt>
                <c:pt idx="468">
                  <c:v>-81.326157956338548</c:v>
                </c:pt>
                <c:pt idx="469">
                  <c:v>-81.900894595937089</c:v>
                </c:pt>
                <c:pt idx="470">
                  <c:v>-82.473518583532552</c:v>
                </c:pt>
                <c:pt idx="471">
                  <c:v>-83.0439992642427</c:v>
                </c:pt>
                <c:pt idx="472">
                  <c:v>-83.612306587947799</c:v>
                </c:pt>
                <c:pt idx="473">
                  <c:v>-84.178411141469553</c:v>
                </c:pt>
                <c:pt idx="474">
                  <c:v>-84.742284187850956</c:v>
                </c:pt>
                <c:pt idx="475">
                  <c:v>-85.303897712471993</c:v>
                </c:pt>
                <c:pt idx="476">
                  <c:v>-85.863224475656239</c:v>
                </c:pt>
                <c:pt idx="477">
                  <c:v>-86.4202380713362</c:v>
                </c:pt>
                <c:pt idx="478">
                  <c:v>-86.974912991272646</c:v>
                </c:pt>
                <c:pt idx="479">
                  <c:v>-87.527224694248702</c:v>
                </c:pt>
                <c:pt idx="480">
                  <c:v>-88.077149679591841</c:v>
                </c:pt>
                <c:pt idx="481">
                  <c:v>-88.624665564315279</c:v>
                </c:pt>
                <c:pt idx="482">
                  <c:v>-89.169751163119443</c:v>
                </c:pt>
                <c:pt idx="483">
                  <c:v>-89.712386570442561</c:v>
                </c:pt>
                <c:pt idx="484">
                  <c:v>-90.252553243716832</c:v>
                </c:pt>
                <c:pt idx="485">
                  <c:v>-90.790234086954612</c:v>
                </c:pt>
                <c:pt idx="486">
                  <c:v>-91.3254135337707</c:v>
                </c:pt>
                <c:pt idx="487">
                  <c:v>-91.858077628941231</c:v>
                </c:pt>
                <c:pt idx="488">
                  <c:v>-92.388214107594592</c:v>
                </c:pt>
                <c:pt idx="489">
                  <c:v>-92.91581247115144</c:v>
                </c:pt>
                <c:pt idx="490">
                  <c:v>-93.440864059144957</c:v>
                </c:pt>
                <c:pt idx="491">
                  <c:v>-93.963362116094515</c:v>
                </c:pt>
                <c:pt idx="492">
                  <c:v>-94.483301852644672</c:v>
                </c:pt>
                <c:pt idx="493">
                  <c:v>-95.000680500238616</c:v>
                </c:pt>
                <c:pt idx="494">
                  <c:v>-95.51549735865791</c:v>
                </c:pt>
                <c:pt idx="495">
                  <c:v>-96.027753835832897</c:v>
                </c:pt>
                <c:pt idx="496">
                  <c:v>-96.537453479407759</c:v>
                </c:pt>
                <c:pt idx="497">
                  <c:v>-97.044601999628796</c:v>
                </c:pt>
                <c:pt idx="498">
                  <c:v>-97.549207283218138</c:v>
                </c:pt>
                <c:pt idx="499">
                  <c:v>-98.051279397988012</c:v>
                </c:pt>
                <c:pt idx="500">
                  <c:v>-98.550830588047532</c:v>
                </c:pt>
                <c:pt idx="501">
                  <c:v>-99.047875259554345</c:v>
                </c:pt>
                <c:pt idx="502">
                  <c:v>-99.542429957058914</c:v>
                </c:pt>
                <c:pt idx="503">
                  <c:v>-100.03451333058409</c:v>
                </c:pt>
                <c:pt idx="504">
                  <c:v>-100.52414609367682</c:v>
                </c:pt>
                <c:pt idx="505">
                  <c:v>-101.01135097275417</c:v>
                </c:pt>
                <c:pt idx="506">
                  <c:v>-101.49615264814658</c:v>
                </c:pt>
                <c:pt idx="507">
                  <c:v>-101.97857768731691</c:v>
                </c:pt>
                <c:pt idx="508">
                  <c:v>-102.45865447079771</c:v>
                </c:pt>
                <c:pt idx="509">
                  <c:v>-102.93641311144923</c:v>
                </c:pt>
                <c:pt idx="510">
                  <c:v>-103.41188536768441</c:v>
                </c:pt>
                <c:pt idx="511">
                  <c:v>-103.88510455135068</c:v>
                </c:pt>
                <c:pt idx="512">
                  <c:v>-104.35610543098204</c:v>
                </c:pt>
                <c:pt idx="513">
                  <c:v>-104.82492413115779</c:v>
                </c:pt>
                <c:pt idx="514">
                  <c:v>-105.2915980287098</c:v>
                </c:pt>
                <c:pt idx="515">
                  <c:v>-105.75616564652407</c:v>
                </c:pt>
                <c:pt idx="516">
                  <c:v>-106.21866654566904</c:v>
                </c:pt>
                <c:pt idx="517">
                  <c:v>-106.67914121657148</c:v>
                </c:pt>
                <c:pt idx="518">
                  <c:v>-107.13763096993222</c:v>
                </c:pt>
                <c:pt idx="519">
                  <c:v>-107.59417782804459</c:v>
                </c:pt>
                <c:pt idx="520">
                  <c:v>-108.04882441714456</c:v>
                </c:pt>
                <c:pt idx="521">
                  <c:v>-108.50161386137572</c:v>
                </c:pt>
                <c:pt idx="522">
                  <c:v>-108.95258967891056</c:v>
                </c:pt>
                <c:pt idx="523">
                  <c:v>-109.40179568072138</c:v>
                </c:pt>
                <c:pt idx="524">
                  <c:v>-109.84927587244138</c:v>
                </c:pt>
                <c:pt idx="525">
                  <c:v>-110.29507435970906</c:v>
                </c:pt>
                <c:pt idx="526">
                  <c:v>-110.73923525733298</c:v>
                </c:pt>
                <c:pt idx="527">
                  <c:v>-111.18180260256622</c:v>
                </c:pt>
                <c:pt idx="528">
                  <c:v>-111.62282027272654</c:v>
                </c:pt>
                <c:pt idx="529">
                  <c:v>-112.06233190735273</c:v>
                </c:pt>
                <c:pt idx="530">
                  <c:v>-112.50038083503361</c:v>
                </c:pt>
                <c:pt idx="531">
                  <c:v>-112.93701000501247</c:v>
                </c:pt>
                <c:pt idx="532">
                  <c:v>-113.37226192361427</c:v>
                </c:pt>
                <c:pt idx="533">
                  <c:v>-113.80617859551907</c:v>
                </c:pt>
                <c:pt idx="534">
                  <c:v>-114.23880146985562</c:v>
                </c:pt>
                <c:pt idx="535">
                  <c:v>-114.67017139106611</c:v>
                </c:pt>
                <c:pt idx="536">
                  <c:v>-115.10032855446028</c:v>
                </c:pt>
                <c:pt idx="537">
                  <c:v>-115.52931246635218</c:v>
                </c:pt>
                <c:pt idx="538">
                  <c:v>-115.95716190865124</c:v>
                </c:pt>
                <c:pt idx="539">
                  <c:v>-116.38391490775753</c:v>
                </c:pt>
                <c:pt idx="540">
                  <c:v>-116.80960870760035</c:v>
                </c:pt>
                <c:pt idx="541">
                  <c:v>-117.23427974664175</c:v>
                </c:pt>
              </c:numCache>
            </c:numRef>
          </c:yVal>
          <c:smooth val="1"/>
          <c:extLst>
            <c:ext xmlns:c16="http://schemas.microsoft.com/office/drawing/2014/chart" uri="{C3380CC4-5D6E-409C-BE32-E72D297353CC}">
              <c16:uniqueId val="{00000000-F188-4D39-B62C-FFCB026FFDB3}"/>
            </c:ext>
          </c:extLst>
        </c:ser>
        <c:dLbls>
          <c:showLegendKey val="0"/>
          <c:showVal val="0"/>
          <c:showCatName val="0"/>
          <c:showSerName val="0"/>
          <c:showPercent val="0"/>
          <c:showBubbleSize val="0"/>
        </c:dLbls>
        <c:axId val="160959104"/>
        <c:axId val="160985856"/>
      </c:scatterChart>
      <c:scatterChart>
        <c:scatterStyle val="smoothMarker"/>
        <c:varyColors val="0"/>
        <c:ser>
          <c:idx val="1"/>
          <c:order val="1"/>
          <c:tx>
            <c:v>Phase (deg)</c:v>
          </c:tx>
          <c:spPr>
            <a:ln w="38100">
              <a:solidFill>
                <a:schemeClr val="tx1">
                  <a:lumMod val="95000"/>
                  <a:lumOff val="5000"/>
                </a:schemeClr>
              </a:solidFill>
              <a:prstDash val="sysDash"/>
            </a:ln>
          </c:spPr>
          <c:marker>
            <c:symbol val="none"/>
          </c:marker>
          <c:xVal>
            <c:numRef>
              <c:f>Loop_Modeling!$O$19:$O$560</c:f>
              <c:numCache>
                <c:formatCode>0.00</c:formatCode>
                <c:ptCount val="542"/>
                <c:pt idx="0">
                  <c:v>10.232929922807543</c:v>
                </c:pt>
                <c:pt idx="1">
                  <c:v>10.471285480509</c:v>
                </c:pt>
                <c:pt idx="2">
                  <c:v>10.715193052376069</c:v>
                </c:pt>
                <c:pt idx="3">
                  <c:v>10.964781961431854</c:v>
                </c:pt>
                <c:pt idx="4">
                  <c:v>11.220184543019636</c:v>
                </c:pt>
                <c:pt idx="5">
                  <c:v>11.481536214968834</c:v>
                </c:pt>
                <c:pt idx="6">
                  <c:v>11.748975549395301</c:v>
                </c:pt>
                <c:pt idx="7">
                  <c:v>12.022644346174133</c:v>
                </c:pt>
                <c:pt idx="8">
                  <c:v>12.302687708123818</c:v>
                </c:pt>
                <c:pt idx="9">
                  <c:v>12.58925411794168</c:v>
                </c:pt>
                <c:pt idx="10">
                  <c:v>12.882495516931346</c:v>
                </c:pt>
                <c:pt idx="11">
                  <c:v>13.182567385564075</c:v>
                </c:pt>
                <c:pt idx="12">
                  <c:v>13.489628825916535</c:v>
                </c:pt>
                <c:pt idx="13">
                  <c:v>13.803842646028857</c:v>
                </c:pt>
                <c:pt idx="14">
                  <c:v>14.125375446227544</c:v>
                </c:pt>
                <c:pt idx="15">
                  <c:v>14.454397707459275</c:v>
                </c:pt>
                <c:pt idx="16">
                  <c:v>14.791083881682074</c:v>
                </c:pt>
                <c:pt idx="17">
                  <c:v>15.135612484362087</c:v>
                </c:pt>
                <c:pt idx="18">
                  <c:v>15.488166189124817</c:v>
                </c:pt>
                <c:pt idx="19">
                  <c:v>15.848931924611136</c:v>
                </c:pt>
                <c:pt idx="20">
                  <c:v>16.218100973589298</c:v>
                </c:pt>
                <c:pt idx="21">
                  <c:v>16.595869074375614</c:v>
                </c:pt>
                <c:pt idx="22">
                  <c:v>16.982436524617448</c:v>
                </c:pt>
                <c:pt idx="23">
                  <c:v>17.378008287493756</c:v>
                </c:pt>
                <c:pt idx="24">
                  <c:v>17.782794100389236</c:v>
                </c:pt>
                <c:pt idx="25">
                  <c:v>18.197008586099841</c:v>
                </c:pt>
                <c:pt idx="26">
                  <c:v>18.62087136662868</c:v>
                </c:pt>
                <c:pt idx="27">
                  <c:v>19.054607179632477</c:v>
                </c:pt>
                <c:pt idx="28">
                  <c:v>19.498445997580465</c:v>
                </c:pt>
                <c:pt idx="29">
                  <c:v>19.952623149688804</c:v>
                </c:pt>
                <c:pt idx="30">
                  <c:v>20.4173794466953</c:v>
                </c:pt>
                <c:pt idx="31">
                  <c:v>20.8929613085404</c:v>
                </c:pt>
                <c:pt idx="32">
                  <c:v>21.379620895022335</c:v>
                </c:pt>
                <c:pt idx="33">
                  <c:v>21.877616239495538</c:v>
                </c:pt>
                <c:pt idx="34">
                  <c:v>22.387211385683404</c:v>
                </c:pt>
                <c:pt idx="35">
                  <c:v>22.908676527677727</c:v>
                </c:pt>
                <c:pt idx="36">
                  <c:v>23.442288153199236</c:v>
                </c:pt>
                <c:pt idx="37">
                  <c:v>23.988329190194907</c:v>
                </c:pt>
                <c:pt idx="38">
                  <c:v>24.547089156850316</c:v>
                </c:pt>
                <c:pt idx="39">
                  <c:v>25.118864315095799</c:v>
                </c:pt>
                <c:pt idx="40">
                  <c:v>25.703957827688647</c:v>
                </c:pt>
                <c:pt idx="41">
                  <c:v>26.302679918953825</c:v>
                </c:pt>
                <c:pt idx="42">
                  <c:v>26.915348039269158</c:v>
                </c:pt>
                <c:pt idx="43">
                  <c:v>27.542287033381665</c:v>
                </c:pt>
                <c:pt idx="44">
                  <c:v>28.183829312644548</c:v>
                </c:pt>
                <c:pt idx="45">
                  <c:v>28.840315031266066</c:v>
                </c:pt>
                <c:pt idx="46">
                  <c:v>29.512092266663863</c:v>
                </c:pt>
                <c:pt idx="47">
                  <c:v>30.199517204020164</c:v>
                </c:pt>
                <c:pt idx="48">
                  <c:v>30.902954325135919</c:v>
                </c:pt>
                <c:pt idx="49">
                  <c:v>31.622776601683803</c:v>
                </c:pt>
                <c:pt idx="50">
                  <c:v>32.359365692962832</c:v>
                </c:pt>
                <c:pt idx="51">
                  <c:v>33.113112148259127</c:v>
                </c:pt>
                <c:pt idx="52">
                  <c:v>33.884415613920268</c:v>
                </c:pt>
                <c:pt idx="53">
                  <c:v>34.67368504525318</c:v>
                </c:pt>
                <c:pt idx="54">
                  <c:v>35.481338923357555</c:v>
                </c:pt>
                <c:pt idx="55">
                  <c:v>36.307805477010156</c:v>
                </c:pt>
                <c:pt idx="56">
                  <c:v>37.15352290971726</c:v>
                </c:pt>
                <c:pt idx="57">
                  <c:v>38.018939632056139</c:v>
                </c:pt>
                <c:pt idx="58">
                  <c:v>38.904514499428053</c:v>
                </c:pt>
                <c:pt idx="59">
                  <c:v>39.810717055349755</c:v>
                </c:pt>
                <c:pt idx="60">
                  <c:v>40.738027780411279</c:v>
                </c:pt>
                <c:pt idx="61">
                  <c:v>41.686938347033561</c:v>
                </c:pt>
                <c:pt idx="62">
                  <c:v>42.657951880159267</c:v>
                </c:pt>
                <c:pt idx="63">
                  <c:v>43.651583224016633</c:v>
                </c:pt>
                <c:pt idx="64">
                  <c:v>44.668359215096324</c:v>
                </c:pt>
                <c:pt idx="65">
                  <c:v>45.70881896148753</c:v>
                </c:pt>
                <c:pt idx="66">
                  <c:v>46.773514128719818</c:v>
                </c:pt>
                <c:pt idx="67">
                  <c:v>47.863009232263877</c:v>
                </c:pt>
                <c:pt idx="68">
                  <c:v>48.977881936844632</c:v>
                </c:pt>
                <c:pt idx="69">
                  <c:v>50.118723362727238</c:v>
                </c:pt>
                <c:pt idx="70">
                  <c:v>51.28613839913649</c:v>
                </c:pt>
                <c:pt idx="71">
                  <c:v>52.480746024977286</c:v>
                </c:pt>
                <c:pt idx="72">
                  <c:v>53.703179637025293</c:v>
                </c:pt>
                <c:pt idx="73">
                  <c:v>54.95408738576247</c:v>
                </c:pt>
                <c:pt idx="74">
                  <c:v>56.234132519034915</c:v>
                </c:pt>
                <c:pt idx="75">
                  <c:v>57.543993733715695</c:v>
                </c:pt>
                <c:pt idx="76">
                  <c:v>58.884365535558949</c:v>
                </c:pt>
                <c:pt idx="77">
                  <c:v>60.255958607435822</c:v>
                </c:pt>
                <c:pt idx="78">
                  <c:v>61.659500186148257</c:v>
                </c:pt>
                <c:pt idx="79">
                  <c:v>63.095734448019364</c:v>
                </c:pt>
                <c:pt idx="80">
                  <c:v>64.565422903465588</c:v>
                </c:pt>
                <c:pt idx="81">
                  <c:v>66.069344800759623</c:v>
                </c:pt>
                <c:pt idx="82">
                  <c:v>67.60829753919819</c:v>
                </c:pt>
                <c:pt idx="83">
                  <c:v>69.183097091893657</c:v>
                </c:pt>
                <c:pt idx="84">
                  <c:v>70.794578438413865</c:v>
                </c:pt>
                <c:pt idx="85">
                  <c:v>72.443596007499011</c:v>
                </c:pt>
                <c:pt idx="86">
                  <c:v>74.131024130091816</c:v>
                </c:pt>
                <c:pt idx="87">
                  <c:v>75.857757502918361</c:v>
                </c:pt>
                <c:pt idx="88">
                  <c:v>77.624711662869217</c:v>
                </c:pt>
                <c:pt idx="89">
                  <c:v>79.432823472428197</c:v>
                </c:pt>
                <c:pt idx="90">
                  <c:v>81.283051616409963</c:v>
                </c:pt>
                <c:pt idx="91">
                  <c:v>83.176377110267126</c:v>
                </c:pt>
                <c:pt idx="92">
                  <c:v>85.113803820237734</c:v>
                </c:pt>
                <c:pt idx="93">
                  <c:v>87.096358995608071</c:v>
                </c:pt>
                <c:pt idx="94">
                  <c:v>89.125093813374562</c:v>
                </c:pt>
                <c:pt idx="95">
                  <c:v>91.201083935590972</c:v>
                </c:pt>
                <c:pt idx="96">
                  <c:v>93.325430079699174</c:v>
                </c:pt>
                <c:pt idx="97">
                  <c:v>95.499258602143655</c:v>
                </c:pt>
                <c:pt idx="98">
                  <c:v>97.723722095581124</c:v>
                </c:pt>
                <c:pt idx="99">
                  <c:v>100</c:v>
                </c:pt>
                <c:pt idx="100">
                  <c:v>102.32929922807544</c:v>
                </c:pt>
                <c:pt idx="101">
                  <c:v>104.71285480508998</c:v>
                </c:pt>
                <c:pt idx="102">
                  <c:v>107.15193052376065</c:v>
                </c:pt>
                <c:pt idx="103">
                  <c:v>109.64781961431861</c:v>
                </c:pt>
                <c:pt idx="104">
                  <c:v>112.20184543019634</c:v>
                </c:pt>
                <c:pt idx="105">
                  <c:v>114.81536214968835</c:v>
                </c:pt>
                <c:pt idx="106">
                  <c:v>117.48975549395293</c:v>
                </c:pt>
                <c:pt idx="107">
                  <c:v>120.22644346174135</c:v>
                </c:pt>
                <c:pt idx="108">
                  <c:v>123.02687708123821</c:v>
                </c:pt>
                <c:pt idx="109">
                  <c:v>125.89254117941677</c:v>
                </c:pt>
                <c:pt idx="110">
                  <c:v>128.82495516931343</c:v>
                </c:pt>
                <c:pt idx="111">
                  <c:v>131.82567385564084</c:v>
                </c:pt>
                <c:pt idx="112">
                  <c:v>134.89628825916537</c:v>
                </c:pt>
                <c:pt idx="113">
                  <c:v>138.0384264602886</c:v>
                </c:pt>
                <c:pt idx="114">
                  <c:v>141.25375446227542</c:v>
                </c:pt>
                <c:pt idx="115">
                  <c:v>144.54397707459285</c:v>
                </c:pt>
                <c:pt idx="116">
                  <c:v>147.91083881682084</c:v>
                </c:pt>
                <c:pt idx="117">
                  <c:v>151.3561248436209</c:v>
                </c:pt>
                <c:pt idx="118">
                  <c:v>154.8816618912482</c:v>
                </c:pt>
                <c:pt idx="119">
                  <c:v>158.48931924611153</c:v>
                </c:pt>
                <c:pt idx="120">
                  <c:v>162.18100973589304</c:v>
                </c:pt>
                <c:pt idx="121">
                  <c:v>165.95869074375622</c:v>
                </c:pt>
                <c:pt idx="122">
                  <c:v>169.82436524617444</c:v>
                </c:pt>
                <c:pt idx="123">
                  <c:v>173.78008287493768</c:v>
                </c:pt>
                <c:pt idx="124">
                  <c:v>177.82794100389242</c:v>
                </c:pt>
                <c:pt idx="125">
                  <c:v>181.9700858609983</c:v>
                </c:pt>
                <c:pt idx="126">
                  <c:v>186.20871366628685</c:v>
                </c:pt>
                <c:pt idx="127">
                  <c:v>190.54607179632498</c:v>
                </c:pt>
                <c:pt idx="128">
                  <c:v>194.98445997580458</c:v>
                </c:pt>
                <c:pt idx="129">
                  <c:v>199.52623149688802</c:v>
                </c:pt>
                <c:pt idx="130">
                  <c:v>204.17379446695315</c:v>
                </c:pt>
                <c:pt idx="131">
                  <c:v>208.92961308540396</c:v>
                </c:pt>
                <c:pt idx="132">
                  <c:v>213.79620895022339</c:v>
                </c:pt>
                <c:pt idx="133">
                  <c:v>218.77616239495524</c:v>
                </c:pt>
                <c:pt idx="134">
                  <c:v>223.87211385683412</c:v>
                </c:pt>
                <c:pt idx="135">
                  <c:v>229.08676527677744</c:v>
                </c:pt>
                <c:pt idx="136">
                  <c:v>234.42288153199232</c:v>
                </c:pt>
                <c:pt idx="137">
                  <c:v>239.88329190194912</c:v>
                </c:pt>
                <c:pt idx="138">
                  <c:v>245.4708915685033</c:v>
                </c:pt>
                <c:pt idx="139">
                  <c:v>251.18864315095806</c:v>
                </c:pt>
                <c:pt idx="140">
                  <c:v>257.03957827688663</c:v>
                </c:pt>
                <c:pt idx="141">
                  <c:v>263.02679918953817</c:v>
                </c:pt>
                <c:pt idx="142">
                  <c:v>269.15348039269179</c:v>
                </c:pt>
                <c:pt idx="143">
                  <c:v>275.42287033381683</c:v>
                </c:pt>
                <c:pt idx="144">
                  <c:v>281.83829312644554</c:v>
                </c:pt>
                <c:pt idx="145">
                  <c:v>288.40315031266073</c:v>
                </c:pt>
                <c:pt idx="146">
                  <c:v>295.12092266663871</c:v>
                </c:pt>
                <c:pt idx="147">
                  <c:v>301.99517204020168</c:v>
                </c:pt>
                <c:pt idx="148">
                  <c:v>309.02954325135937</c:v>
                </c:pt>
                <c:pt idx="149">
                  <c:v>316.22776601683825</c:v>
                </c:pt>
                <c:pt idx="150">
                  <c:v>323.59365692962825</c:v>
                </c:pt>
                <c:pt idx="151">
                  <c:v>331.13112148259137</c:v>
                </c:pt>
                <c:pt idx="152">
                  <c:v>338.84415613920277</c:v>
                </c:pt>
                <c:pt idx="153">
                  <c:v>346.73685045253183</c:v>
                </c:pt>
                <c:pt idx="154">
                  <c:v>354.81338923357566</c:v>
                </c:pt>
                <c:pt idx="155">
                  <c:v>363.07805477010152</c:v>
                </c:pt>
                <c:pt idx="156">
                  <c:v>371.53522909717265</c:v>
                </c:pt>
                <c:pt idx="157">
                  <c:v>380.18939632056163</c:v>
                </c:pt>
                <c:pt idx="158">
                  <c:v>389.04514499428063</c:v>
                </c:pt>
                <c:pt idx="159">
                  <c:v>398.10717055349761</c:v>
                </c:pt>
                <c:pt idx="160">
                  <c:v>407.38027780411272</c:v>
                </c:pt>
                <c:pt idx="161">
                  <c:v>416.86938347033572</c:v>
                </c:pt>
                <c:pt idx="162">
                  <c:v>426.57951880159294</c:v>
                </c:pt>
                <c:pt idx="163">
                  <c:v>436.51583224016622</c:v>
                </c:pt>
                <c:pt idx="164">
                  <c:v>446.68359215096331</c:v>
                </c:pt>
                <c:pt idx="165">
                  <c:v>457.0881896148756</c:v>
                </c:pt>
                <c:pt idx="166">
                  <c:v>467.7351412871983</c:v>
                </c:pt>
                <c:pt idx="167">
                  <c:v>478.63009232263886</c:v>
                </c:pt>
                <c:pt idx="168">
                  <c:v>489.77881936844625</c:v>
                </c:pt>
                <c:pt idx="169">
                  <c:v>501.18723362727269</c:v>
                </c:pt>
                <c:pt idx="170">
                  <c:v>512.86138399136519</c:v>
                </c:pt>
                <c:pt idx="171">
                  <c:v>524.80746024977248</c:v>
                </c:pt>
                <c:pt idx="172">
                  <c:v>537.03179637025301</c:v>
                </c:pt>
                <c:pt idx="173">
                  <c:v>549.54087385762534</c:v>
                </c:pt>
                <c:pt idx="174">
                  <c:v>562.34132519034927</c:v>
                </c:pt>
                <c:pt idx="175">
                  <c:v>575.43993733715706</c:v>
                </c:pt>
                <c:pt idx="176">
                  <c:v>588.84365535558959</c:v>
                </c:pt>
                <c:pt idx="177">
                  <c:v>602.55958607435832</c:v>
                </c:pt>
                <c:pt idx="178">
                  <c:v>616.59500186148273</c:v>
                </c:pt>
                <c:pt idx="179">
                  <c:v>630.95734448019323</c:v>
                </c:pt>
                <c:pt idx="180">
                  <c:v>645.65422903465594</c:v>
                </c:pt>
                <c:pt idx="181">
                  <c:v>660.69344800759643</c:v>
                </c:pt>
                <c:pt idx="182">
                  <c:v>676.08297539198213</c:v>
                </c:pt>
                <c:pt idx="183">
                  <c:v>691.83097091893671</c:v>
                </c:pt>
                <c:pt idx="184">
                  <c:v>707.94578438413873</c:v>
                </c:pt>
                <c:pt idx="185">
                  <c:v>724.43596007499025</c:v>
                </c:pt>
                <c:pt idx="186">
                  <c:v>741.31024130091828</c:v>
                </c:pt>
                <c:pt idx="187">
                  <c:v>758.57757502918378</c:v>
                </c:pt>
                <c:pt idx="188">
                  <c:v>776.24711662869231</c:v>
                </c:pt>
                <c:pt idx="189">
                  <c:v>794.32823472428208</c:v>
                </c:pt>
                <c:pt idx="190">
                  <c:v>812.83051616409978</c:v>
                </c:pt>
                <c:pt idx="191">
                  <c:v>831.7637711026714</c:v>
                </c:pt>
                <c:pt idx="192">
                  <c:v>851.13803820237763</c:v>
                </c:pt>
                <c:pt idx="193">
                  <c:v>870.96358995608091</c:v>
                </c:pt>
                <c:pt idx="194">
                  <c:v>891.25093813374656</c:v>
                </c:pt>
                <c:pt idx="195">
                  <c:v>912.01083935590987</c:v>
                </c:pt>
                <c:pt idx="196">
                  <c:v>933.25430079699106</c:v>
                </c:pt>
                <c:pt idx="197">
                  <c:v>954.99258602143675</c:v>
                </c:pt>
                <c:pt idx="198">
                  <c:v>977.23722095581138</c:v>
                </c:pt>
                <c:pt idx="199">
                  <c:v>1000</c:v>
                </c:pt>
                <c:pt idx="200">
                  <c:v>1023.2929922807547</c:v>
                </c:pt>
                <c:pt idx="201">
                  <c:v>1047.1285480509</c:v>
                </c:pt>
                <c:pt idx="202">
                  <c:v>1071.5193052376069</c:v>
                </c:pt>
                <c:pt idx="203">
                  <c:v>1096.4781961431863</c:v>
                </c:pt>
                <c:pt idx="204">
                  <c:v>1122.0184543019636</c:v>
                </c:pt>
                <c:pt idx="205">
                  <c:v>1148.1536214968839</c:v>
                </c:pt>
                <c:pt idx="206">
                  <c:v>1174.8975549395295</c:v>
                </c:pt>
                <c:pt idx="207">
                  <c:v>1202.2644346174138</c:v>
                </c:pt>
                <c:pt idx="208">
                  <c:v>1230.2687708123824</c:v>
                </c:pt>
                <c:pt idx="209">
                  <c:v>1258.925411794168</c:v>
                </c:pt>
                <c:pt idx="210">
                  <c:v>1288.2495516931347</c:v>
                </c:pt>
                <c:pt idx="211">
                  <c:v>1318.2567385564089</c:v>
                </c:pt>
                <c:pt idx="212">
                  <c:v>1348.9628825916541</c:v>
                </c:pt>
                <c:pt idx="213">
                  <c:v>1380.3842646028863</c:v>
                </c:pt>
                <c:pt idx="214">
                  <c:v>1412.5375446227545</c:v>
                </c:pt>
                <c:pt idx="215">
                  <c:v>1445.4397707459289</c:v>
                </c:pt>
                <c:pt idx="216">
                  <c:v>1479.1083881682086</c:v>
                </c:pt>
                <c:pt idx="217">
                  <c:v>1513.5612484362093</c:v>
                </c:pt>
                <c:pt idx="218">
                  <c:v>1548.8166189124822</c:v>
                </c:pt>
                <c:pt idx="219">
                  <c:v>1584.8931924611156</c:v>
                </c:pt>
                <c:pt idx="220">
                  <c:v>1621.8100973589308</c:v>
                </c:pt>
                <c:pt idx="221">
                  <c:v>1659.5869074375626</c:v>
                </c:pt>
                <c:pt idx="222">
                  <c:v>1698.2436524617447</c:v>
                </c:pt>
                <c:pt idx="223">
                  <c:v>1737.8008287493772</c:v>
                </c:pt>
                <c:pt idx="224">
                  <c:v>1778.2794100389244</c:v>
                </c:pt>
                <c:pt idx="225">
                  <c:v>1819.7008586099832</c:v>
                </c:pt>
                <c:pt idx="226">
                  <c:v>1862.0871366628687</c:v>
                </c:pt>
                <c:pt idx="227">
                  <c:v>1905.4607179632501</c:v>
                </c:pt>
                <c:pt idx="228">
                  <c:v>1949.8445997580463</c:v>
                </c:pt>
                <c:pt idx="229">
                  <c:v>1995.2623149688804</c:v>
                </c:pt>
                <c:pt idx="230">
                  <c:v>2041.7379446695318</c:v>
                </c:pt>
                <c:pt idx="231">
                  <c:v>2089.2961308540398</c:v>
                </c:pt>
                <c:pt idx="232">
                  <c:v>2137.9620895022344</c:v>
                </c:pt>
                <c:pt idx="233">
                  <c:v>2187.7616239495528</c:v>
                </c:pt>
                <c:pt idx="234">
                  <c:v>2238.7211385683418</c:v>
                </c:pt>
                <c:pt idx="235">
                  <c:v>2290.8676527677749</c:v>
                </c:pt>
                <c:pt idx="236">
                  <c:v>2344.2288153199238</c:v>
                </c:pt>
                <c:pt idx="237">
                  <c:v>2398.8329190194918</c:v>
                </c:pt>
                <c:pt idx="238">
                  <c:v>2454.7089156850338</c:v>
                </c:pt>
                <c:pt idx="239">
                  <c:v>2511.8864315095811</c:v>
                </c:pt>
                <c:pt idx="240">
                  <c:v>2570.3957827688669</c:v>
                </c:pt>
                <c:pt idx="241">
                  <c:v>2630.2679918953822</c:v>
                </c:pt>
                <c:pt idx="242">
                  <c:v>2691.5348039269184</c:v>
                </c:pt>
                <c:pt idx="243">
                  <c:v>2754.228703338169</c:v>
                </c:pt>
                <c:pt idx="244">
                  <c:v>2818.3829312644561</c:v>
                </c:pt>
                <c:pt idx="245">
                  <c:v>2884.0315031266077</c:v>
                </c:pt>
                <c:pt idx="246">
                  <c:v>2951.2092266663876</c:v>
                </c:pt>
                <c:pt idx="247">
                  <c:v>3019.9517204020176</c:v>
                </c:pt>
                <c:pt idx="248">
                  <c:v>3090.295432513592</c:v>
                </c:pt>
                <c:pt idx="249">
                  <c:v>3162.2776601683804</c:v>
                </c:pt>
                <c:pt idx="250">
                  <c:v>3235.9365692962833</c:v>
                </c:pt>
                <c:pt idx="251">
                  <c:v>3311.3112148259115</c:v>
                </c:pt>
                <c:pt idx="252">
                  <c:v>3388.4415613920314</c:v>
                </c:pt>
                <c:pt idx="253">
                  <c:v>3467.3685045253224</c:v>
                </c:pt>
                <c:pt idx="254">
                  <c:v>3548.1338923357539</c:v>
                </c:pt>
                <c:pt idx="255">
                  <c:v>3630.7805477010188</c:v>
                </c:pt>
                <c:pt idx="256">
                  <c:v>3715.352290971724</c:v>
                </c:pt>
                <c:pt idx="257">
                  <c:v>3801.8939632056172</c:v>
                </c:pt>
                <c:pt idx="258">
                  <c:v>3890.451449942811</c:v>
                </c:pt>
                <c:pt idx="259">
                  <c:v>3981.0717055349769</c:v>
                </c:pt>
                <c:pt idx="260">
                  <c:v>4073.8027780411317</c:v>
                </c:pt>
                <c:pt idx="261">
                  <c:v>4168.6938347033583</c:v>
                </c:pt>
                <c:pt idx="262">
                  <c:v>4265.7951880159299</c:v>
                </c:pt>
                <c:pt idx="263">
                  <c:v>4365.1583224016631</c:v>
                </c:pt>
                <c:pt idx="264">
                  <c:v>4466.8359215096343</c:v>
                </c:pt>
                <c:pt idx="265">
                  <c:v>4570.8818961487532</c:v>
                </c:pt>
                <c:pt idx="266">
                  <c:v>4677.3514128719844</c:v>
                </c:pt>
                <c:pt idx="267">
                  <c:v>4786.3009232263848</c:v>
                </c:pt>
                <c:pt idx="268">
                  <c:v>4897.7881936844633</c:v>
                </c:pt>
                <c:pt idx="269">
                  <c:v>5011.8723362727324</c:v>
                </c:pt>
                <c:pt idx="270">
                  <c:v>5128.6138399136489</c:v>
                </c:pt>
                <c:pt idx="271">
                  <c:v>5248.0746024977261</c:v>
                </c:pt>
                <c:pt idx="272">
                  <c:v>5370.3179637025269</c:v>
                </c:pt>
                <c:pt idx="273">
                  <c:v>5495.4087385762541</c:v>
                </c:pt>
                <c:pt idx="274">
                  <c:v>5623.4132519034993</c:v>
                </c:pt>
                <c:pt idx="275">
                  <c:v>5754.399373371567</c:v>
                </c:pt>
                <c:pt idx="276">
                  <c:v>5888.4365535558973</c:v>
                </c:pt>
                <c:pt idx="277">
                  <c:v>6025.595860743585</c:v>
                </c:pt>
                <c:pt idx="278">
                  <c:v>6165.9500186148289</c:v>
                </c:pt>
                <c:pt idx="279">
                  <c:v>6309.5734448019384</c:v>
                </c:pt>
                <c:pt idx="280">
                  <c:v>6456.5422903465615</c:v>
                </c:pt>
                <c:pt idx="281">
                  <c:v>6606.9344800759654</c:v>
                </c:pt>
                <c:pt idx="282">
                  <c:v>6760.8297539198229</c:v>
                </c:pt>
                <c:pt idx="283">
                  <c:v>6918.3097091893687</c:v>
                </c:pt>
                <c:pt idx="284">
                  <c:v>7079.4578438413828</c:v>
                </c:pt>
                <c:pt idx="285">
                  <c:v>7244.3596007499036</c:v>
                </c:pt>
                <c:pt idx="286">
                  <c:v>7413.1024130091773</c:v>
                </c:pt>
                <c:pt idx="287">
                  <c:v>7585.7757502918394</c:v>
                </c:pt>
                <c:pt idx="288">
                  <c:v>7762.4711662869322</c:v>
                </c:pt>
                <c:pt idx="289">
                  <c:v>7943.2823472428154</c:v>
                </c:pt>
                <c:pt idx="290">
                  <c:v>8128.3051616410066</c:v>
                </c:pt>
                <c:pt idx="291">
                  <c:v>8317.6377110267094</c:v>
                </c:pt>
                <c:pt idx="292">
                  <c:v>8511.3803820237772</c:v>
                </c:pt>
                <c:pt idx="293">
                  <c:v>8709.6358995608189</c:v>
                </c:pt>
                <c:pt idx="294">
                  <c:v>8912.5093813374679</c:v>
                </c:pt>
                <c:pt idx="295">
                  <c:v>9120.1083935591087</c:v>
                </c:pt>
                <c:pt idx="296">
                  <c:v>9332.5430079699217</c:v>
                </c:pt>
                <c:pt idx="297">
                  <c:v>9549.9258602143691</c:v>
                </c:pt>
                <c:pt idx="298">
                  <c:v>9772.3722095581161</c:v>
                </c:pt>
                <c:pt idx="299">
                  <c:v>10000</c:v>
                </c:pt>
                <c:pt idx="300">
                  <c:v>10232.929922807549</c:v>
                </c:pt>
                <c:pt idx="301">
                  <c:v>10471.285480509003</c:v>
                </c:pt>
                <c:pt idx="302">
                  <c:v>10715.193052376071</c:v>
                </c:pt>
                <c:pt idx="303">
                  <c:v>10964.781961431856</c:v>
                </c:pt>
                <c:pt idx="304">
                  <c:v>11220.184543019639</c:v>
                </c:pt>
                <c:pt idx="305">
                  <c:v>11481.536214968832</c:v>
                </c:pt>
                <c:pt idx="306">
                  <c:v>11748.975549395318</c:v>
                </c:pt>
                <c:pt idx="307">
                  <c:v>12022.644346174151</c:v>
                </c:pt>
                <c:pt idx="308">
                  <c:v>12302.687708123816</c:v>
                </c:pt>
                <c:pt idx="309">
                  <c:v>12589.254117941671</c:v>
                </c:pt>
                <c:pt idx="310">
                  <c:v>12882.49551693136</c:v>
                </c:pt>
                <c:pt idx="311">
                  <c:v>13182.567385564091</c:v>
                </c:pt>
                <c:pt idx="312">
                  <c:v>13489.628825916556</c:v>
                </c:pt>
                <c:pt idx="313">
                  <c:v>13803.842646028841</c:v>
                </c:pt>
                <c:pt idx="314">
                  <c:v>14125.375446227561</c:v>
                </c:pt>
                <c:pt idx="315">
                  <c:v>14454.397707459291</c:v>
                </c:pt>
                <c:pt idx="316">
                  <c:v>14791.083881682089</c:v>
                </c:pt>
                <c:pt idx="317">
                  <c:v>15135.612484362096</c:v>
                </c:pt>
                <c:pt idx="318">
                  <c:v>15488.166189124853</c:v>
                </c:pt>
                <c:pt idx="319">
                  <c:v>15848.931924611146</c:v>
                </c:pt>
                <c:pt idx="320">
                  <c:v>16218.100973589309</c:v>
                </c:pt>
                <c:pt idx="321">
                  <c:v>16595.869074375616</c:v>
                </c:pt>
                <c:pt idx="322">
                  <c:v>16982.436524617482</c:v>
                </c:pt>
                <c:pt idx="323">
                  <c:v>17378.008287493791</c:v>
                </c:pt>
                <c:pt idx="324">
                  <c:v>17782.794100389234</c:v>
                </c:pt>
                <c:pt idx="325">
                  <c:v>18197.008586099837</c:v>
                </c:pt>
                <c:pt idx="326">
                  <c:v>18620.871366628675</c:v>
                </c:pt>
                <c:pt idx="327">
                  <c:v>19054.607179632505</c:v>
                </c:pt>
                <c:pt idx="328">
                  <c:v>19498.445997580486</c:v>
                </c:pt>
                <c:pt idx="329">
                  <c:v>19952.623149688792</c:v>
                </c:pt>
                <c:pt idx="330">
                  <c:v>20417.379446695286</c:v>
                </c:pt>
                <c:pt idx="331">
                  <c:v>20892.961308540423</c:v>
                </c:pt>
                <c:pt idx="332">
                  <c:v>21379.620895022348</c:v>
                </c:pt>
                <c:pt idx="333">
                  <c:v>21877.61623949555</c:v>
                </c:pt>
                <c:pt idx="334">
                  <c:v>22387.211385683382</c:v>
                </c:pt>
                <c:pt idx="335">
                  <c:v>22908.676527677751</c:v>
                </c:pt>
                <c:pt idx="336">
                  <c:v>23442.288153199243</c:v>
                </c:pt>
                <c:pt idx="337">
                  <c:v>23988.329190194923</c:v>
                </c:pt>
                <c:pt idx="338">
                  <c:v>24547.089156850321</c:v>
                </c:pt>
                <c:pt idx="339">
                  <c:v>25118.86431509586</c:v>
                </c:pt>
                <c:pt idx="340">
                  <c:v>25703.95782768865</c:v>
                </c:pt>
                <c:pt idx="341">
                  <c:v>26302.679918953829</c:v>
                </c:pt>
                <c:pt idx="342">
                  <c:v>26915.348039269167</c:v>
                </c:pt>
                <c:pt idx="343">
                  <c:v>27542.287033381719</c:v>
                </c:pt>
                <c:pt idx="344">
                  <c:v>28183.829312644593</c:v>
                </c:pt>
                <c:pt idx="345">
                  <c:v>28840.315031266062</c:v>
                </c:pt>
                <c:pt idx="346">
                  <c:v>29512.092266663854</c:v>
                </c:pt>
                <c:pt idx="347">
                  <c:v>30199.517204020212</c:v>
                </c:pt>
                <c:pt idx="348">
                  <c:v>30902.954325135954</c:v>
                </c:pt>
                <c:pt idx="349">
                  <c:v>31622.77660168384</c:v>
                </c:pt>
                <c:pt idx="350">
                  <c:v>32359.365692962871</c:v>
                </c:pt>
                <c:pt idx="351">
                  <c:v>33113.11214825909</c:v>
                </c:pt>
                <c:pt idx="352">
                  <c:v>33884.41561392029</c:v>
                </c:pt>
                <c:pt idx="353">
                  <c:v>34673.685045253202</c:v>
                </c:pt>
                <c:pt idx="354">
                  <c:v>35481.33892335758</c:v>
                </c:pt>
                <c:pt idx="355">
                  <c:v>36307.805477010232</c:v>
                </c:pt>
                <c:pt idx="356">
                  <c:v>37153.522909717351</c:v>
                </c:pt>
                <c:pt idx="357">
                  <c:v>38018.939632056143</c:v>
                </c:pt>
                <c:pt idx="358">
                  <c:v>38904.514499428085</c:v>
                </c:pt>
                <c:pt idx="359">
                  <c:v>39810.717055349742</c:v>
                </c:pt>
                <c:pt idx="360">
                  <c:v>40738.027780411358</c:v>
                </c:pt>
                <c:pt idx="361">
                  <c:v>41686.938347033625</c:v>
                </c:pt>
                <c:pt idx="362">
                  <c:v>42657.951880159271</c:v>
                </c:pt>
                <c:pt idx="363">
                  <c:v>43651.583224016598</c:v>
                </c:pt>
                <c:pt idx="364">
                  <c:v>44668.359215096389</c:v>
                </c:pt>
                <c:pt idx="365">
                  <c:v>45708.818961487581</c:v>
                </c:pt>
                <c:pt idx="366">
                  <c:v>46773.514128719893</c:v>
                </c:pt>
                <c:pt idx="367">
                  <c:v>47863.009232263823</c:v>
                </c:pt>
                <c:pt idx="368">
                  <c:v>48977.881936844598</c:v>
                </c:pt>
                <c:pt idx="369">
                  <c:v>50118.723362727294</c:v>
                </c:pt>
                <c:pt idx="370">
                  <c:v>51286.138399136544</c:v>
                </c:pt>
                <c:pt idx="371">
                  <c:v>52480.746024977314</c:v>
                </c:pt>
                <c:pt idx="372">
                  <c:v>53703.179637025423</c:v>
                </c:pt>
                <c:pt idx="373">
                  <c:v>54954.087385762505</c:v>
                </c:pt>
                <c:pt idx="374">
                  <c:v>56234.132519034953</c:v>
                </c:pt>
                <c:pt idx="375">
                  <c:v>57543.993733715732</c:v>
                </c:pt>
                <c:pt idx="376">
                  <c:v>58884.365535558936</c:v>
                </c:pt>
                <c:pt idx="377">
                  <c:v>60255.95860743591</c:v>
                </c:pt>
                <c:pt idx="378">
                  <c:v>61659.500186148245</c:v>
                </c:pt>
                <c:pt idx="379">
                  <c:v>63095.734448019342</c:v>
                </c:pt>
                <c:pt idx="380">
                  <c:v>64565.422903465682</c:v>
                </c:pt>
                <c:pt idx="381">
                  <c:v>66069.344800759733</c:v>
                </c:pt>
                <c:pt idx="382">
                  <c:v>67608.297539198305</c:v>
                </c:pt>
                <c:pt idx="383">
                  <c:v>69183.097091893651</c:v>
                </c:pt>
                <c:pt idx="384">
                  <c:v>70794.578438413781</c:v>
                </c:pt>
                <c:pt idx="385">
                  <c:v>72443.596007499116</c:v>
                </c:pt>
                <c:pt idx="386">
                  <c:v>74131.024130091857</c:v>
                </c:pt>
                <c:pt idx="387">
                  <c:v>75857.757502918481</c:v>
                </c:pt>
                <c:pt idx="388">
                  <c:v>77624.711662869129</c:v>
                </c:pt>
                <c:pt idx="389">
                  <c:v>79432.823472428237</c:v>
                </c:pt>
                <c:pt idx="390">
                  <c:v>81283.051616410012</c:v>
                </c:pt>
                <c:pt idx="391">
                  <c:v>83176.377110267174</c:v>
                </c:pt>
                <c:pt idx="392">
                  <c:v>85113.803820237721</c:v>
                </c:pt>
                <c:pt idx="393">
                  <c:v>87096.358995608127</c:v>
                </c:pt>
                <c:pt idx="394">
                  <c:v>89125.093813374609</c:v>
                </c:pt>
                <c:pt idx="395">
                  <c:v>91201.083935591028</c:v>
                </c:pt>
                <c:pt idx="396">
                  <c:v>93325.430079699145</c:v>
                </c:pt>
                <c:pt idx="397">
                  <c:v>95499.258602143804</c:v>
                </c:pt>
                <c:pt idx="398">
                  <c:v>97723.722095581266</c:v>
                </c:pt>
                <c:pt idx="399">
                  <c:v>100000</c:v>
                </c:pt>
                <c:pt idx="400">
                  <c:v>102329.29922807543</c:v>
                </c:pt>
                <c:pt idx="401">
                  <c:v>104712.85480508996</c:v>
                </c:pt>
                <c:pt idx="402">
                  <c:v>107151.93052376082</c:v>
                </c:pt>
                <c:pt idx="403">
                  <c:v>109647.81961431868</c:v>
                </c:pt>
                <c:pt idx="404">
                  <c:v>112201.84543019651</c:v>
                </c:pt>
                <c:pt idx="405">
                  <c:v>114815.36214968823</c:v>
                </c:pt>
                <c:pt idx="406">
                  <c:v>117489.75549395311</c:v>
                </c:pt>
                <c:pt idx="407">
                  <c:v>120226.44346174144</c:v>
                </c:pt>
                <c:pt idx="408">
                  <c:v>123026.87708123829</c:v>
                </c:pt>
                <c:pt idx="409">
                  <c:v>125892.54117941685</c:v>
                </c:pt>
                <c:pt idx="410">
                  <c:v>128824.95516931375</c:v>
                </c:pt>
                <c:pt idx="411">
                  <c:v>131825.67385564081</c:v>
                </c:pt>
                <c:pt idx="412">
                  <c:v>134896.28825916545</c:v>
                </c:pt>
                <c:pt idx="413">
                  <c:v>138038.42646028858</c:v>
                </c:pt>
                <c:pt idx="414">
                  <c:v>141253.75446227577</c:v>
                </c:pt>
                <c:pt idx="415">
                  <c:v>144543.97707459307</c:v>
                </c:pt>
                <c:pt idx="416">
                  <c:v>147910.83881682079</c:v>
                </c:pt>
                <c:pt idx="417">
                  <c:v>151356.12484362084</c:v>
                </c:pt>
                <c:pt idx="418">
                  <c:v>154881.66189124843</c:v>
                </c:pt>
                <c:pt idx="419">
                  <c:v>158489.31924611164</c:v>
                </c:pt>
                <c:pt idx="420">
                  <c:v>162181.00973589328</c:v>
                </c:pt>
                <c:pt idx="421">
                  <c:v>165958.69074375604</c:v>
                </c:pt>
                <c:pt idx="422">
                  <c:v>169824.36524617471</c:v>
                </c:pt>
                <c:pt idx="423">
                  <c:v>173780.0828749378</c:v>
                </c:pt>
                <c:pt idx="424">
                  <c:v>177827.94100389251</c:v>
                </c:pt>
                <c:pt idx="425">
                  <c:v>181970.08586099857</c:v>
                </c:pt>
                <c:pt idx="426">
                  <c:v>186208.71366628664</c:v>
                </c:pt>
                <c:pt idx="427">
                  <c:v>190546.07179632492</c:v>
                </c:pt>
                <c:pt idx="428">
                  <c:v>194984.45997580473</c:v>
                </c:pt>
                <c:pt idx="429">
                  <c:v>199526.23149688813</c:v>
                </c:pt>
                <c:pt idx="430">
                  <c:v>204173.79446695308</c:v>
                </c:pt>
                <c:pt idx="431">
                  <c:v>208929.61308540447</c:v>
                </c:pt>
                <c:pt idx="432">
                  <c:v>213796.20895022334</c:v>
                </c:pt>
                <c:pt idx="433">
                  <c:v>218776.16239495538</c:v>
                </c:pt>
                <c:pt idx="434">
                  <c:v>223872.11385683404</c:v>
                </c:pt>
                <c:pt idx="435">
                  <c:v>229086.76527677779</c:v>
                </c:pt>
                <c:pt idx="436">
                  <c:v>234422.88153199267</c:v>
                </c:pt>
                <c:pt idx="437">
                  <c:v>239883.29190194907</c:v>
                </c:pt>
                <c:pt idx="438">
                  <c:v>245470.89156850305</c:v>
                </c:pt>
                <c:pt idx="439">
                  <c:v>251188.64315095844</c:v>
                </c:pt>
                <c:pt idx="440">
                  <c:v>257039.57827688678</c:v>
                </c:pt>
                <c:pt idx="441">
                  <c:v>263026.79918953858</c:v>
                </c:pt>
                <c:pt idx="442">
                  <c:v>269153.48039269145</c:v>
                </c:pt>
                <c:pt idx="443">
                  <c:v>275422.87033381703</c:v>
                </c:pt>
                <c:pt idx="444">
                  <c:v>281838.29312644573</c:v>
                </c:pt>
                <c:pt idx="445">
                  <c:v>288403.1503126609</c:v>
                </c:pt>
                <c:pt idx="446">
                  <c:v>295120.92266663886</c:v>
                </c:pt>
                <c:pt idx="447">
                  <c:v>301995.17204020242</c:v>
                </c:pt>
                <c:pt idx="448">
                  <c:v>309029.54325135931</c:v>
                </c:pt>
                <c:pt idx="449">
                  <c:v>316227.7660168382</c:v>
                </c:pt>
                <c:pt idx="450">
                  <c:v>323593.65692962846</c:v>
                </c:pt>
                <c:pt idx="451">
                  <c:v>331131.12148259126</c:v>
                </c:pt>
                <c:pt idx="452">
                  <c:v>338844.15613920329</c:v>
                </c:pt>
                <c:pt idx="453">
                  <c:v>346736.85045253241</c:v>
                </c:pt>
                <c:pt idx="454">
                  <c:v>354813.38923357555</c:v>
                </c:pt>
                <c:pt idx="455">
                  <c:v>363078.05477010203</c:v>
                </c:pt>
                <c:pt idx="456">
                  <c:v>371535.2290971732</c:v>
                </c:pt>
                <c:pt idx="457">
                  <c:v>380189.39632056188</c:v>
                </c:pt>
                <c:pt idx="458">
                  <c:v>389045.14499428123</c:v>
                </c:pt>
                <c:pt idx="459">
                  <c:v>398107.17055349716</c:v>
                </c:pt>
                <c:pt idx="460">
                  <c:v>407380.27780411334</c:v>
                </c:pt>
                <c:pt idx="461">
                  <c:v>416869.38347033598</c:v>
                </c:pt>
                <c:pt idx="462">
                  <c:v>426579.51880159322</c:v>
                </c:pt>
                <c:pt idx="463">
                  <c:v>436515.83224016649</c:v>
                </c:pt>
                <c:pt idx="464">
                  <c:v>446683.59215096442</c:v>
                </c:pt>
                <c:pt idx="465">
                  <c:v>457088.18961487547</c:v>
                </c:pt>
                <c:pt idx="466">
                  <c:v>467735.14128719864</c:v>
                </c:pt>
                <c:pt idx="467">
                  <c:v>478630.09232263872</c:v>
                </c:pt>
                <c:pt idx="468">
                  <c:v>489778.81936844654</c:v>
                </c:pt>
                <c:pt idx="469">
                  <c:v>501187.23362727347</c:v>
                </c:pt>
                <c:pt idx="470">
                  <c:v>512861.38399136515</c:v>
                </c:pt>
                <c:pt idx="471">
                  <c:v>524807.46024977288</c:v>
                </c:pt>
                <c:pt idx="472">
                  <c:v>537031.7963702539</c:v>
                </c:pt>
                <c:pt idx="473">
                  <c:v>549540.87385762564</c:v>
                </c:pt>
                <c:pt idx="474">
                  <c:v>562341.32519035018</c:v>
                </c:pt>
                <c:pt idx="475">
                  <c:v>575439.93733715697</c:v>
                </c:pt>
                <c:pt idx="476">
                  <c:v>588843.65535558888</c:v>
                </c:pt>
                <c:pt idx="477">
                  <c:v>602559.58607435878</c:v>
                </c:pt>
                <c:pt idx="478">
                  <c:v>616595.00186148309</c:v>
                </c:pt>
                <c:pt idx="479">
                  <c:v>630957.34448019415</c:v>
                </c:pt>
                <c:pt idx="480">
                  <c:v>645654.22903465747</c:v>
                </c:pt>
                <c:pt idx="481">
                  <c:v>660693.44800759677</c:v>
                </c:pt>
                <c:pt idx="482">
                  <c:v>676082.97539198259</c:v>
                </c:pt>
                <c:pt idx="483">
                  <c:v>691830.97091893724</c:v>
                </c:pt>
                <c:pt idx="484">
                  <c:v>707945.78438413853</c:v>
                </c:pt>
                <c:pt idx="485">
                  <c:v>724435.96007499192</c:v>
                </c:pt>
                <c:pt idx="486">
                  <c:v>741310.24130091805</c:v>
                </c:pt>
                <c:pt idx="487">
                  <c:v>758577.57502918423</c:v>
                </c:pt>
                <c:pt idx="488">
                  <c:v>776247.11662869214</c:v>
                </c:pt>
                <c:pt idx="489">
                  <c:v>794328.23472428333</c:v>
                </c:pt>
                <c:pt idx="490">
                  <c:v>812830.51616410096</c:v>
                </c:pt>
                <c:pt idx="491">
                  <c:v>831763.77110267128</c:v>
                </c:pt>
                <c:pt idx="492">
                  <c:v>851138.03820237669</c:v>
                </c:pt>
                <c:pt idx="493">
                  <c:v>870963.58995608077</c:v>
                </c:pt>
                <c:pt idx="494">
                  <c:v>891250.93813374708</c:v>
                </c:pt>
                <c:pt idx="495">
                  <c:v>912010.83935591124</c:v>
                </c:pt>
                <c:pt idx="496">
                  <c:v>933254.30079699249</c:v>
                </c:pt>
                <c:pt idx="497">
                  <c:v>954992.58602143743</c:v>
                </c:pt>
                <c:pt idx="498">
                  <c:v>977237.22095581202</c:v>
                </c:pt>
                <c:pt idx="499">
                  <c:v>1000000</c:v>
                </c:pt>
                <c:pt idx="500">
                  <c:v>1023292.9922807553</c:v>
                </c:pt>
                <c:pt idx="501">
                  <c:v>1047128.5480509007</c:v>
                </c:pt>
                <c:pt idx="502">
                  <c:v>1071519.3052376076</c:v>
                </c:pt>
                <c:pt idx="503">
                  <c:v>1096478.196143186</c:v>
                </c:pt>
                <c:pt idx="504">
                  <c:v>1122018.4543019643</c:v>
                </c:pt>
                <c:pt idx="505">
                  <c:v>1148153.6214968837</c:v>
                </c:pt>
                <c:pt idx="506">
                  <c:v>1174897.5549395324</c:v>
                </c:pt>
                <c:pt idx="507">
                  <c:v>1202264.4346174158</c:v>
                </c:pt>
                <c:pt idx="508">
                  <c:v>1230268.770812382</c:v>
                </c:pt>
                <c:pt idx="509">
                  <c:v>1258925.4117941677</c:v>
                </c:pt>
                <c:pt idx="510">
                  <c:v>1288249.5516931366</c:v>
                </c:pt>
                <c:pt idx="511">
                  <c:v>1318256.7385564097</c:v>
                </c:pt>
                <c:pt idx="512">
                  <c:v>1348962.8825916562</c:v>
                </c:pt>
                <c:pt idx="513">
                  <c:v>1380384.2646028849</c:v>
                </c:pt>
                <c:pt idx="514">
                  <c:v>1412537.5446227565</c:v>
                </c:pt>
                <c:pt idx="515">
                  <c:v>1445439.7707459298</c:v>
                </c:pt>
                <c:pt idx="516">
                  <c:v>1479108.3881682095</c:v>
                </c:pt>
                <c:pt idx="517">
                  <c:v>1513561.2484362102</c:v>
                </c:pt>
                <c:pt idx="518">
                  <c:v>1548816.6189124861</c:v>
                </c:pt>
                <c:pt idx="519">
                  <c:v>1584893.1924611153</c:v>
                </c:pt>
                <c:pt idx="520">
                  <c:v>1621810.0973589318</c:v>
                </c:pt>
                <c:pt idx="521">
                  <c:v>1659586.9074375622</c:v>
                </c:pt>
                <c:pt idx="522">
                  <c:v>1698243.6524617488</c:v>
                </c:pt>
                <c:pt idx="523">
                  <c:v>1737800.8287493798</c:v>
                </c:pt>
                <c:pt idx="524">
                  <c:v>1778279.4100389241</c:v>
                </c:pt>
                <c:pt idx="525">
                  <c:v>1819700.8586099846</c:v>
                </c:pt>
                <c:pt idx="526">
                  <c:v>1862087.1366628683</c:v>
                </c:pt>
                <c:pt idx="527">
                  <c:v>1905460.7179632513</c:v>
                </c:pt>
                <c:pt idx="528">
                  <c:v>1949844.5997580495</c:v>
                </c:pt>
                <c:pt idx="529">
                  <c:v>1995262.31496888</c:v>
                </c:pt>
                <c:pt idx="530">
                  <c:v>2041737.9446695296</c:v>
                </c:pt>
                <c:pt idx="531">
                  <c:v>2089296.1308540432</c:v>
                </c:pt>
                <c:pt idx="532">
                  <c:v>2137962.0895022359</c:v>
                </c:pt>
                <c:pt idx="533">
                  <c:v>2187761.6239495561</c:v>
                </c:pt>
                <c:pt idx="534">
                  <c:v>2238721.1385683389</c:v>
                </c:pt>
                <c:pt idx="535">
                  <c:v>2290867.6527677765</c:v>
                </c:pt>
                <c:pt idx="536">
                  <c:v>2344228.8153199251</c:v>
                </c:pt>
                <c:pt idx="537">
                  <c:v>2398832.9190194933</c:v>
                </c:pt>
                <c:pt idx="538">
                  <c:v>2454708.915685033</c:v>
                </c:pt>
                <c:pt idx="539">
                  <c:v>2511886.431509587</c:v>
                </c:pt>
                <c:pt idx="540">
                  <c:v>2570395.782768866</c:v>
                </c:pt>
                <c:pt idx="541">
                  <c:v>2630267.9918953842</c:v>
                </c:pt>
              </c:numCache>
            </c:numRef>
          </c:xVal>
          <c:yVal>
            <c:numRef>
              <c:f>Loop_Modeling!$AU$19:$AU$560</c:f>
              <c:numCache>
                <c:formatCode>General</c:formatCode>
                <c:ptCount val="542"/>
                <c:pt idx="0">
                  <c:v>62.38744514304944</c:v>
                </c:pt>
                <c:pt idx="1">
                  <c:v>61.863925537778471</c:v>
                </c:pt>
                <c:pt idx="2">
                  <c:v>61.334960508997327</c:v>
                </c:pt>
                <c:pt idx="3">
                  <c:v>60.800736519802037</c:v>
                </c:pt>
                <c:pt idx="4">
                  <c:v>60.261452865357022</c:v>
                </c:pt>
                <c:pt idx="5">
                  <c:v>59.717321681379929</c:v>
                </c:pt>
                <c:pt idx="6">
                  <c:v>59.168567903440049</c:v>
                </c:pt>
                <c:pt idx="7">
                  <c:v>58.615429174901145</c:v>
                </c:pt>
                <c:pt idx="8">
                  <c:v>58.058155701646619</c:v>
                </c:pt>
                <c:pt idx="9">
                  <c:v>57.497010052089642</c:v>
                </c:pt>
                <c:pt idx="10">
                  <c:v>56.932266901350374</c:v>
                </c:pt>
                <c:pt idx="11">
                  <c:v>56.364212718917429</c:v>
                </c:pt>
                <c:pt idx="12">
                  <c:v>55.793145399578137</c:v>
                </c:pt>
                <c:pt idx="13">
                  <c:v>55.219373837875452</c:v>
                </c:pt>
                <c:pt idx="14">
                  <c:v>54.643217446872164</c:v>
                </c:pt>
                <c:pt idx="15">
                  <c:v>54.065005622523891</c:v>
                </c:pt>
                <c:pt idx="16">
                  <c:v>53.485077155489165</c:v>
                </c:pt>
                <c:pt idx="17">
                  <c:v>52.903779592742289</c:v>
                </c:pt>
                <c:pt idx="18">
                  <c:v>52.321468551879896</c:v>
                </c:pt>
                <c:pt idx="19">
                  <c:v>51.738506991511848</c:v>
                </c:pt>
                <c:pt idx="20">
                  <c:v>51.155264441614683</c:v>
                </c:pt>
                <c:pt idx="21">
                  <c:v>50.572116198173141</c:v>
                </c:pt>
                <c:pt idx="22">
                  <c:v>49.989442486842947</c:v>
                </c:pt>
                <c:pt idx="23">
                  <c:v>49.407627600720929</c:v>
                </c:pt>
                <c:pt idx="24">
                  <c:v>48.827059017625174</c:v>
                </c:pt>
                <c:pt idx="25">
                  <c:v>48.2481265025095</c:v>
                </c:pt>
                <c:pt idx="26">
                  <c:v>47.671221200839156</c:v>
                </c:pt>
                <c:pt idx="27">
                  <c:v>47.096734728837028</c:v>
                </c:pt>
                <c:pt idx="28">
                  <c:v>46.525058266565154</c:v>
                </c:pt>
                <c:pt idx="29">
                  <c:v>45.956581659762897</c:v>
                </c:pt>
                <c:pt idx="30">
                  <c:v>45.391692536257189</c:v>
                </c:pt>
                <c:pt idx="31">
                  <c:v>44.830775442586031</c:v>
                </c:pt>
                <c:pt idx="32">
                  <c:v>44.274211006242204</c:v>
                </c:pt>
                <c:pt idx="33">
                  <c:v>43.722375128624321</c:v>
                </c:pt>
                <c:pt idx="34">
                  <c:v>43.175638213444515</c:v>
                </c:pt>
                <c:pt idx="35">
                  <c:v>42.634364434918396</c:v>
                </c:pt>
                <c:pt idx="36">
                  <c:v>42.098911049625386</c:v>
                </c:pt>
                <c:pt idx="37">
                  <c:v>41.569627755434119</c:v>
                </c:pt>
                <c:pt idx="38">
                  <c:v>41.046856100384829</c:v>
                </c:pt>
                <c:pt idx="39">
                  <c:v>40.530928943892754</c:v>
                </c:pt>
                <c:pt idx="40">
                  <c:v>40.022169972097821</c:v>
                </c:pt>
                <c:pt idx="41">
                  <c:v>39.520893268649218</c:v>
                </c:pt>
                <c:pt idx="42">
                  <c:v>39.027402941693445</c:v>
                </c:pt>
                <c:pt idx="43">
                  <c:v>38.541992807298847</c:v>
                </c:pt>
                <c:pt idx="44">
                  <c:v>38.064946129075949</c:v>
                </c:pt>
                <c:pt idx="45">
                  <c:v>37.596535413269137</c:v>
                </c:pt>
                <c:pt idx="46">
                  <c:v>37.137022258167477</c:v>
                </c:pt>
                <c:pt idx="47">
                  <c:v>36.68665725627698</c:v>
                </c:pt>
                <c:pt idx="48">
                  <c:v>36.245679947330267</c:v>
                </c:pt>
                <c:pt idx="49">
                  <c:v>35.814318819899611</c:v>
                </c:pt>
                <c:pt idx="50">
                  <c:v>35.392791359090488</c:v>
                </c:pt>
                <c:pt idx="51">
                  <c:v>34.981304137556037</c:v>
                </c:pt>
                <c:pt idx="52">
                  <c:v>34.5800529468927</c:v>
                </c:pt>
                <c:pt idx="53">
                  <c:v>34.189222966308293</c:v>
                </c:pt>
                <c:pt idx="54">
                  <c:v>33.808988965357493</c:v>
                </c:pt>
                <c:pt idx="55">
                  <c:v>33.439515537462604</c:v>
                </c:pt>
                <c:pt idx="56">
                  <c:v>33.080957360899852</c:v>
                </c:pt>
                <c:pt idx="57">
                  <c:v>32.733459483929089</c:v>
                </c:pt>
                <c:pt idx="58">
                  <c:v>32.397157630777208</c:v>
                </c:pt>
                <c:pt idx="59">
                  <c:v>32.07217852522767</c:v>
                </c:pt>
                <c:pt idx="60">
                  <c:v>31.758640228663996</c:v>
                </c:pt>
                <c:pt idx="61">
                  <c:v>31.456652489490136</c:v>
                </c:pt>
                <c:pt idx="62">
                  <c:v>31.166317100989627</c:v>
                </c:pt>
                <c:pt idx="63">
                  <c:v>30.887728264794344</c:v>
                </c:pt>
                <c:pt idx="64">
                  <c:v>30.620972957283232</c:v>
                </c:pt>
                <c:pt idx="65">
                  <c:v>30.366131296377528</c:v>
                </c:pt>
                <c:pt idx="66">
                  <c:v>30.123276906351421</c:v>
                </c:pt>
                <c:pt idx="67">
                  <c:v>29.892477278426988</c:v>
                </c:pt>
                <c:pt idx="68">
                  <c:v>29.673794125091629</c:v>
                </c:pt>
                <c:pt idx="69">
                  <c:v>29.467283726218685</c:v>
                </c:pt>
                <c:pt idx="70">
                  <c:v>29.272997265231396</c:v>
                </c:pt>
                <c:pt idx="71">
                  <c:v>29.09098115370233</c:v>
                </c:pt>
                <c:pt idx="72">
                  <c:v>28.921277342915193</c:v>
                </c:pt>
                <c:pt idx="73">
                  <c:v>28.763923621062933</c:v>
                </c:pt>
                <c:pt idx="74">
                  <c:v>28.618953894881884</c:v>
                </c:pt>
                <c:pt idx="75">
                  <c:v>28.486398454649638</c:v>
                </c:pt>
                <c:pt idx="76">
                  <c:v>28.366284221586554</c:v>
                </c:pt>
                <c:pt idx="77">
                  <c:v>28.258634976815873</c:v>
                </c:pt>
                <c:pt idx="78">
                  <c:v>28.163471571133236</c:v>
                </c:pt>
                <c:pt idx="79">
                  <c:v>28.080812114936691</c:v>
                </c:pt>
                <c:pt idx="80">
                  <c:v>28.010672147754253</c:v>
                </c:pt>
                <c:pt idx="81">
                  <c:v>27.953064786883225</c:v>
                </c:pt>
                <c:pt idx="82">
                  <c:v>27.908000854738845</c:v>
                </c:pt>
                <c:pt idx="83">
                  <c:v>27.875488984574275</c:v>
                </c:pt>
                <c:pt idx="84">
                  <c:v>27.855535704301097</c:v>
                </c:pt>
                <c:pt idx="85">
                  <c:v>27.848145498201035</c:v>
                </c:pt>
                <c:pt idx="86">
                  <c:v>27.853320846378686</c:v>
                </c:pt>
                <c:pt idx="87">
                  <c:v>27.871062241861193</c:v>
                </c:pt>
                <c:pt idx="88">
                  <c:v>27.901368185303848</c:v>
                </c:pt>
                <c:pt idx="89">
                  <c:v>27.944235157317912</c:v>
                </c:pt>
                <c:pt idx="90">
                  <c:v>27.999657568486484</c:v>
                </c:pt>
                <c:pt idx="91">
                  <c:v>28.067627687195877</c:v>
                </c:pt>
                <c:pt idx="92">
                  <c:v>28.148135545461106</c:v>
                </c:pt>
                <c:pt idx="93">
                  <c:v>28.241168822986797</c:v>
                </c:pt>
                <c:pt idx="94">
                  <c:v>28.346712709773065</c:v>
                </c:pt>
                <c:pt idx="95">
                  <c:v>28.464749747630151</c:v>
                </c:pt>
                <c:pt idx="96">
                  <c:v>28.595259651058303</c:v>
                </c:pt>
                <c:pt idx="97">
                  <c:v>28.738219108006795</c:v>
                </c:pt>
                <c:pt idx="98">
                  <c:v>28.893601561130804</c:v>
                </c:pt>
                <c:pt idx="99">
                  <c:v>29.061376970236687</c:v>
                </c:pt>
                <c:pt idx="100">
                  <c:v>29.241511556724497</c:v>
                </c:pt>
                <c:pt idx="101">
                  <c:v>29.433967530921642</c:v>
                </c:pt>
                <c:pt idx="102">
                  <c:v>29.638702803337182</c:v>
                </c:pt>
                <c:pt idx="103">
                  <c:v>29.855670680963261</c:v>
                </c:pt>
                <c:pt idx="104">
                  <c:v>30.084819549902079</c:v>
                </c:pt>
                <c:pt idx="105">
                  <c:v>30.326092545708907</c:v>
                </c:pt>
                <c:pt idx="106">
                  <c:v>30.579427213003132</c:v>
                </c:pt>
                <c:pt idx="107">
                  <c:v>30.844755156029496</c:v>
                </c:pt>
                <c:pt idx="108">
                  <c:v>31.122001682012939</c:v>
                </c:pt>
                <c:pt idx="109">
                  <c:v>31.411085439304188</c:v>
                </c:pt>
                <c:pt idx="110">
                  <c:v>31.711918052463822</c:v>
                </c:pt>
                <c:pt idx="111">
                  <c:v>32.024403756594943</c:v>
                </c:pt>
                <c:pt idx="112">
                  <c:v>32.348439033386136</c:v>
                </c:pt>
                <c:pt idx="113">
                  <c:v>32.683912251478276</c:v>
                </c:pt>
                <c:pt idx="114">
                  <c:v>33.030703313910415</c:v>
                </c:pt>
                <c:pt idx="115">
                  <c:v>33.388683315536774</c:v>
                </c:pt>
                <c:pt idx="116">
                  <c:v>33.757714213423789</c:v>
                </c:pt>
                <c:pt idx="117">
                  <c:v>34.137648513351344</c:v>
                </c:pt>
                <c:pt idx="118">
                  <c:v>34.528328975618329</c:v>
                </c:pt>
                <c:pt idx="119">
                  <c:v>34.929588343430069</c:v>
                </c:pt>
                <c:pt idx="120">
                  <c:v>35.341249097176075</c:v>
                </c:pt>
                <c:pt idx="121">
                  <c:v>35.763123237925043</c:v>
                </c:pt>
                <c:pt idx="122">
                  <c:v>36.195012103439446</c:v>
                </c:pt>
                <c:pt idx="123">
                  <c:v>36.636706219963258</c:v>
                </c:pt>
                <c:pt idx="124">
                  <c:v>37.087985192935392</c:v>
                </c:pt>
                <c:pt idx="125">
                  <c:v>37.548617639662652</c:v>
                </c:pt>
                <c:pt idx="126">
                  <c:v>38.018361166801085</c:v>
                </c:pt>
                <c:pt idx="127">
                  <c:v>38.49696239528604</c:v>
                </c:pt>
                <c:pt idx="128">
                  <c:v>38.984157035094064</c:v>
                </c:pt>
                <c:pt idx="129">
                  <c:v>39.479670011914401</c:v>
                </c:pt>
                <c:pt idx="130">
                  <c:v>39.983215647465833</c:v>
                </c:pt>
                <c:pt idx="131">
                  <c:v>40.494497894815694</c:v>
                </c:pt>
                <c:pt idx="132">
                  <c:v>41.013210629630343</c:v>
                </c:pt>
                <c:pt idx="133">
                  <c:v>41.539037997840857</c:v>
                </c:pt>
                <c:pt idx="134">
                  <c:v>42.071654819717061</c:v>
                </c:pt>
                <c:pt idx="135">
                  <c:v>42.610727049841188</c:v>
                </c:pt>
                <c:pt idx="136">
                  <c:v>43.155912291947359</c:v>
                </c:pt>
                <c:pt idx="137">
                  <c:v>43.706860367058255</c:v>
                </c:pt>
                <c:pt idx="138">
                  <c:v>44.263213932811333</c:v>
                </c:pt>
                <c:pt idx="139">
                  <c:v>44.82460915134142</c:v>
                </c:pt>
                <c:pt idx="140">
                  <c:v>45.390676402557034</c:v>
                </c:pt>
                <c:pt idx="141">
                  <c:v>45.961041039161607</c:v>
                </c:pt>
                <c:pt idx="142">
                  <c:v>46.535324179297092</c:v>
                </c:pt>
                <c:pt idx="143">
                  <c:v>47.113143532260558</c:v>
                </c:pt>
                <c:pt idx="144">
                  <c:v>47.69411425236212</c:v>
                </c:pt>
                <c:pt idx="145">
                  <c:v>48.277849815666841</c:v>
                </c:pt>
                <c:pt idx="146">
                  <c:v>48.863962914079558</c:v>
                </c:pt>
                <c:pt idx="147">
                  <c:v>49.452066361040494</c:v>
                </c:pt>
                <c:pt idx="148">
                  <c:v>50.041774002948657</c:v>
                </c:pt>
                <c:pt idx="149">
                  <c:v>50.632701630360863</c:v>
                </c:pt>
                <c:pt idx="150">
                  <c:v>51.224467883028886</c:v>
                </c:pt>
                <c:pt idx="151">
                  <c:v>51.816695142891803</c:v>
                </c:pt>
                <c:pt idx="152">
                  <c:v>52.409010409303697</c:v>
                </c:pt>
                <c:pt idx="153">
                  <c:v>53.001046150974631</c:v>
                </c:pt>
                <c:pt idx="154">
                  <c:v>53.592441129385911</c:v>
                </c:pt>
                <c:pt idx="155">
                  <c:v>54.182841188769643</c:v>
                </c:pt>
                <c:pt idx="156">
                  <c:v>54.771900008126863</c:v>
                </c:pt>
                <c:pt idx="157">
                  <c:v>55.359279811190071</c:v>
                </c:pt>
                <c:pt idx="158">
                  <c:v>55.944652030706195</c:v>
                </c:pt>
                <c:pt idx="159">
                  <c:v>56.527697923898089</c:v>
                </c:pt>
                <c:pt idx="160">
                  <c:v>57.108109136502513</c:v>
                </c:pt>
                <c:pt idx="161">
                  <c:v>57.685588213287843</c:v>
                </c:pt>
                <c:pt idx="162">
                  <c:v>58.259849053500993</c:v>
                </c:pt>
                <c:pt idx="163">
                  <c:v>58.830617310224447</c:v>
                </c:pt>
                <c:pt idx="164">
                  <c:v>59.397630733128352</c:v>
                </c:pt>
                <c:pt idx="165">
                  <c:v>59.960639454619411</c:v>
                </c:pt>
                <c:pt idx="166">
                  <c:v>60.519406219844576</c:v>
                </c:pt>
                <c:pt idx="167">
                  <c:v>61.073706561470125</c:v>
                </c:pt>
                <c:pt idx="168">
                  <c:v>61.623328920555998</c:v>
                </c:pt>
                <c:pt idx="169">
                  <c:v>62.168074715218026</c:v>
                </c:pt>
                <c:pt idx="170">
                  <c:v>62.707758359110407</c:v>
                </c:pt>
                <c:pt idx="171">
                  <c:v>63.242207232045189</c:v>
                </c:pt>
                <c:pt idx="172">
                  <c:v>63.771261605310627</c:v>
                </c:pt>
                <c:pt idx="173">
                  <c:v>64.294774524456741</c:v>
                </c:pt>
                <c:pt idx="174">
                  <c:v>64.812611652479021</c:v>
                </c:pt>
                <c:pt idx="175">
                  <c:v>65.324651076443331</c:v>
                </c:pt>
                <c:pt idx="176">
                  <c:v>65.830783080680717</c:v>
                </c:pt>
                <c:pt idx="177">
                  <c:v>66.330909889719791</c:v>
                </c:pt>
                <c:pt idx="178">
                  <c:v>66.824945384132704</c:v>
                </c:pt>
                <c:pt idx="179">
                  <c:v>67.312814792447739</c:v>
                </c:pt>
                <c:pt idx="180">
                  <c:v>67.794454362224499</c:v>
                </c:pt>
                <c:pt idx="181">
                  <c:v>68.269811013316371</c:v>
                </c:pt>
                <c:pt idx="182">
                  <c:v>68.738841976236913</c:v>
                </c:pt>
                <c:pt idx="183">
                  <c:v>69.201514418436005</c:v>
                </c:pt>
                <c:pt idx="184">
                  <c:v>69.657805061153553</c:v>
                </c:pt>
                <c:pt idx="185">
                  <c:v>70.107699789370571</c:v>
                </c:pt>
                <c:pt idx="186">
                  <c:v>70.551193257228419</c:v>
                </c:pt>
                <c:pt idx="187">
                  <c:v>70.98828849111743</c:v>
                </c:pt>
                <c:pt idx="188">
                  <c:v>71.418996492477348</c:v>
                </c:pt>
                <c:pt idx="189">
                  <c:v>71.84333584217454</c:v>
                </c:pt>
                <c:pt idx="190">
                  <c:v>72.261332308167368</c:v>
                </c:pt>
                <c:pt idx="191">
                  <c:v>72.673018457988604</c:v>
                </c:pt>
                <c:pt idx="192">
                  <c:v>73.078433277426811</c:v>
                </c:pt>
                <c:pt idx="193">
                  <c:v>73.47762179662017</c:v>
                </c:pt>
                <c:pt idx="194">
                  <c:v>73.870634724635039</c:v>
                </c:pt>
                <c:pt idx="195">
                  <c:v>74.257528093446155</c:v>
                </c:pt>
                <c:pt idx="196">
                  <c:v>74.63836291211031</c:v>
                </c:pt>
                <c:pt idx="197">
                  <c:v>75.013204831786993</c:v>
                </c:pt>
                <c:pt idx="198">
                  <c:v>75.382123822145829</c:v>
                </c:pt>
                <c:pt idx="199">
                  <c:v>75.74519385958348</c:v>
                </c:pt>
                <c:pt idx="200">
                  <c:v>76.102492627576396</c:v>
                </c:pt>
                <c:pt idx="201">
                  <c:v>76.454101229393075</c:v>
                </c:pt>
                <c:pt idx="202">
                  <c:v>76.800103913311219</c:v>
                </c:pt>
                <c:pt idx="203">
                  <c:v>77.140587810402053</c:v>
                </c:pt>
                <c:pt idx="204">
                  <c:v>77.475642684876519</c:v>
                </c:pt>
                <c:pt idx="205">
                  <c:v>77.805360696926201</c:v>
                </c:pt>
                <c:pt idx="206">
                  <c:v>78.129836177934905</c:v>
                </c:pt>
                <c:pt idx="207">
                  <c:v>78.44916541789182</c:v>
                </c:pt>
                <c:pt idx="208">
                  <c:v>78.763446464791485</c:v>
                </c:pt>
                <c:pt idx="209">
                  <c:v>79.072778935775275</c:v>
                </c:pt>
                <c:pt idx="210">
                  <c:v>79.377263839732862</c:v>
                </c:pt>
                <c:pt idx="211">
                  <c:v>79.677003411063708</c:v>
                </c:pt>
                <c:pt idx="212">
                  <c:v>79.972100954272761</c:v>
                </c:pt>
                <c:pt idx="213">
                  <c:v>80.262660699062465</c:v>
                </c:pt>
                <c:pt idx="214">
                  <c:v>80.548787665569236</c:v>
                </c:pt>
                <c:pt idx="215">
                  <c:v>80.830587539384553</c:v>
                </c:pt>
                <c:pt idx="216">
                  <c:v>81.108166555995567</c:v>
                </c:pt>
                <c:pt idx="217">
                  <c:v>81.381631394277292</c:v>
                </c:pt>
                <c:pt idx="218">
                  <c:v>81.651089078669202</c:v>
                </c:pt>
                <c:pt idx="219">
                  <c:v>81.916646889669295</c:v>
                </c:pt>
                <c:pt idx="220">
                  <c:v>82.178412282285535</c:v>
                </c:pt>
                <c:pt idx="221">
                  <c:v>82.436492812087678</c:v>
                </c:pt>
                <c:pt idx="222">
                  <c:v>82.690996068510657</c:v>
                </c:pt>
                <c:pt idx="223">
                  <c:v>82.942029615070226</c:v>
                </c:pt>
                <c:pt idx="224">
                  <c:v>83.189700936157493</c:v>
                </c:pt>
                <c:pt idx="225">
                  <c:v>83.434117390094087</c:v>
                </c:pt>
                <c:pt idx="226">
                  <c:v>83.675386168135574</c:v>
                </c:pt>
                <c:pt idx="227">
                  <c:v>83.913614259125382</c:v>
                </c:pt>
                <c:pt idx="228">
                  <c:v>84.148908419511201</c:v>
                </c:pt>
                <c:pt idx="229">
                  <c:v>84.381375148451525</c:v>
                </c:pt>
                <c:pt idx="230">
                  <c:v>84.611120667745453</c:v>
                </c:pt>
                <c:pt idx="231">
                  <c:v>84.838250906339837</c:v>
                </c:pt>
                <c:pt idx="232">
                  <c:v>85.062871489171783</c:v>
                </c:pt>
                <c:pt idx="233">
                  <c:v>85.285087730124857</c:v>
                </c:pt>
                <c:pt idx="234">
                  <c:v>85.505004628882375</c:v>
                </c:pt>
                <c:pt idx="235">
                  <c:v>85.722726871478756</c:v>
                </c:pt>
                <c:pt idx="236">
                  <c:v>85.938358834359263</c:v>
                </c:pt>
                <c:pt idx="237">
                  <c:v>86.15200459177062</c:v>
                </c:pt>
                <c:pt idx="238">
                  <c:v>86.363767926317621</c:v>
                </c:pt>
                <c:pt idx="239">
                  <c:v>86.573752342530256</c:v>
                </c:pt>
                <c:pt idx="240">
                  <c:v>86.782061083299055</c:v>
                </c:pt>
                <c:pt idx="241">
                  <c:v>86.988797149046803</c:v>
                </c:pt>
                <c:pt idx="242">
                  <c:v>87.194063319513205</c:v>
                </c:pt>
                <c:pt idx="243">
                  <c:v>87.397962178043045</c:v>
                </c:pt>
                <c:pt idx="244">
                  <c:v>87.600596138275151</c:v>
                </c:pt>
                <c:pt idx="245">
                  <c:v>87.802067473141861</c:v>
                </c:pt>
                <c:pt idx="246">
                  <c:v>88.002478346096311</c:v>
                </c:pt>
                <c:pt idx="247">
                  <c:v>88.201930844495493</c:v>
                </c:pt>
                <c:pt idx="248">
                  <c:v>88.400527015076094</c:v>
                </c:pt>
                <c:pt idx="249">
                  <c:v>88.598368901467808</c:v>
                </c:pt>
                <c:pt idx="250">
                  <c:v>88.795558583700029</c:v>
                </c:pt>
                <c:pt idx="251">
                  <c:v>88.992198219663379</c:v>
                </c:pt>
                <c:pt idx="252">
                  <c:v>89.188390088498736</c:v>
                </c:pt>
                <c:pt idx="253">
                  <c:v>89.384236635892222</c:v>
                </c:pt>
                <c:pt idx="254">
                  <c:v>89.579840521266206</c:v>
                </c:pt>
                <c:pt idx="255">
                  <c:v>89.77530466685937</c:v>
                </c:pt>
                <c:pt idx="256">
                  <c:v>89.970732308701955</c:v>
                </c:pt>
                <c:pt idx="257">
                  <c:v>90.166227049497436</c:v>
                </c:pt>
                <c:pt idx="258">
                  <c:v>90.36189291342987</c:v>
                </c:pt>
                <c:pt idx="259">
                  <c:v>90.557834402924897</c:v>
                </c:pt>
                <c:pt idx="260">
                  <c:v>90.75415655739971</c:v>
                </c:pt>
                <c:pt idx="261">
                  <c:v>90.950965014045053</c:v>
                </c:pt>
                <c:pt idx="262">
                  <c:v>91.148366070689747</c:v>
                </c:pt>
                <c:pt idx="263">
                  <c:v>91.34646675080802</c:v>
                </c:pt>
                <c:pt idx="264">
                  <c:v>91.545374870734847</c:v>
                </c:pt>
                <c:pt idx="265">
                  <c:v>91.745199109165227</c:v>
                </c:pt>
                <c:pt idx="266">
                  <c:v>91.946049079019417</c:v>
                </c:pt>
                <c:pt idx="267">
                  <c:v>92.148035401766151</c:v>
                </c:pt>
                <c:pt idx="268">
                  <c:v>92.351269784302474</c:v>
                </c:pt>
                <c:pt idx="269">
                  <c:v>92.555865098497222</c:v>
                </c:pt>
                <c:pt idx="270">
                  <c:v>92.76193546351594</c:v>
                </c:pt>
                <c:pt idx="271">
                  <c:v>92.969596331050028</c:v>
                </c:pt>
                <c:pt idx="272">
                  <c:v>93.178964573584082</c:v>
                </c:pt>
                <c:pt idx="273">
                  <c:v>93.390158575843543</c:v>
                </c:pt>
                <c:pt idx="274">
                  <c:v>93.603298329572993</c:v>
                </c:pt>
                <c:pt idx="275">
                  <c:v>93.81850553180405</c:v>
                </c:pt>
                <c:pt idx="276">
                  <c:v>94.035903686781992</c:v>
                </c:pt>
                <c:pt idx="277">
                  <c:v>94.255618211727111</c:v>
                </c:pt>
                <c:pt idx="278">
                  <c:v>94.477776546616795</c:v>
                </c:pt>
                <c:pt idx="279">
                  <c:v>94.702508268182669</c:v>
                </c:pt>
                <c:pt idx="280">
                  <c:v>94.929945208323602</c:v>
                </c:pt>
                <c:pt idx="281">
                  <c:v>95.160221577146416</c:v>
                </c:pt>
                <c:pt idx="282">
                  <c:v>95.393474090850916</c:v>
                </c:pt>
                <c:pt idx="283">
                  <c:v>95.629842104683675</c:v>
                </c:pt>
                <c:pt idx="284">
                  <c:v>95.86946775119138</c:v>
                </c:pt>
                <c:pt idx="285">
                  <c:v>96.112496084009194</c:v>
                </c:pt>
                <c:pt idx="286">
                  <c:v>96.359075227424285</c:v>
                </c:pt>
                <c:pt idx="287">
                  <c:v>96.609356531956976</c:v>
                </c:pt>
                <c:pt idx="288">
                  <c:v>96.863494736202213</c:v>
                </c:pt>
                <c:pt idx="289">
                  <c:v>97.121648135175036</c:v>
                </c:pt>
                <c:pt idx="290">
                  <c:v>97.383978755398843</c:v>
                </c:pt>
                <c:pt idx="291">
                  <c:v>97.65065253696747</c:v>
                </c:pt>
                <c:pt idx="292">
                  <c:v>97.921839522806664</c:v>
                </c:pt>
                <c:pt idx="293">
                  <c:v>98.197714055343241</c:v>
                </c:pt>
                <c:pt idx="294">
                  <c:v>98.478454980772071</c:v>
                </c:pt>
                <c:pt idx="295">
                  <c:v>98.764245861090714</c:v>
                </c:pt>
                <c:pt idx="296">
                  <c:v>99.055275194036028</c:v>
                </c:pt>
                <c:pt idx="297">
                  <c:v>99.351736641027216</c:v>
                </c:pt>
                <c:pt idx="298">
                  <c:v>99.65382926316417</c:v>
                </c:pt>
                <c:pt idx="299">
                  <c:v>99.961757765285597</c:v>
                </c:pt>
                <c:pt idx="300">
                  <c:v>100.27573274801534</c:v>
                </c:pt>
                <c:pt idx="301">
                  <c:v>100.59597096765093</c:v>
                </c:pt>
                <c:pt idx="302">
                  <c:v>100.92269560365267</c:v>
                </c:pt>
                <c:pt idx="303">
                  <c:v>101.25613653337993</c:v>
                </c:pt>
                <c:pt idx="304">
                  <c:v>101.59653061359238</c:v>
                </c:pt>
                <c:pt idx="305">
                  <c:v>101.94412196807879</c:v>
                </c:pt>
                <c:pt idx="306">
                  <c:v>102.29916228060435</c:v>
                </c:pt>
                <c:pt idx="307">
                  <c:v>102.66191109215448</c:v>
                </c:pt>
                <c:pt idx="308">
                  <c:v>103.03263610122518</c:v>
                </c:pt>
                <c:pt idx="309">
                  <c:v>103.41161346563113</c:v>
                </c:pt>
                <c:pt idx="310">
                  <c:v>103.79912810399156</c:v>
                </c:pt>
                <c:pt idx="311">
                  <c:v>104.1954739946988</c:v>
                </c:pt>
                <c:pt idx="312">
                  <c:v>104.60095446976278</c:v>
                </c:pt>
                <c:pt idx="313">
                  <c:v>105.015882500464</c:v>
                </c:pt>
                <c:pt idx="314">
                  <c:v>105.44058097121953</c:v>
                </c:pt>
                <c:pt idx="315">
                  <c:v>105.87538293747323</c:v>
                </c:pt>
                <c:pt idx="316">
                  <c:v>106.32063186275045</c:v>
                </c:pt>
                <c:pt idx="317">
                  <c:v>106.77668182926664</c:v>
                </c:pt>
                <c:pt idx="318">
                  <c:v>107.24389771563528</c:v>
                </c:pt>
                <c:pt idx="319">
                  <c:v>107.72265533428218</c:v>
                </c:pt>
                <c:pt idx="320">
                  <c:v>108.2133415201305</c:v>
                </c:pt>
                <c:pt idx="321">
                  <c:v>108.71635416096774</c:v>
                </c:pt>
                <c:pt idx="322">
                  <c:v>109.23210215863566</c:v>
                </c:pt>
                <c:pt idx="323">
                  <c:v>109.76100530879556</c:v>
                </c:pt>
                <c:pt idx="324">
                  <c:v>110.30349408551412</c:v>
                </c:pt>
                <c:pt idx="325">
                  <c:v>110.86000931527602</c:v>
                </c:pt>
                <c:pt idx="326">
                  <c:v>111.43100172328801</c:v>
                </c:pt>
                <c:pt idx="327">
                  <c:v>112.01693133308162</c:v>
                </c:pt>
                <c:pt idx="328">
                  <c:v>112.61826669847046</c:v>
                </c:pt>
                <c:pt idx="329">
                  <c:v>113.23548394490767</c:v>
                </c:pt>
                <c:pt idx="330">
                  <c:v>113.86906559522777</c:v>
                </c:pt>
                <c:pt idx="331">
                  <c:v>114.51949915272293</c:v>
                </c:pt>
                <c:pt idx="332">
                  <c:v>115.18727541250939</c:v>
                </c:pt>
                <c:pt idx="333">
                  <c:v>115.8728864703173</c:v>
                </c:pt>
                <c:pt idx="334">
                  <c:v>116.57682339620794</c:v>
                </c:pt>
                <c:pt idx="335">
                  <c:v>117.29957353947958</c:v>
                </c:pt>
                <c:pt idx="336">
                  <c:v>118.04161743022601</c:v>
                </c:pt>
                <c:pt idx="337">
                  <c:v>118.80342524289792</c:v>
                </c:pt>
                <c:pt idx="338">
                  <c:v>119.58545278790056</c:v>
                </c:pt>
                <c:pt idx="339">
                  <c:v>120.38813699903383</c:v>
                </c:pt>
                <c:pt idx="340">
                  <c:v>121.21189088762624</c:v>
                </c:pt>
                <c:pt idx="341">
                  <c:v>122.05709793882561</c:v>
                </c:pt>
                <c:pt idx="342">
                  <c:v>122.92410593196114</c:v>
                </c:pt>
                <c:pt idx="343">
                  <c:v>123.81322017546586</c:v>
                </c:pt>
                <c:pt idx="344">
                  <c:v>124.72469615781174</c:v>
                </c:pt>
                <c:pt idx="345">
                  <c:v>125.65873162953295</c:v>
                </c:pt>
                <c:pt idx="346">
                  <c:v>126.61545814785042</c:v>
                </c:pt>
                <c:pt idx="347">
                  <c:v>127.59493213478933</c:v>
                </c:pt>
                <c:pt idx="348">
                  <c:v>128.59712552201546</c:v>
                </c:pt>
                <c:pt idx="349">
                  <c:v>129.62191608063804</c:v>
                </c:pt>
                <c:pt idx="350">
                  <c:v>130.66907756168561</c:v>
                </c:pt>
                <c:pt idx="351">
                  <c:v>131.73826980212255</c:v>
                </c:pt>
                <c:pt idx="352">
                  <c:v>132.82902898131098</c:v>
                </c:pt>
                <c:pt idx="353">
                  <c:v>133.94075824251001</c:v>
                </c:pt>
                <c:pt idx="354">
                  <c:v>135.07271892184454</c:v>
                </c:pt>
                <c:pt idx="355">
                  <c:v>136.22402265139169</c:v>
                </c:pt>
                <c:pt idx="356">
                  <c:v>137.39362462161839</c:v>
                </c:pt>
                <c:pt idx="357">
                  <c:v>138.58031829920625</c:v>
                </c:pt>
                <c:pt idx="358">
                  <c:v>139.78273189717746</c:v>
                </c:pt>
                <c:pt idx="359">
                  <c:v>140.99932688322522</c:v>
                </c:pt>
                <c:pt idx="360">
                  <c:v>142.22839878762528</c:v>
                </c:pt>
                <c:pt idx="361">
                  <c:v>143.46808053305728</c:v>
                </c:pt>
                <c:pt idx="362">
                  <c:v>144.71634845486571</c:v>
                </c:pt>
                <c:pt idx="363">
                  <c:v>145.9710311124845</c:v>
                </c:pt>
                <c:pt idx="364">
                  <c:v>147.22982091277152</c:v>
                </c:pt>
                <c:pt idx="365">
                  <c:v>148.49028847681083</c:v>
                </c:pt>
                <c:pt idx="366">
                  <c:v>149.74989958732201</c:v>
                </c:pt>
                <c:pt idx="367">
                  <c:v>151.00603445896274</c:v>
                </c:pt>
                <c:pt idx="368">
                  <c:v>152.25600898390616</c:v>
                </c:pt>
                <c:pt idx="369">
                  <c:v>153.4970975254646</c:v>
                </c:pt>
                <c:pt idx="370">
                  <c:v>154.72655676838778</c:v>
                </c:pt>
                <c:pt idx="371">
                  <c:v>155.94165008995907</c:v>
                </c:pt>
                <c:pt idx="372">
                  <c:v>157.13967189422746</c:v>
                </c:pt>
                <c:pt idx="373">
                  <c:v>158.31797135412322</c:v>
                </c:pt>
                <c:pt idx="374">
                  <c:v>159.47397503264821</c:v>
                </c:pt>
                <c:pt idx="375">
                  <c:v>160.60520790296576</c:v>
                </c:pt>
                <c:pt idx="376">
                  <c:v>161.70931235473202</c:v>
                </c:pt>
                <c:pt idx="377">
                  <c:v>162.78406485594621</c:v>
                </c:pt>
                <c:pt idx="378">
                  <c:v>163.82739003077842</c:v>
                </c:pt>
                <c:pt idx="379">
                  <c:v>164.83737200879</c:v>
                </c:pt>
                <c:pt idx="380">
                  <c:v>165.81226299445325</c:v>
                </c:pt>
                <c:pt idx="381">
                  <c:v>166.7504890932434</c:v>
                </c:pt>
                <c:pt idx="382">
                  <c:v>167.65065350802121</c:v>
                </c:pt>
                <c:pt idx="383">
                  <c:v>168.51153728421286</c:v>
                </c:pt>
                <c:pt idx="384">
                  <c:v>169.3320978328621</c:v>
                </c:pt>
                <c:pt idx="385">
                  <c:v>170.11146549637925</c:v>
                </c:pt>
                <c:pt idx="386">
                  <c:v>170.84893844322548</c:v>
                </c:pt>
                <c:pt idx="387">
                  <c:v>171.54397618593794</c:v>
                </c:pt>
                <c:pt idx="388">
                  <c:v>172.19619201356343</c:v>
                </c:pt>
                <c:pt idx="389">
                  <c:v>172.80534461676874</c:v>
                </c:pt>
                <c:pt idx="390">
                  <c:v>173.37132916373494</c:v>
                </c:pt>
                <c:pt idx="391">
                  <c:v>173.89416805961744</c:v>
                </c:pt>
                <c:pt idx="392">
                  <c:v>174.37400159378561</c:v>
                </c:pt>
                <c:pt idx="393">
                  <c:v>174.81107864900048</c:v>
                </c:pt>
                <c:pt idx="394">
                  <c:v>175.20574761656971</c:v>
                </c:pt>
                <c:pt idx="395">
                  <c:v>175.55844763250278</c:v>
                </c:pt>
                <c:pt idx="396">
                  <c:v>175.86970022258114</c:v>
                </c:pt>
                <c:pt idx="397">
                  <c:v>176.14010141964866</c:v>
                </c:pt>
                <c:pt idx="398">
                  <c:v>176.37031439467862</c:v>
                </c:pt>
                <c:pt idx="399">
                  <c:v>176.56106262434503</c:v>
                </c:pt>
                <c:pt idx="400">
                  <c:v>176.71312360203302</c:v>
                </c:pt>
                <c:pt idx="401">
                  <c:v>176.82732308621107</c:v>
                </c:pt>
                <c:pt idx="402">
                  <c:v>176.90452986975376</c:v>
                </c:pt>
                <c:pt idx="403">
                  <c:v>176.94565104584569</c:v>
                </c:pt>
                <c:pt idx="404">
                  <c:v>176.95162774024584</c:v>
                </c:pt>
                <c:pt idx="405">
                  <c:v>176.92343127569089</c:v>
                </c:pt>
                <c:pt idx="406">
                  <c:v>176.86205973173512</c:v>
                </c:pt>
                <c:pt idx="407">
                  <c:v>176.76853486216544</c:v>
                </c:pt>
                <c:pt idx="408">
                  <c:v>176.64389933200749</c:v>
                </c:pt>
                <c:pt idx="409">
                  <c:v>176.48921423685599</c:v>
                </c:pt>
                <c:pt idx="410">
                  <c:v>176.30555686863374</c:v>
                </c:pt>
                <c:pt idx="411">
                  <c:v>176.09401869375012</c:v>
                </c:pt>
                <c:pt idx="412">
                  <c:v>175.85570351183918</c:v>
                </c:pt>
                <c:pt idx="413">
                  <c:v>175.59172576570592</c:v>
                </c:pt>
                <c:pt idx="414">
                  <c:v>175.30320897571792</c:v>
                </c:pt>
                <c:pt idx="415">
                  <c:v>174.99128427453402</c:v>
                </c:pt>
                <c:pt idx="416">
                  <c:v>174.65708902073291</c:v>
                </c:pt>
                <c:pt idx="417">
                  <c:v>174.30176547254413</c:v>
                </c:pt>
                <c:pt idx="418">
                  <c:v>173.92645950541441</c:v>
                </c:pt>
                <c:pt idx="419">
                  <c:v>173.53231935961131</c:v>
                </c:pt>
                <c:pt idx="420">
                  <c:v>173.12049440634968</c:v>
                </c:pt>
                <c:pt idx="421">
                  <c:v>172.69213392313256</c:v>
                </c:pt>
                <c:pt idx="422">
                  <c:v>172.24838587098461</c:v>
                </c:pt>
                <c:pt idx="423">
                  <c:v>171.79039566813842</c:v>
                </c:pt>
                <c:pt idx="424">
                  <c:v>171.31930495642999</c:v>
                </c:pt>
                <c:pt idx="425">
                  <c:v>170.83625035818199</c:v>
                </c:pt>
                <c:pt idx="426">
                  <c:v>170.34236222274987</c:v>
                </c:pt>
                <c:pt idx="427">
                  <c:v>169.83876336311181</c:v>
                </c:pt>
                <c:pt idx="428">
                  <c:v>169.32656778394968</c:v>
                </c:pt>
                <c:pt idx="429">
                  <c:v>168.80687940358123</c:v>
                </c:pt>
                <c:pt idx="430">
                  <c:v>168.28079077289084</c:v>
                </c:pt>
                <c:pt idx="431">
                  <c:v>167.74938179501291</c:v>
                </c:pt>
                <c:pt idx="432">
                  <c:v>167.21371845005913</c:v>
                </c:pt>
                <c:pt idx="433">
                  <c:v>166.67485152952679</c:v>
                </c:pt>
                <c:pt idx="434">
                  <c:v>166.1338153853159</c:v>
                </c:pt>
                <c:pt idx="435">
                  <c:v>165.59162669842036</c:v>
                </c:pt>
                <c:pt idx="436">
                  <c:v>165.04928327241501</c:v>
                </c:pt>
                <c:pt idx="437">
                  <c:v>164.5077628568142</c:v>
                </c:pt>
                <c:pt idx="438">
                  <c:v>163.96802200526028</c:v>
                </c:pt>
                <c:pt idx="439">
                  <c:v>163.43099497327609</c:v>
                </c:pt>
                <c:pt idx="440">
                  <c:v>162.89759266006533</c:v>
                </c:pt>
                <c:pt idx="441">
                  <c:v>162.368701598494</c:v>
                </c:pt>
                <c:pt idx="442">
                  <c:v>161.84518299700343</c:v>
                </c:pt>
                <c:pt idx="443">
                  <c:v>161.32787183679952</c:v>
                </c:pt>
                <c:pt idx="444">
                  <c:v>160.81757602717403</c:v>
                </c:pt>
                <c:pt idx="445">
                  <c:v>160.31507562136136</c:v>
                </c:pt>
                <c:pt idx="446">
                  <c:v>159.82112209483043</c:v>
                </c:pt>
                <c:pt idx="447">
                  <c:v>159.3364376874033</c:v>
                </c:pt>
                <c:pt idx="448">
                  <c:v>158.86171481011431</c:v>
                </c:pt>
                <c:pt idx="449">
                  <c:v>158.3976155172268</c:v>
                </c:pt>
                <c:pt idx="450">
                  <c:v>157.94477104337236</c:v>
                </c:pt>
                <c:pt idx="451">
                  <c:v>157.50378140532544</c:v>
                </c:pt>
                <c:pt idx="452">
                  <c:v>157.07521506754892</c:v>
                </c:pt>
                <c:pt idx="453">
                  <c:v>156.65960867025234</c:v>
                </c:pt>
                <c:pt idx="454">
                  <c:v>156.25746681841147</c:v>
                </c:pt>
                <c:pt idx="455">
                  <c:v>155.86926192990941</c:v>
                </c:pt>
                <c:pt idx="456">
                  <c:v>155.49543414074628</c:v>
                </c:pt>
                <c:pt idx="457">
                  <c:v>155.136391265084</c:v>
                </c:pt>
                <c:pt idx="458">
                  <c:v>154.7925088077958</c:v>
                </c:pt>
                <c:pt idx="459">
                  <c:v>154.46413002710725</c:v>
                </c:pt>
                <c:pt idx="460">
                  <c:v>154.15156604491077</c:v>
                </c:pt>
                <c:pt idx="461">
                  <c:v>153.85509600237768</c:v>
                </c:pt>
                <c:pt idx="462">
                  <c:v>153.57496725856979</c:v>
                </c:pt>
                <c:pt idx="463">
                  <c:v>153.31139562987391</c:v>
                </c:pt>
                <c:pt idx="464">
                  <c:v>153.06456566826</c:v>
                </c:pt>
                <c:pt idx="465">
                  <c:v>152.8346309765422</c:v>
                </c:pt>
                <c:pt idx="466">
                  <c:v>152.62171455905352</c:v>
                </c:pt>
                <c:pt idx="467">
                  <c:v>152.42590920638276</c:v>
                </c:pt>
                <c:pt idx="468">
                  <c:v>152.24727791307842</c:v>
                </c:pt>
                <c:pt idx="469">
                  <c:v>152.08585432747955</c:v>
                </c:pt>
                <c:pt idx="470">
                  <c:v>151.94164323309505</c:v>
                </c:pt>
                <c:pt idx="471">
                  <c:v>151.81462106120674</c:v>
                </c:pt>
                <c:pt idx="472">
                  <c:v>151.70473643460332</c:v>
                </c:pt>
                <c:pt idx="473">
                  <c:v>151.61191074256516</c:v>
                </c:pt>
                <c:pt idx="474">
                  <c:v>151.53603874741441</c:v>
                </c:pt>
                <c:pt idx="475">
                  <c:v>151.47698922308706</c:v>
                </c:pt>
                <c:pt idx="476">
                  <c:v>151.43460562630838</c:v>
                </c:pt>
                <c:pt idx="477">
                  <c:v>151.40870680101727</c:v>
                </c:pt>
                <c:pt idx="478">
                  <c:v>151.39908771671608</c:v>
                </c:pt>
                <c:pt idx="479">
                  <c:v>151.40552024138955</c:v>
                </c:pt>
                <c:pt idx="480">
                  <c:v>151.42775394958267</c:v>
                </c:pt>
                <c:pt idx="481">
                  <c:v>151.4655169660702</c:v>
                </c:pt>
                <c:pt idx="482">
                  <c:v>151.51851684541239</c:v>
                </c:pt>
                <c:pt idx="483">
                  <c:v>151.58644148743343</c:v>
                </c:pt>
                <c:pt idx="484">
                  <c:v>151.66896008841869</c:v>
                </c:pt>
                <c:pt idx="485">
                  <c:v>151.76572412749081</c:v>
                </c:pt>
                <c:pt idx="486">
                  <c:v>151.87636838730049</c:v>
                </c:pt>
                <c:pt idx="487">
                  <c:v>152.0005120077661</c:v>
                </c:pt>
                <c:pt idx="488">
                  <c:v>152.13775957121959</c:v>
                </c:pt>
                <c:pt idx="489">
                  <c:v>152.28770221687452</c:v>
                </c:pt>
                <c:pt idx="490">
                  <c:v>152.44991878212736</c:v>
                </c:pt>
                <c:pt idx="491">
                  <c:v>152.62397696776517</c:v>
                </c:pt>
                <c:pt idx="492">
                  <c:v>152.80943452374552</c:v>
                </c:pt>
                <c:pt idx="493">
                  <c:v>153.00584045181807</c:v>
                </c:pt>
                <c:pt idx="494">
                  <c:v>153.2127362208887</c:v>
                </c:pt>
                <c:pt idx="495">
                  <c:v>153.42965699069478</c:v>
                </c:pt>
                <c:pt idx="496">
                  <c:v>153.65613283907047</c:v>
                </c:pt>
                <c:pt idx="497">
                  <c:v>153.89168998784913</c:v>
                </c:pt>
                <c:pt idx="498">
                  <c:v>154.13585202225252</c:v>
                </c:pt>
                <c:pt idx="499">
                  <c:v>154.38814109851293</c:v>
                </c:pt>
                <c:pt idx="500">
                  <c:v>154.64807913440038</c:v>
                </c:pt>
                <c:pt idx="501">
                  <c:v>154.91518897734227</c:v>
                </c:pt>
                <c:pt idx="502">
                  <c:v>155.18899554489838</c:v>
                </c:pt>
                <c:pt idx="503">
                  <c:v>155.46902693248978</c:v>
                </c:pt>
                <c:pt idx="504">
                  <c:v>155.75481548348534</c:v>
                </c:pt>
                <c:pt idx="505">
                  <c:v>156.04589881701847</c:v>
                </c:pt>
                <c:pt idx="506">
                  <c:v>156.34182080921795</c:v>
                </c:pt>
                <c:pt idx="507">
                  <c:v>156.64213252391656</c:v>
                </c:pt>
                <c:pt idx="508">
                  <c:v>156.94639308930567</c:v>
                </c:pt>
                <c:pt idx="509">
                  <c:v>157.25417051746001</c:v>
                </c:pt>
                <c:pt idx="510">
                  <c:v>157.56504246413041</c:v>
                </c:pt>
                <c:pt idx="511">
                  <c:v>157.87859692670605</c:v>
                </c:pt>
                <c:pt idx="512">
                  <c:v>158.1944328787535</c:v>
                </c:pt>
                <c:pt idx="513">
                  <c:v>158.51216084005486</c:v>
                </c:pt>
                <c:pt idx="514">
                  <c:v>158.83140338158577</c:v>
                </c:pt>
                <c:pt idx="515">
                  <c:v>159.15179556536353</c:v>
                </c:pt>
                <c:pt idx="516">
                  <c:v>159.47298531958768</c:v>
                </c:pt>
                <c:pt idx="517">
                  <c:v>159.79463374994668</c:v>
                </c:pt>
                <c:pt idx="518">
                  <c:v>160.11641538839979</c:v>
                </c:pt>
                <c:pt idx="519">
                  <c:v>160.43801838113254</c:v>
                </c:pt>
                <c:pt idx="520">
                  <c:v>160.75914461774985</c:v>
                </c:pt>
                <c:pt idx="521">
                  <c:v>161.07950980407966</c:v>
                </c:pt>
                <c:pt idx="522">
                  <c:v>161.39884348124804</c:v>
                </c:pt>
                <c:pt idx="523">
                  <c:v>161.71688899390804</c:v>
                </c:pt>
                <c:pt idx="524">
                  <c:v>162.03340341070748</c:v>
                </c:pt>
                <c:pt idx="525">
                  <c:v>162.34815740021818</c:v>
                </c:pt>
                <c:pt idx="526">
                  <c:v>162.66093506566668</c:v>
                </c:pt>
                <c:pt idx="527">
                  <c:v>162.9715337418651</c:v>
                </c:pt>
                <c:pt idx="528">
                  <c:v>163.27976375777982</c:v>
                </c:pt>
                <c:pt idx="529">
                  <c:v>163.58544816816695</c:v>
                </c:pt>
                <c:pt idx="530">
                  <c:v>163.88842245767114</c:v>
                </c:pt>
                <c:pt idx="531">
                  <c:v>164.18853422071854</c:v>
                </c:pt>
                <c:pt idx="532">
                  <c:v>164.48564282044995</c:v>
                </c:pt>
                <c:pt idx="533">
                  <c:v>164.77961902982753</c:v>
                </c:pt>
                <c:pt idx="534">
                  <c:v>165.07034465792</c:v>
                </c:pt>
                <c:pt idx="535">
                  <c:v>165.35771216422842</c:v>
                </c:pt>
                <c:pt idx="536">
                  <c:v>165.64162426375808</c:v>
                </c:pt>
                <c:pt idx="537">
                  <c:v>165.9219935253798</c:v>
                </c:pt>
                <c:pt idx="538">
                  <c:v>166.19874196584584</c:v>
                </c:pt>
                <c:pt idx="539">
                  <c:v>166.4718006416602</c:v>
                </c:pt>
                <c:pt idx="540">
                  <c:v>166.74110924081654</c:v>
                </c:pt>
                <c:pt idx="541">
                  <c:v>167.00661567624817</c:v>
                </c:pt>
              </c:numCache>
            </c:numRef>
          </c:yVal>
          <c:smooth val="1"/>
          <c:extLst>
            <c:ext xmlns:c16="http://schemas.microsoft.com/office/drawing/2014/chart" uri="{C3380CC4-5D6E-409C-BE32-E72D297353CC}">
              <c16:uniqueId val="{00000001-F188-4D39-B62C-FFCB026FFDB3}"/>
            </c:ext>
          </c:extLst>
        </c:ser>
        <c:dLbls>
          <c:showLegendKey val="0"/>
          <c:showVal val="0"/>
          <c:showCatName val="0"/>
          <c:showSerName val="0"/>
          <c:showPercent val="0"/>
          <c:showBubbleSize val="0"/>
        </c:dLbls>
        <c:axId val="161005952"/>
        <c:axId val="160987776"/>
      </c:scatterChart>
      <c:valAx>
        <c:axId val="160959104"/>
        <c:scaling>
          <c:logBase val="10"/>
          <c:orientation val="minMax"/>
          <c:max val="2200000"/>
          <c:min val="10"/>
        </c:scaling>
        <c:delete val="0"/>
        <c:axPos val="b"/>
        <c:minorGridlines/>
        <c:title>
          <c:tx>
            <c:rich>
              <a:bodyPr/>
              <a:lstStyle/>
              <a:p>
                <a:pPr>
                  <a:defRPr/>
                </a:pPr>
                <a:r>
                  <a:rPr lang="en-US"/>
                  <a:t>Frequency</a:t>
                </a:r>
                <a:r>
                  <a:rPr lang="en-US" baseline="0"/>
                  <a:t> (Hz)</a:t>
                </a:r>
                <a:endParaRPr lang="en-US"/>
              </a:p>
            </c:rich>
          </c:tx>
          <c:overlay val="0"/>
        </c:title>
        <c:numFmt formatCode="0" sourceLinked="0"/>
        <c:majorTickMark val="out"/>
        <c:minorTickMark val="none"/>
        <c:tickLblPos val="low"/>
        <c:crossAx val="160985856"/>
        <c:crosses val="autoZero"/>
        <c:crossBetween val="midCat"/>
      </c:valAx>
      <c:valAx>
        <c:axId val="160985856"/>
        <c:scaling>
          <c:orientation val="minMax"/>
          <c:max val="40"/>
          <c:min val="-40"/>
        </c:scaling>
        <c:delete val="0"/>
        <c:axPos val="l"/>
        <c:majorGridlines/>
        <c:minorGridlines/>
        <c:title>
          <c:tx>
            <c:rich>
              <a:bodyPr rot="-5400000" vert="horz"/>
              <a:lstStyle/>
              <a:p>
                <a:pPr>
                  <a:defRPr/>
                </a:pPr>
                <a:r>
                  <a:rPr lang="en-US">
                    <a:solidFill>
                      <a:srgbClr val="FF0000"/>
                    </a:solidFill>
                  </a:rPr>
                  <a:t>Gain</a:t>
                </a:r>
                <a:r>
                  <a:rPr lang="en-US" baseline="0">
                    <a:solidFill>
                      <a:srgbClr val="FF0000"/>
                    </a:solidFill>
                  </a:rPr>
                  <a:t> (dB)</a:t>
                </a:r>
                <a:endParaRPr lang="en-US">
                  <a:solidFill>
                    <a:srgbClr val="FF0000"/>
                  </a:solidFill>
                </a:endParaRPr>
              </a:p>
            </c:rich>
          </c:tx>
          <c:overlay val="0"/>
        </c:title>
        <c:numFmt formatCode="General" sourceLinked="0"/>
        <c:majorTickMark val="out"/>
        <c:minorTickMark val="none"/>
        <c:tickLblPos val="nextTo"/>
        <c:txPr>
          <a:bodyPr/>
          <a:lstStyle/>
          <a:p>
            <a:pPr>
              <a:defRPr>
                <a:solidFill>
                  <a:srgbClr val="FF0000"/>
                </a:solidFill>
              </a:defRPr>
            </a:pPr>
            <a:endParaRPr lang="en-US"/>
          </a:p>
        </c:txPr>
        <c:crossAx val="160959104"/>
        <c:crosses val="autoZero"/>
        <c:crossBetween val="midCat"/>
        <c:majorUnit val="20"/>
        <c:minorUnit val="10"/>
      </c:valAx>
      <c:valAx>
        <c:axId val="160987776"/>
        <c:scaling>
          <c:orientation val="minMax"/>
          <c:max val="180"/>
          <c:min val="-180"/>
        </c:scaling>
        <c:delete val="0"/>
        <c:axPos val="r"/>
        <c:numFmt formatCode="General" sourceLinked="1"/>
        <c:majorTickMark val="out"/>
        <c:minorTickMark val="none"/>
        <c:tickLblPos val="nextTo"/>
        <c:txPr>
          <a:bodyPr/>
          <a:lstStyle/>
          <a:p>
            <a:pPr>
              <a:defRPr>
                <a:solidFill>
                  <a:schemeClr val="tx1">
                    <a:lumMod val="95000"/>
                    <a:lumOff val="5000"/>
                  </a:schemeClr>
                </a:solidFill>
              </a:defRPr>
            </a:pPr>
            <a:endParaRPr lang="en-US"/>
          </a:p>
        </c:txPr>
        <c:crossAx val="161005952"/>
        <c:crosses val="max"/>
        <c:crossBetween val="midCat"/>
        <c:majorUnit val="90"/>
        <c:minorUnit val="45"/>
      </c:valAx>
      <c:valAx>
        <c:axId val="161005952"/>
        <c:scaling>
          <c:logBase val="10"/>
          <c:orientation val="minMax"/>
        </c:scaling>
        <c:delete val="1"/>
        <c:axPos val="b"/>
        <c:numFmt formatCode="0.00" sourceLinked="1"/>
        <c:majorTickMark val="out"/>
        <c:minorTickMark val="none"/>
        <c:tickLblPos val="nextTo"/>
        <c:crossAx val="160987776"/>
        <c:crosses val="autoZero"/>
        <c:crossBetween val="midCat"/>
      </c:valAx>
    </c:plotArea>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l">
              <a:defRPr sz="2400"/>
            </a:pPr>
            <a:r>
              <a:rPr lang="el-GR" sz="2400"/>
              <a:t>η</a:t>
            </a:r>
            <a:endParaRPr lang="en-US" sz="2400"/>
          </a:p>
        </c:rich>
      </c:tx>
      <c:layout>
        <c:manualLayout>
          <c:xMode val="edge"/>
          <c:yMode val="edge"/>
          <c:x val="9.2321838295158831E-2"/>
          <c:y val="6.7069081153588199E-3"/>
        </c:manualLayout>
      </c:layout>
      <c:overlay val="1"/>
    </c:title>
    <c:autoTitleDeleted val="0"/>
    <c:plotArea>
      <c:layout>
        <c:manualLayout>
          <c:layoutTarget val="inner"/>
          <c:xMode val="edge"/>
          <c:yMode val="edge"/>
          <c:x val="9.4343575816580413E-2"/>
          <c:y val="0.12777504924560487"/>
          <c:w val="0.82170691922728745"/>
          <c:h val="0.74982770867653059"/>
        </c:manualLayout>
      </c:layout>
      <c:scatterChart>
        <c:scatterStyle val="smoothMarker"/>
        <c:varyColors val="0"/>
        <c:ser>
          <c:idx val="0"/>
          <c:order val="0"/>
          <c:tx>
            <c:v>Eff</c:v>
          </c:tx>
          <c:spPr>
            <a:ln>
              <a:solidFill>
                <a:srgbClr val="FF0000"/>
              </a:solidFill>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Eff_vs_IOUT!$AT$7:$AT$157</c:f>
              <c:numCache>
                <c:formatCode>General</c:formatCode>
                <c:ptCount val="151"/>
                <c:pt idx="0">
                  <c:v>0</c:v>
                </c:pt>
                <c:pt idx="1">
                  <c:v>3.4666638181457441</c:v>
                </c:pt>
                <c:pt idx="2">
                  <c:v>6.6881554618323982</c:v>
                </c:pt>
                <c:pt idx="3">
                  <c:v>9.6889501824328299</c:v>
                </c:pt>
                <c:pt idx="4">
                  <c:v>12.490526598650794</c:v>
                </c:pt>
                <c:pt idx="5">
                  <c:v>15.111733111953827</c:v>
                </c:pt>
                <c:pt idx="6">
                  <c:v>17.569153961155052</c:v>
                </c:pt>
                <c:pt idx="7">
                  <c:v>19.87742783063047</c:v>
                </c:pt>
                <c:pt idx="8">
                  <c:v>22.049518701244818</c:v>
                </c:pt>
                <c:pt idx="9">
                  <c:v>24.096944821703229</c:v>
                </c:pt>
                <c:pt idx="10">
                  <c:v>26.029972253170897</c:v>
                </c:pt>
                <c:pt idx="11">
                  <c:v>27.857778794084858</c:v>
                </c:pt>
                <c:pt idx="12">
                  <c:v>29.588593220138659</c:v>
                </c:pt>
                <c:pt idx="13">
                  <c:v>31.229813945496666</c:v>
                </c:pt>
                <c:pt idx="14">
                  <c:v>32.788110494177673</c:v>
                </c:pt>
                <c:pt idx="15">
                  <c:v>34.269510572158083</c:v>
                </c:pt>
                <c:pt idx="16">
                  <c:v>35.67947503905571</c:v>
                </c:pt>
                <c:pt idx="17">
                  <c:v>37.022962676798429</c:v>
                </c:pt>
                <c:pt idx="18">
                  <c:v>38.304486325521317</c:v>
                </c:pt>
                <c:pt idx="19">
                  <c:v>39.528161690199077</c:v>
                </c:pt>
                <c:pt idx="20">
                  <c:v>40.697749903661432</c:v>
                </c:pt>
                <c:pt idx="21">
                  <c:v>41.816694753252598</c:v>
                </c:pt>
                <c:pt idx="22">
                  <c:v>42.888155331898432</c:v>
                </c:pt>
                <c:pt idx="23">
                  <c:v>43.915034753653885</c:v>
                </c:pt>
                <c:pt idx="24">
                  <c:v>44.900005474044299</c:v>
                </c:pt>
                <c:pt idx="25">
                  <c:v>45.845531672782052</c:v>
                </c:pt>
                <c:pt idx="26">
                  <c:v>46.753889087599539</c:v>
                </c:pt>
                <c:pt idx="27">
                  <c:v>47.627182630470337</c:v>
                </c:pt>
                <c:pt idx="28">
                  <c:v>48.467362069357996</c:v>
                </c:pt>
                <c:pt idx="29">
                  <c:v>49.276236018192613</c:v>
                </c:pt>
                <c:pt idx="30">
                  <c:v>50.055484443693622</c:v>
                </c:pt>
                <c:pt idx="31">
                  <c:v>50.806669868848076</c:v>
                </c:pt>
                <c:pt idx="32">
                  <c:v>51.531247428429609</c:v>
                </c:pt>
                <c:pt idx="33">
                  <c:v>52.230573911177693</c:v>
                </c:pt>
                <c:pt idx="34">
                  <c:v>52.90591590555411</c:v>
                </c:pt>
                <c:pt idx="35">
                  <c:v>53.558457150859596</c:v>
                </c:pt>
                <c:pt idx="36">
                  <c:v>54.189305182524649</c:v>
                </c:pt>
                <c:pt idx="37">
                  <c:v>54.799497349243751</c:v>
                </c:pt>
                <c:pt idx="38">
                  <c:v>55.39000627002445</c:v>
                </c:pt>
                <c:pt idx="39">
                  <c:v>55.961744790935498</c:v>
                </c:pt>
                <c:pt idx="40">
                  <c:v>56.515570494167612</c:v>
                </c:pt>
                <c:pt idx="41">
                  <c:v>57.052289805800392</c:v>
                </c:pt>
                <c:pt idx="42">
                  <c:v>57.572661743263879</c:v>
                </c:pt>
                <c:pt idx="43">
                  <c:v>58.077401338774322</c:v>
                </c:pt>
                <c:pt idx="44">
                  <c:v>58.567182770914464</c:v>
                </c:pt>
                <c:pt idx="45">
                  <c:v>59.042642232934462</c:v>
                </c:pt>
                <c:pt idx="46">
                  <c:v>59.504380563200897</c:v>
                </c:pt>
                <c:pt idx="47">
                  <c:v>59.952965660456528</c:v>
                </c:pt>
                <c:pt idx="48">
                  <c:v>60.38893470412183</c:v>
                </c:pt>
                <c:pt idx="49">
                  <c:v>60.812796197727991</c:v>
                </c:pt>
                <c:pt idx="50">
                  <c:v>61.225031851679447</c:v>
                </c:pt>
                <c:pt idx="51">
                  <c:v>61.626098319873201</c:v>
                </c:pt>
                <c:pt idx="52">
                  <c:v>62.016428803221977</c:v>
                </c:pt>
                <c:pt idx="53">
                  <c:v>62.396434531815004</c:v>
                </c:pt>
                <c:pt idx="54">
                  <c:v>62.766506136284683</c:v>
                </c:pt>
                <c:pt idx="55">
                  <c:v>63.127014917909342</c:v>
                </c:pt>
                <c:pt idx="56">
                  <c:v>63.47831402605798</c:v>
                </c:pt>
                <c:pt idx="57">
                  <c:v>63.820739550758141</c:v>
                </c:pt>
                <c:pt idx="58">
                  <c:v>64.154611537430611</c:v>
                </c:pt>
                <c:pt idx="59">
                  <c:v>64.480234930175769</c:v>
                </c:pt>
                <c:pt idx="60">
                  <c:v>64.797900449404452</c:v>
                </c:pt>
                <c:pt idx="61">
                  <c:v>65.107885409077312</c:v>
                </c:pt>
                <c:pt idx="62">
                  <c:v>65.410454478339219</c:v>
                </c:pt>
                <c:pt idx="63">
                  <c:v>65.70586039190772</c:v>
                </c:pt>
                <c:pt idx="64">
                  <c:v>65.994344613188375</c:v>
                </c:pt>
                <c:pt idx="65">
                  <c:v>66.276137953742079</c:v>
                </c:pt>
                <c:pt idx="66">
                  <c:v>66.551461152415939</c:v>
                </c:pt>
                <c:pt idx="67">
                  <c:v>66.820525417164632</c:v>
                </c:pt>
                <c:pt idx="68">
                  <c:v>67.083532932333597</c:v>
                </c:pt>
                <c:pt idx="69">
                  <c:v>67.340677333942068</c:v>
                </c:pt>
                <c:pt idx="70">
                  <c:v>67.59214415529371</c:v>
                </c:pt>
                <c:pt idx="71">
                  <c:v>67.838111245051039</c:v>
                </c:pt>
                <c:pt idx="72">
                  <c:v>68.078749159736034</c:v>
                </c:pt>
                <c:pt idx="73">
                  <c:v>68.314221532461445</c:v>
                </c:pt>
                <c:pt idx="74">
                  <c:v>68.544685419553204</c:v>
                </c:pt>
                <c:pt idx="75">
                  <c:v>68.770291626593178</c:v>
                </c:pt>
                <c:pt idx="76">
                  <c:v>68.991185015292203</c:v>
                </c:pt>
                <c:pt idx="77">
                  <c:v>69.207504792493793</c:v>
                </c:pt>
                <c:pt idx="78">
                  <c:v>69.41938478250934</c:v>
                </c:pt>
                <c:pt idx="79">
                  <c:v>69.626953683894371</c:v>
                </c:pt>
                <c:pt idx="80">
                  <c:v>69.830335311691755</c:v>
                </c:pt>
                <c:pt idx="81">
                  <c:v>70.029648826091346</c:v>
                </c:pt>
                <c:pt idx="82">
                  <c:v>70.225008948385465</c:v>
                </c:pt>
                <c:pt idx="83">
                  <c:v>70.416526165034981</c:v>
                </c:pt>
                <c:pt idx="84">
                  <c:v>70.604306920601857</c:v>
                </c:pt>
                <c:pt idx="85">
                  <c:v>70.788453800249371</c:v>
                </c:pt>
                <c:pt idx="86">
                  <c:v>70.969065702461691</c:v>
                </c:pt>
                <c:pt idx="87">
                  <c:v>71.146238002588021</c:v>
                </c:pt>
                <c:pt idx="88">
                  <c:v>71.320062707774113</c:v>
                </c:pt>
                <c:pt idx="89">
                  <c:v>71.490628603805433</c:v>
                </c:pt>
                <c:pt idx="90">
                  <c:v>71.658021394349319</c:v>
                </c:pt>
                <c:pt idx="91">
                  <c:v>71.822323833050845</c:v>
                </c:pt>
                <c:pt idx="92">
                  <c:v>71.983615848906297</c:v>
                </c:pt>
                <c:pt idx="93">
                  <c:v>72.141974665309093</c:v>
                </c:pt>
                <c:pt idx="94">
                  <c:v>72.297474913137521</c:v>
                </c:pt>
                <c:pt idx="95">
                  <c:v>72.450188738228633</c:v>
                </c:pt>
                <c:pt idx="96">
                  <c:v>72.600185903560515</c:v>
                </c:pt>
                <c:pt idx="97">
                  <c:v>72.747533886443975</c:v>
                </c:pt>
                <c:pt idx="98">
                  <c:v>72.892297971005178</c:v>
                </c:pt>
                <c:pt idx="99">
                  <c:v>73.034541336223285</c:v>
                </c:pt>
                <c:pt idx="100">
                  <c:v>73.174325139769664</c:v>
                </c:pt>
                <c:pt idx="101">
                  <c:v>73.311708597880468</c:v>
                </c:pt>
                <c:pt idx="102">
                  <c:v>73.446749061479167</c:v>
                </c:pt>
                <c:pt idx="103">
                  <c:v>73.57950208875296</c:v>
                </c:pt>
                <c:pt idx="104">
                  <c:v>73.710021514373778</c:v>
                </c:pt>
                <c:pt idx="105">
                  <c:v>73.838359515543345</c:v>
                </c:pt>
                <c:pt idx="106">
                  <c:v>73.964566675030696</c:v>
                </c:pt>
                <c:pt idx="107">
                  <c:v>74.088692041360829</c:v>
                </c:pt>
                <c:pt idx="108">
                  <c:v>74.210783186302848</c:v>
                </c:pt>
                <c:pt idx="109">
                  <c:v>74.330886259798248</c:v>
                </c:pt>
                <c:pt idx="110">
                  <c:v>74.449046042460807</c:v>
                </c:pt>
                <c:pt idx="111">
                  <c:v>74.565305995772462</c:v>
                </c:pt>
                <c:pt idx="112">
                  <c:v>74.679708310091968</c:v>
                </c:pt>
                <c:pt idx="113">
                  <c:v>74.792293950586711</c:v>
                </c:pt>
                <c:pt idx="114">
                  <c:v>74.903102701191543</c:v>
                </c:pt>
                <c:pt idx="115">
                  <c:v>75.012173206692651</c:v>
                </c:pt>
                <c:pt idx="116">
                  <c:v>75.119543013028945</c:v>
                </c:pt>
                <c:pt idx="117">
                  <c:v>75.225248605898472</c:v>
                </c:pt>
                <c:pt idx="118">
                  <c:v>75.329325447752169</c:v>
                </c:pt>
                <c:pt idx="119">
                  <c:v>75.431808013252905</c:v>
                </c:pt>
                <c:pt idx="120">
                  <c:v>75.532729823273527</c:v>
                </c:pt>
                <c:pt idx="121">
                  <c:v>75.632123477503669</c:v>
                </c:pt>
                <c:pt idx="122">
                  <c:v>75.730020685730921</c:v>
                </c:pt>
                <c:pt idx="123">
                  <c:v>75.826452297858978</c:v>
                </c:pt>
                <c:pt idx="124">
                  <c:v>75.921448332721653</c:v>
                </c:pt>
                <c:pt idx="125">
                  <c:v>76.015038005748764</c:v>
                </c:pt>
                <c:pt idx="126">
                  <c:v>76.107249755536671</c:v>
                </c:pt>
                <c:pt idx="127">
                  <c:v>76.19811126937384</c:v>
                </c:pt>
                <c:pt idx="128">
                  <c:v>76.287649507768805</c:v>
                </c:pt>
                <c:pt idx="129">
                  <c:v>76.375890728025894</c:v>
                </c:pt>
                <c:pt idx="130">
                  <c:v>76.462860506911298</c:v>
                </c:pt>
                <c:pt idx="131">
                  <c:v>76.548583762450136</c:v>
                </c:pt>
                <c:pt idx="132">
                  <c:v>76.633084774893305</c:v>
                </c:pt>
                <c:pt idx="133">
                  <c:v>76.716387206890346</c:v>
                </c:pt>
                <c:pt idx="134">
                  <c:v>76.79851412290347</c:v>
                </c:pt>
                <c:pt idx="135">
                  <c:v>76.879488007895645</c:v>
                </c:pt>
                <c:pt idx="136">
                  <c:v>76.959330785324141</c:v>
                </c:pt>
                <c:pt idx="137">
                  <c:v>77.03806383446944</c:v>
                </c:pt>
                <c:pt idx="138">
                  <c:v>77.115708007128077</c:v>
                </c:pt>
                <c:pt idx="139">
                  <c:v>77.192283643696172</c:v>
                </c:pt>
                <c:pt idx="140">
                  <c:v>77.26781058866959</c:v>
                </c:pt>
                <c:pt idx="141">
                  <c:v>77.342308205585269</c:v>
                </c:pt>
                <c:pt idx="142">
                  <c:v>77.415795391426897</c:v>
                </c:pt>
                <c:pt idx="143">
                  <c:v>77.488290590517281</c:v>
                </c:pt>
                <c:pt idx="144">
                  <c:v>77.559811807918493</c:v>
                </c:pt>
                <c:pt idx="145">
                  <c:v>77.630376622360103</c:v>
                </c:pt>
                <c:pt idx="146">
                  <c:v>77.700002198714742</c:v>
                </c:pt>
                <c:pt idx="147">
                  <c:v>77.768705300039173</c:v>
                </c:pt>
                <c:pt idx="148">
                  <c:v>77.8365022991986</c:v>
                </c:pt>
                <c:pt idx="149">
                  <c:v>77.903409190090827</c:v>
                </c:pt>
                <c:pt idx="150">
                  <c:v>77.96944159848627</c:v>
                </c:pt>
              </c:numCache>
            </c:numRef>
          </c:yVal>
          <c:smooth val="0"/>
          <c:extLst>
            <c:ext xmlns:c16="http://schemas.microsoft.com/office/drawing/2014/chart" uri="{C3380CC4-5D6E-409C-BE32-E72D297353CC}">
              <c16:uniqueId val="{00000000-D428-476F-9D9B-414A5D21B4D3}"/>
            </c:ext>
          </c:extLst>
        </c:ser>
        <c:dLbls>
          <c:showLegendKey val="0"/>
          <c:showVal val="0"/>
          <c:showCatName val="0"/>
          <c:showSerName val="0"/>
          <c:showPercent val="0"/>
          <c:showBubbleSize val="0"/>
        </c:dLbls>
        <c:axId val="161084544"/>
        <c:axId val="161086080"/>
      </c:scatterChart>
      <c:scatterChart>
        <c:scatterStyle val="smoothMarker"/>
        <c:varyColors val="0"/>
        <c:ser>
          <c:idx val="1"/>
          <c:order val="1"/>
          <c:tx>
            <c:v>MOSFET</c:v>
          </c:tx>
          <c:spPr>
            <a:ln>
              <a:solidFill>
                <a:schemeClr val="tx2">
                  <a:lumMod val="75000"/>
                </a:schemeClr>
              </a:solidFill>
              <a:prstDash val="dashDot"/>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Eff_vs_IOUT!$AI$7:$AI$157</c:f>
              <c:numCache>
                <c:formatCode>General</c:formatCode>
                <c:ptCount val="151"/>
                <c:pt idx="0">
                  <c:v>0</c:v>
                </c:pt>
                <c:pt idx="1">
                  <c:v>5.1379431097557519E-4</c:v>
                </c:pt>
                <c:pt idx="2">
                  <c:v>1.048674074874125E-3</c:v>
                </c:pt>
                <c:pt idx="3">
                  <c:v>1.5972802679335252E-3</c:v>
                </c:pt>
                <c:pt idx="4">
                  <c:v>2.1569868167331504E-3</c:v>
                </c:pt>
                <c:pt idx="5">
                  <c:v>2.7262759958518088E-3</c:v>
                </c:pt>
                <c:pt idx="6">
                  <c:v>3.3041237631566316E-3</c:v>
                </c:pt>
                <c:pt idx="7">
                  <c:v>3.8897783432682949E-3</c:v>
                </c:pt>
                <c:pt idx="8">
                  <c:v>4.4826572568500977E-3</c:v>
                </c:pt>
                <c:pt idx="9">
                  <c:v>5.0822918765189998E-3</c:v>
                </c:pt>
                <c:pt idx="10">
                  <c:v>5.688294522064331E-3</c:v>
                </c:pt>
                <c:pt idx="11">
                  <c:v>6.3003375165987833E-3</c:v>
                </c:pt>
                <c:pt idx="12">
                  <c:v>6.9181391302538461E-3</c:v>
                </c:pt>
                <c:pt idx="13">
                  <c:v>7.5414537453000344E-3</c:v>
                </c:pt>
                <c:pt idx="14">
                  <c:v>8.1700647395440452E-3</c:v>
                </c:pt>
                <c:pt idx="15">
                  <c:v>8.8037791917368324E-3</c:v>
                </c:pt>
                <c:pt idx="16">
                  <c:v>9.4424238495793948E-3</c:v>
                </c:pt>
                <c:pt idx="17">
                  <c:v>1.0085841997596243E-2</c:v>
                </c:pt>
                <c:pt idx="18">
                  <c:v>1.0733890981958314E-2</c:v>
                </c:pt>
                <c:pt idx="19">
                  <c:v>1.1386440224999298E-2</c:v>
                </c:pt>
                <c:pt idx="20">
                  <c:v>1.2043369611457208E-2</c:v>
                </c:pt>
                <c:pt idx="21">
                  <c:v>1.2704568161459673E-2</c:v>
                </c:pt>
                <c:pt idx="22">
                  <c:v>1.3369932927879871E-2</c:v>
                </c:pt>
                <c:pt idx="23">
                  <c:v>1.4039368071514685E-2</c:v>
                </c:pt>
                <c:pt idx="24">
                  <c:v>1.4712784078824341E-2</c:v>
                </c:pt>
                <c:pt idx="25">
                  <c:v>1.539009709516061E-2</c:v>
                </c:pt>
                <c:pt idx="26">
                  <c:v>1.6071228352442238E-2</c:v>
                </c:pt>
                <c:pt idx="27">
                  <c:v>1.6756103674740581E-2</c:v>
                </c:pt>
                <c:pt idx="28">
                  <c:v>1.7444653048646196E-2</c:v>
                </c:pt>
                <c:pt idx="29">
                  <c:v>1.8136810247894153E-2</c:v>
                </c:pt>
                <c:pt idx="30">
                  <c:v>1.8832512503742481E-2</c:v>
                </c:pt>
                <c:pt idx="31">
                  <c:v>1.9531700214173515E-2</c:v>
                </c:pt>
                <c:pt idx="32">
                  <c:v>2.0234316686229166E-2</c:v>
                </c:pt>
                <c:pt idx="33">
                  <c:v>2.0940307906778217E-2</c:v>
                </c:pt>
                <c:pt idx="34">
                  <c:v>2.1649622337804507E-2</c:v>
                </c:pt>
                <c:pt idx="35">
                  <c:v>2.2362210732942912E-2</c:v>
                </c:pt>
                <c:pt idx="36">
                  <c:v>2.307802597250893E-2</c:v>
                </c:pt>
                <c:pt idx="37">
                  <c:v>2.3797022914691636E-2</c:v>
                </c:pt>
                <c:pt idx="38">
                  <c:v>2.4519158260929177E-2</c:v>
                </c:pt>
                <c:pt idx="39">
                  <c:v>2.5244390433774539E-2</c:v>
                </c:pt>
                <c:pt idx="40">
                  <c:v>2.5972679465800126E-2</c:v>
                </c:pt>
                <c:pt idx="41">
                  <c:v>2.6703986898290313E-2</c:v>
                </c:pt>
                <c:pt idx="42">
                  <c:v>2.743827568864048E-2</c:v>
                </c:pt>
                <c:pt idx="43">
                  <c:v>2.8175510125523322E-2</c:v>
                </c:pt>
                <c:pt idx="44">
                  <c:v>2.8915655751004309E-2</c:v>
                </c:pt>
                <c:pt idx="45">
                  <c:v>2.9658679288891147E-2</c:v>
                </c:pt>
                <c:pt idx="46">
                  <c:v>3.0404548578689912E-2</c:v>
                </c:pt>
                <c:pt idx="47">
                  <c:v>3.1153232514616012E-2</c:v>
                </c:pt>
                <c:pt idx="48">
                  <c:v>3.1904700989173342E-2</c:v>
                </c:pt>
                <c:pt idx="49">
                  <c:v>3.2658924840870615E-2</c:v>
                </c:pt>
                <c:pt idx="50">
                  <c:v>3.3415875805693052E-2</c:v>
                </c:pt>
                <c:pt idx="51">
                  <c:v>3.4175526471989404E-2</c:v>
                </c:pt>
                <c:pt idx="52">
                  <c:v>3.4937850238471402E-2</c:v>
                </c:pt>
                <c:pt idx="53">
                  <c:v>3.5702821275054836E-2</c:v>
                </c:pt>
                <c:pt idx="54">
                  <c:v>3.647041448629984E-2</c:v>
                </c:pt>
                <c:pt idx="55">
                  <c:v>3.7240605477232472E-2</c:v>
                </c:pt>
                <c:pt idx="56">
                  <c:v>3.8013370521352036E-2</c:v>
                </c:pt>
                <c:pt idx="57">
                  <c:v>3.8788686530647543E-2</c:v>
                </c:pt>
                <c:pt idx="58">
                  <c:v>3.9566531027463839E-2</c:v>
                </c:pt>
                <c:pt idx="59">
                  <c:v>4.0346882118073385E-2</c:v>
                </c:pt>
                <c:pt idx="60">
                  <c:v>4.1129718467822887E-2</c:v>
                </c:pt>
                <c:pt idx="61">
                  <c:v>4.1915019277736262E-2</c:v>
                </c:pt>
                <c:pt idx="62">
                  <c:v>4.2702764262465741E-2</c:v>
                </c:pt>
                <c:pt idx="63">
                  <c:v>4.349293362949324E-2</c:v>
                </c:pt>
                <c:pt idx="64">
                  <c:v>4.428550805949194E-2</c:v>
                </c:pt>
                <c:pt idx="65">
                  <c:v>4.5080468687766384E-2</c:v>
                </c:pt>
                <c:pt idx="66">
                  <c:v>4.5877797086696079E-2</c:v>
                </c:pt>
                <c:pt idx="67">
                  <c:v>4.6677475249113698E-2</c:v>
                </c:pt>
                <c:pt idx="68">
                  <c:v>4.7479485572555269E-2</c:v>
                </c:pt>
                <c:pt idx="69">
                  <c:v>4.8283810844323982E-2</c:v>
                </c:pt>
                <c:pt idx="70">
                  <c:v>4.9090434227314635E-2</c:v>
                </c:pt>
                <c:pt idx="71">
                  <c:v>4.9899339246549476E-2</c:v>
                </c:pt>
                <c:pt idx="72">
                  <c:v>5.0710509776380377E-2</c:v>
                </c:pt>
                <c:pt idx="73">
                  <c:v>5.1523930028315151E-2</c:v>
                </c:pt>
                <c:pt idx="74">
                  <c:v>5.2339584539430037E-2</c:v>
                </c:pt>
                <c:pt idx="75">
                  <c:v>5.3157458161331758E-2</c:v>
                </c:pt>
                <c:pt idx="76">
                  <c:v>5.3977536049636801E-2</c:v>
                </c:pt>
                <c:pt idx="77">
                  <c:v>5.479980365393685E-2</c:v>
                </c:pt>
                <c:pt idx="78">
                  <c:v>5.5624246708221775E-2</c:v>
                </c:pt>
                <c:pt idx="79">
                  <c:v>5.645085122173385E-2</c:v>
                </c:pt>
                <c:pt idx="80">
                  <c:v>5.7279603470228618E-2</c:v>
                </c:pt>
                <c:pt idx="81">
                  <c:v>5.8110489987619182E-2</c:v>
                </c:pt>
                <c:pt idx="82">
                  <c:v>5.894349755798288E-2</c:v>
                </c:pt>
                <c:pt idx="83">
                  <c:v>5.9778613207910142E-2</c:v>
                </c:pt>
                <c:pt idx="84">
                  <c:v>6.0615824199176896E-2</c:v>
                </c:pt>
                <c:pt idx="85">
                  <c:v>6.1455118021723626E-2</c:v>
                </c:pt>
                <c:pt idx="86">
                  <c:v>6.2296482386923847E-2</c:v>
                </c:pt>
                <c:pt idx="87">
                  <c:v>6.3139905221127932E-2</c:v>
                </c:pt>
                <c:pt idx="88">
                  <c:v>6.3985374659467048E-2</c:v>
                </c:pt>
                <c:pt idx="89">
                  <c:v>6.4832879039904506E-2</c:v>
                </c:pt>
                <c:pt idx="90">
                  <c:v>6.5682406897521584E-2</c:v>
                </c:pt>
                <c:pt idx="91">
                  <c:v>6.6533946959026341E-2</c:v>
                </c:pt>
                <c:pt idx="92">
                  <c:v>6.7387488137474097E-2</c:v>
                </c:pt>
                <c:pt idx="93">
                  <c:v>6.8243019527189405E-2</c:v>
                </c:pt>
                <c:pt idx="94">
                  <c:v>6.9100530398879756E-2</c:v>
                </c:pt>
                <c:pt idx="95">
                  <c:v>6.9960010194931518E-2</c:v>
                </c:pt>
                <c:pt idx="96">
                  <c:v>7.0821448524879871E-2</c:v>
                </c:pt>
                <c:pt idx="97">
                  <c:v>7.168483516104418E-2</c:v>
                </c:pt>
                <c:pt idx="98">
                  <c:v>7.255016003432152E-2</c:v>
                </c:pt>
                <c:pt idx="99">
                  <c:v>7.3417413230130332E-2</c:v>
                </c:pt>
                <c:pt idx="100">
                  <c:v>7.428658498449861E-2</c:v>
                </c:pt>
                <c:pt idx="101">
                  <c:v>7.5157665680288616E-2</c:v>
                </c:pt>
                <c:pt idx="102">
                  <c:v>7.6030645843553263E-2</c:v>
                </c:pt>
                <c:pt idx="103">
                  <c:v>7.6905516140017574E-2</c:v>
                </c:pt>
                <c:pt idx="104">
                  <c:v>7.7782267371680147E-2</c:v>
                </c:pt>
                <c:pt idx="105">
                  <c:v>7.8660890473529227E-2</c:v>
                </c:pt>
                <c:pt idx="106">
                  <c:v>7.9541376510368494E-2</c:v>
                </c:pt>
                <c:pt idx="107">
                  <c:v>8.0423716673747953E-2</c:v>
                </c:pt>
                <c:pt idx="108">
                  <c:v>8.1307902278995425E-2</c:v>
                </c:pt>
                <c:pt idx="109">
                  <c:v>8.2193924762344495E-2</c:v>
                </c:pt>
                <c:pt idx="110">
                  <c:v>8.3081775678154945E-2</c:v>
                </c:pt>
                <c:pt idx="111">
                  <c:v>8.3971446696221669E-2</c:v>
                </c:pt>
                <c:pt idx="112">
                  <c:v>8.4862929599168913E-2</c:v>
                </c:pt>
                <c:pt idx="113">
                  <c:v>8.575621627992594E-2</c:v>
                </c:pt>
                <c:pt idx="114">
                  <c:v>8.6651298739280846E-2</c:v>
                </c:pt>
                <c:pt idx="115">
                  <c:v>8.754816908351036E-2</c:v>
                </c:pt>
                <c:pt idx="116">
                  <c:v>8.8446819522081138E-2</c:v>
                </c:pt>
                <c:pt idx="117">
                  <c:v>8.9347242365420992E-2</c:v>
                </c:pt>
                <c:pt idx="118">
                  <c:v>9.0249430022756968E-2</c:v>
                </c:pt>
                <c:pt idx="119">
                  <c:v>9.1153375000017411E-2</c:v>
                </c:pt>
                <c:pt idx="120">
                  <c:v>9.2059069897796289E-2</c:v>
                </c:pt>
                <c:pt idx="121">
                  <c:v>9.2966507409376509E-2</c:v>
                </c:pt>
                <c:pt idx="122">
                  <c:v>9.3875680318810967E-2</c:v>
                </c:pt>
                <c:pt idx="123">
                  <c:v>9.4786581499058442E-2</c:v>
                </c:pt>
                <c:pt idx="124">
                  <c:v>9.5699203910173142E-2</c:v>
                </c:pt>
                <c:pt idx="125">
                  <c:v>9.6613540597544539E-2</c:v>
                </c:pt>
                <c:pt idx="126">
                  <c:v>9.7529584690187771E-2</c:v>
                </c:pt>
                <c:pt idx="127">
                  <c:v>9.8447329399080602E-2</c:v>
                </c:pt>
                <c:pt idx="128">
                  <c:v>9.9366768015546877E-2</c:v>
                </c:pt>
                <c:pt idx="129">
                  <c:v>0.10028789390968416</c:v>
                </c:pt>
                <c:pt idx="130">
                  <c:v>0.1012107005288341</c:v>
                </c:pt>
                <c:pt idx="131">
                  <c:v>0.1021351813960939</c:v>
                </c:pt>
                <c:pt idx="132">
                  <c:v>0.10306133010886782</c:v>
                </c:pt>
                <c:pt idx="133">
                  <c:v>0.10398914033745722</c:v>
                </c:pt>
                <c:pt idx="134">
                  <c:v>0.10491860582368753</c:v>
                </c:pt>
                <c:pt idx="135">
                  <c:v>0.10584972037957149</c:v>
                </c:pt>
                <c:pt idx="136">
                  <c:v>0.10678247788600669</c:v>
                </c:pt>
                <c:pt idx="137">
                  <c:v>0.10771687229150706</c:v>
                </c:pt>
                <c:pt idx="138">
                  <c:v>0.10865289761096669</c:v>
                </c:pt>
                <c:pt idx="139">
                  <c:v>0.10959054792445502</c:v>
                </c:pt>
                <c:pt idx="140">
                  <c:v>0.11052981737604249</c:v>
                </c:pt>
                <c:pt idx="141">
                  <c:v>0.11147070017265553</c:v>
                </c:pt>
                <c:pt idx="142">
                  <c:v>0.11241319058296019</c:v>
                </c:pt>
                <c:pt idx="143">
                  <c:v>0.11335728293627309</c:v>
                </c:pt>
                <c:pt idx="144">
                  <c:v>0.11430297162149916</c:v>
                </c:pt>
                <c:pt idx="145">
                  <c:v>0.11525025108609552</c:v>
                </c:pt>
                <c:pt idx="146">
                  <c:v>0.11619911583505996</c:v>
                </c:pt>
                <c:pt idx="147">
                  <c:v>0.11714956042994398</c:v>
                </c:pt>
                <c:pt idx="148">
                  <c:v>0.11810157948788938</c:v>
                </c:pt>
                <c:pt idx="149">
                  <c:v>0.11905516768068761</c:v>
                </c:pt>
                <c:pt idx="150">
                  <c:v>0.12001031973386113</c:v>
                </c:pt>
              </c:numCache>
            </c:numRef>
          </c:yVal>
          <c:smooth val="1"/>
          <c:extLst>
            <c:ext xmlns:c16="http://schemas.microsoft.com/office/drawing/2014/chart" uri="{C3380CC4-5D6E-409C-BE32-E72D297353CC}">
              <c16:uniqueId val="{00000001-D428-476F-9D9B-414A5D21B4D3}"/>
            </c:ext>
          </c:extLst>
        </c:ser>
        <c:ser>
          <c:idx val="2"/>
          <c:order val="2"/>
          <c:tx>
            <c:v>Diode</c:v>
          </c:tx>
          <c:spPr>
            <a:ln>
              <a:solidFill>
                <a:schemeClr val="bg2">
                  <a:lumMod val="50000"/>
                </a:schemeClr>
              </a:solidFill>
              <a:prstDash val="sysDash"/>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Eff_vs_IOUT!$AN$7:$AN$157</c:f>
              <c:numCache>
                <c:formatCode>General</c:formatCode>
                <c:ptCount val="151"/>
                <c:pt idx="0">
                  <c:v>0.29112499999999997</c:v>
                </c:pt>
                <c:pt idx="1">
                  <c:v>0.29120833333333329</c:v>
                </c:pt>
                <c:pt idx="2">
                  <c:v>0.29129166666666662</c:v>
                </c:pt>
                <c:pt idx="3">
                  <c:v>0.29137499999999994</c:v>
                </c:pt>
                <c:pt idx="4">
                  <c:v>0.29145833333333332</c:v>
                </c:pt>
                <c:pt idx="5">
                  <c:v>0.29154166666666664</c:v>
                </c:pt>
                <c:pt idx="6">
                  <c:v>0.29162499999999997</c:v>
                </c:pt>
                <c:pt idx="7">
                  <c:v>0.29170833333333329</c:v>
                </c:pt>
                <c:pt idx="8">
                  <c:v>0.29179166666666662</c:v>
                </c:pt>
                <c:pt idx="9">
                  <c:v>0.29187499999999994</c:v>
                </c:pt>
                <c:pt idx="10">
                  <c:v>0.29195833333333332</c:v>
                </c:pt>
                <c:pt idx="11">
                  <c:v>0.29204166666666664</c:v>
                </c:pt>
                <c:pt idx="12">
                  <c:v>0.29212499999999997</c:v>
                </c:pt>
                <c:pt idx="13">
                  <c:v>0.29220833333333329</c:v>
                </c:pt>
                <c:pt idx="14">
                  <c:v>0.29229166666666662</c:v>
                </c:pt>
                <c:pt idx="15">
                  <c:v>0.29237499999999994</c:v>
                </c:pt>
                <c:pt idx="16">
                  <c:v>0.29245833333333332</c:v>
                </c:pt>
                <c:pt idx="17">
                  <c:v>0.29254166666666664</c:v>
                </c:pt>
                <c:pt idx="18">
                  <c:v>0.29262499999999997</c:v>
                </c:pt>
                <c:pt idx="19">
                  <c:v>0.29270833333333329</c:v>
                </c:pt>
                <c:pt idx="20">
                  <c:v>0.29279166666666662</c:v>
                </c:pt>
                <c:pt idx="21">
                  <c:v>0.29287499999999994</c:v>
                </c:pt>
                <c:pt idx="22">
                  <c:v>0.29295833333333332</c:v>
                </c:pt>
                <c:pt idx="23">
                  <c:v>0.29304166666666664</c:v>
                </c:pt>
                <c:pt idx="24">
                  <c:v>0.29312499999999997</c:v>
                </c:pt>
                <c:pt idx="25">
                  <c:v>0.29320833333333329</c:v>
                </c:pt>
                <c:pt idx="26">
                  <c:v>0.29329166666666662</c:v>
                </c:pt>
                <c:pt idx="27">
                  <c:v>0.29337499999999994</c:v>
                </c:pt>
                <c:pt idx="28">
                  <c:v>0.29345833333333332</c:v>
                </c:pt>
                <c:pt idx="29">
                  <c:v>0.29354166666666665</c:v>
                </c:pt>
                <c:pt idx="30">
                  <c:v>0.29362499999999997</c:v>
                </c:pt>
                <c:pt idx="31">
                  <c:v>0.29370833333333329</c:v>
                </c:pt>
                <c:pt idx="32">
                  <c:v>0.29379166666666662</c:v>
                </c:pt>
                <c:pt idx="33">
                  <c:v>0.29387499999999994</c:v>
                </c:pt>
                <c:pt idx="34">
                  <c:v>0.29395833333333332</c:v>
                </c:pt>
                <c:pt idx="35">
                  <c:v>0.29404166666666665</c:v>
                </c:pt>
                <c:pt idx="36">
                  <c:v>0.29412499999999997</c:v>
                </c:pt>
                <c:pt idx="37">
                  <c:v>0.29420833333333329</c:v>
                </c:pt>
                <c:pt idx="38">
                  <c:v>0.29429166666666662</c:v>
                </c:pt>
                <c:pt idx="39">
                  <c:v>0.29437499999999994</c:v>
                </c:pt>
                <c:pt idx="40">
                  <c:v>0.29445833333333332</c:v>
                </c:pt>
                <c:pt idx="41">
                  <c:v>0.29454166666666665</c:v>
                </c:pt>
                <c:pt idx="42">
                  <c:v>0.29462499999999997</c:v>
                </c:pt>
                <c:pt idx="43">
                  <c:v>0.29470833333333329</c:v>
                </c:pt>
                <c:pt idx="44">
                  <c:v>0.29479166666666662</c:v>
                </c:pt>
                <c:pt idx="45">
                  <c:v>0.29487499999999994</c:v>
                </c:pt>
                <c:pt idx="46">
                  <c:v>0.29495833333333332</c:v>
                </c:pt>
                <c:pt idx="47">
                  <c:v>0.29504166666666665</c:v>
                </c:pt>
                <c:pt idx="48">
                  <c:v>0.29512499999999997</c:v>
                </c:pt>
                <c:pt idx="49">
                  <c:v>0.29520833333333329</c:v>
                </c:pt>
                <c:pt idx="50">
                  <c:v>0.29529166666666662</c:v>
                </c:pt>
                <c:pt idx="51">
                  <c:v>0.29537499999999994</c:v>
                </c:pt>
                <c:pt idx="52">
                  <c:v>0.29545833333333332</c:v>
                </c:pt>
                <c:pt idx="53">
                  <c:v>0.29554166666666665</c:v>
                </c:pt>
                <c:pt idx="54">
                  <c:v>0.29562499999999997</c:v>
                </c:pt>
                <c:pt idx="55">
                  <c:v>0.2957083333333333</c:v>
                </c:pt>
                <c:pt idx="56">
                  <c:v>0.29579166666666662</c:v>
                </c:pt>
                <c:pt idx="57">
                  <c:v>0.29587499999999994</c:v>
                </c:pt>
                <c:pt idx="58">
                  <c:v>0.29595833333333332</c:v>
                </c:pt>
                <c:pt idx="59">
                  <c:v>0.29604166666666665</c:v>
                </c:pt>
                <c:pt idx="60">
                  <c:v>0.29612499999999997</c:v>
                </c:pt>
                <c:pt idx="61">
                  <c:v>0.2962083333333333</c:v>
                </c:pt>
                <c:pt idx="62">
                  <c:v>0.29629166666666662</c:v>
                </c:pt>
                <c:pt idx="63">
                  <c:v>0.29637499999999994</c:v>
                </c:pt>
                <c:pt idx="64">
                  <c:v>0.29645833333333332</c:v>
                </c:pt>
                <c:pt idx="65">
                  <c:v>0.29654166666666665</c:v>
                </c:pt>
                <c:pt idx="66">
                  <c:v>0.29662499999999997</c:v>
                </c:pt>
                <c:pt idx="67">
                  <c:v>0.2967083333333333</c:v>
                </c:pt>
                <c:pt idx="68">
                  <c:v>0.29679166666666662</c:v>
                </c:pt>
                <c:pt idx="69">
                  <c:v>0.29687499999999994</c:v>
                </c:pt>
                <c:pt idx="70">
                  <c:v>0.29695833333333332</c:v>
                </c:pt>
                <c:pt idx="71">
                  <c:v>0.29704166666666665</c:v>
                </c:pt>
                <c:pt idx="72">
                  <c:v>0.29712499999999997</c:v>
                </c:pt>
                <c:pt idx="73">
                  <c:v>0.2972083333333333</c:v>
                </c:pt>
                <c:pt idx="74">
                  <c:v>0.29729166666666662</c:v>
                </c:pt>
                <c:pt idx="75">
                  <c:v>0.29737499999999994</c:v>
                </c:pt>
                <c:pt idx="76">
                  <c:v>0.29745833333333332</c:v>
                </c:pt>
                <c:pt idx="77">
                  <c:v>0.29754166666666665</c:v>
                </c:pt>
                <c:pt idx="78">
                  <c:v>0.29762499999999997</c:v>
                </c:pt>
                <c:pt idx="79">
                  <c:v>0.2977083333333333</c:v>
                </c:pt>
                <c:pt idx="80">
                  <c:v>0.29779166666666662</c:v>
                </c:pt>
                <c:pt idx="81">
                  <c:v>0.29787499999999995</c:v>
                </c:pt>
                <c:pt idx="82">
                  <c:v>0.29795833333333333</c:v>
                </c:pt>
                <c:pt idx="83">
                  <c:v>0.29804166666666665</c:v>
                </c:pt>
                <c:pt idx="84">
                  <c:v>0.29812499999999997</c:v>
                </c:pt>
                <c:pt idx="85">
                  <c:v>0.2982083333333333</c:v>
                </c:pt>
                <c:pt idx="86">
                  <c:v>0.29829166666666662</c:v>
                </c:pt>
                <c:pt idx="87">
                  <c:v>0.29837499999999995</c:v>
                </c:pt>
                <c:pt idx="88">
                  <c:v>0.29845833333333333</c:v>
                </c:pt>
                <c:pt idx="89">
                  <c:v>0.29854166666666665</c:v>
                </c:pt>
                <c:pt idx="90">
                  <c:v>0.29862499999999997</c:v>
                </c:pt>
                <c:pt idx="91">
                  <c:v>0.2987083333333333</c:v>
                </c:pt>
                <c:pt idx="92">
                  <c:v>0.29879166666666662</c:v>
                </c:pt>
                <c:pt idx="93">
                  <c:v>0.29887499999999995</c:v>
                </c:pt>
                <c:pt idx="94">
                  <c:v>0.29895833333333333</c:v>
                </c:pt>
                <c:pt idx="95">
                  <c:v>0.29904166666666665</c:v>
                </c:pt>
                <c:pt idx="96">
                  <c:v>0.29912499999999997</c:v>
                </c:pt>
                <c:pt idx="97">
                  <c:v>0.2992083333333333</c:v>
                </c:pt>
                <c:pt idx="98">
                  <c:v>0.29929166666666662</c:v>
                </c:pt>
                <c:pt idx="99">
                  <c:v>0.29937499999999995</c:v>
                </c:pt>
                <c:pt idx="100">
                  <c:v>0.29945833333333333</c:v>
                </c:pt>
                <c:pt idx="101">
                  <c:v>0.29954166666666665</c:v>
                </c:pt>
                <c:pt idx="102">
                  <c:v>0.29962499999999997</c:v>
                </c:pt>
                <c:pt idx="103">
                  <c:v>0.2997083333333333</c:v>
                </c:pt>
                <c:pt idx="104">
                  <c:v>0.29979166666666662</c:v>
                </c:pt>
                <c:pt idx="105">
                  <c:v>0.29987499999999995</c:v>
                </c:pt>
                <c:pt idx="106">
                  <c:v>0.29995833333333333</c:v>
                </c:pt>
                <c:pt idx="107">
                  <c:v>0.30004166666666665</c:v>
                </c:pt>
                <c:pt idx="108">
                  <c:v>0.30012499999999998</c:v>
                </c:pt>
                <c:pt idx="109">
                  <c:v>0.3002083333333333</c:v>
                </c:pt>
                <c:pt idx="110">
                  <c:v>0.30029166666666662</c:v>
                </c:pt>
                <c:pt idx="111">
                  <c:v>0.30037499999999995</c:v>
                </c:pt>
                <c:pt idx="112">
                  <c:v>0.30045833333333327</c:v>
                </c:pt>
                <c:pt idx="113">
                  <c:v>0.30054166666666665</c:v>
                </c:pt>
                <c:pt idx="114">
                  <c:v>0.30062499999999998</c:v>
                </c:pt>
                <c:pt idx="115">
                  <c:v>0.3007083333333333</c:v>
                </c:pt>
                <c:pt idx="116">
                  <c:v>0.30079166666666662</c:v>
                </c:pt>
                <c:pt idx="117">
                  <c:v>0.30087499999999995</c:v>
                </c:pt>
                <c:pt idx="118">
                  <c:v>0.30095833333333333</c:v>
                </c:pt>
                <c:pt idx="119">
                  <c:v>0.30104166666666665</c:v>
                </c:pt>
                <c:pt idx="120">
                  <c:v>0.30112499999999998</c:v>
                </c:pt>
                <c:pt idx="121">
                  <c:v>0.3012083333333333</c:v>
                </c:pt>
                <c:pt idx="122">
                  <c:v>0.30129166666666662</c:v>
                </c:pt>
                <c:pt idx="123">
                  <c:v>0.30137499999999995</c:v>
                </c:pt>
                <c:pt idx="124">
                  <c:v>0.30145833333333327</c:v>
                </c:pt>
                <c:pt idx="125">
                  <c:v>0.30154166666666665</c:v>
                </c:pt>
                <c:pt idx="126">
                  <c:v>0.30162499999999998</c:v>
                </c:pt>
                <c:pt idx="127">
                  <c:v>0.3017083333333333</c:v>
                </c:pt>
                <c:pt idx="128">
                  <c:v>0.30179166666666662</c:v>
                </c:pt>
                <c:pt idx="129">
                  <c:v>0.30187499999999995</c:v>
                </c:pt>
                <c:pt idx="130">
                  <c:v>0.30195833333333333</c:v>
                </c:pt>
                <c:pt idx="131">
                  <c:v>0.30204166666666665</c:v>
                </c:pt>
                <c:pt idx="132">
                  <c:v>0.30212499999999998</c:v>
                </c:pt>
                <c:pt idx="133">
                  <c:v>0.3022083333333333</c:v>
                </c:pt>
                <c:pt idx="134">
                  <c:v>0.30229166666666663</c:v>
                </c:pt>
                <c:pt idx="135">
                  <c:v>0.30237499999999995</c:v>
                </c:pt>
                <c:pt idx="136">
                  <c:v>0.30245833333333327</c:v>
                </c:pt>
                <c:pt idx="137">
                  <c:v>0.30254166666666665</c:v>
                </c:pt>
                <c:pt idx="138">
                  <c:v>0.30262499999999998</c:v>
                </c:pt>
                <c:pt idx="139">
                  <c:v>0.3027083333333333</c:v>
                </c:pt>
                <c:pt idx="140">
                  <c:v>0.30279166666666663</c:v>
                </c:pt>
                <c:pt idx="141">
                  <c:v>0.30287499999999995</c:v>
                </c:pt>
                <c:pt idx="142">
                  <c:v>0.30295833333333327</c:v>
                </c:pt>
                <c:pt idx="143">
                  <c:v>0.30304166666666665</c:v>
                </c:pt>
                <c:pt idx="144">
                  <c:v>0.30312499999999998</c:v>
                </c:pt>
                <c:pt idx="145">
                  <c:v>0.3032083333333333</c:v>
                </c:pt>
                <c:pt idx="146">
                  <c:v>0.30329166666666663</c:v>
                </c:pt>
                <c:pt idx="147">
                  <c:v>0.30337499999999995</c:v>
                </c:pt>
                <c:pt idx="148">
                  <c:v>0.30345833333333327</c:v>
                </c:pt>
                <c:pt idx="149">
                  <c:v>0.30354166666666665</c:v>
                </c:pt>
                <c:pt idx="150">
                  <c:v>0.30362499999999998</c:v>
                </c:pt>
              </c:numCache>
            </c:numRef>
          </c:yVal>
          <c:smooth val="1"/>
          <c:extLst>
            <c:ext xmlns:c16="http://schemas.microsoft.com/office/drawing/2014/chart" uri="{C3380CC4-5D6E-409C-BE32-E72D297353CC}">
              <c16:uniqueId val="{00000002-D428-476F-9D9B-414A5D21B4D3}"/>
            </c:ext>
          </c:extLst>
        </c:ser>
        <c:ser>
          <c:idx val="3"/>
          <c:order val="3"/>
          <c:tx>
            <c:v>RCS</c:v>
          </c:tx>
          <c:spPr>
            <a:ln>
              <a:solidFill>
                <a:schemeClr val="accent5">
                  <a:lumMod val="75000"/>
                </a:schemeClr>
              </a:solidFill>
              <a:prstDash val="lgDashDotDot"/>
            </a:ln>
          </c:spPr>
          <c:marker>
            <c:symbol val="none"/>
          </c:marker>
          <c:xVal>
            <c:numRef>
              <c:f>Eff_vs_IOUT!$S$7:$S$157</c:f>
              <c:numCache>
                <c:formatCode>General</c:formatCode>
                <c:ptCount val="151"/>
                <c:pt idx="0">
                  <c:v>0</c:v>
                </c:pt>
                <c:pt idx="1">
                  <c:v>6.666666666666667E-5</c:v>
                </c:pt>
                <c:pt idx="2">
                  <c:v>1.3333333333333334E-4</c:v>
                </c:pt>
                <c:pt idx="3">
                  <c:v>2.0000000000000001E-4</c:v>
                </c:pt>
                <c:pt idx="4">
                  <c:v>2.6666666666666668E-4</c:v>
                </c:pt>
                <c:pt idx="5">
                  <c:v>3.3333333333333338E-4</c:v>
                </c:pt>
                <c:pt idx="6">
                  <c:v>4.0000000000000002E-4</c:v>
                </c:pt>
                <c:pt idx="7">
                  <c:v>4.6666666666666666E-4</c:v>
                </c:pt>
                <c:pt idx="8">
                  <c:v>5.3333333333333336E-4</c:v>
                </c:pt>
                <c:pt idx="9">
                  <c:v>6.0000000000000006E-4</c:v>
                </c:pt>
                <c:pt idx="10">
                  <c:v>6.6666666666666675E-4</c:v>
                </c:pt>
                <c:pt idx="11">
                  <c:v>7.3333333333333334E-4</c:v>
                </c:pt>
                <c:pt idx="12">
                  <c:v>8.0000000000000004E-4</c:v>
                </c:pt>
                <c:pt idx="13">
                  <c:v>8.6666666666666674E-4</c:v>
                </c:pt>
                <c:pt idx="14">
                  <c:v>9.3333333333333332E-4</c:v>
                </c:pt>
                <c:pt idx="15">
                  <c:v>1E-3</c:v>
                </c:pt>
                <c:pt idx="16">
                  <c:v>1.0666666666666667E-3</c:v>
                </c:pt>
                <c:pt idx="17">
                  <c:v>1.1333333333333334E-3</c:v>
                </c:pt>
                <c:pt idx="18">
                  <c:v>1.2000000000000001E-3</c:v>
                </c:pt>
                <c:pt idx="19">
                  <c:v>1.2666666666666668E-3</c:v>
                </c:pt>
                <c:pt idx="20">
                  <c:v>1.3333333333333335E-3</c:v>
                </c:pt>
                <c:pt idx="21">
                  <c:v>1.4E-3</c:v>
                </c:pt>
                <c:pt idx="22">
                  <c:v>1.4666666666666667E-3</c:v>
                </c:pt>
                <c:pt idx="23">
                  <c:v>1.5333333333333334E-3</c:v>
                </c:pt>
                <c:pt idx="24">
                  <c:v>1.6000000000000001E-3</c:v>
                </c:pt>
                <c:pt idx="25">
                  <c:v>1.6666666666666668E-3</c:v>
                </c:pt>
                <c:pt idx="26">
                  <c:v>1.7333333333333335E-3</c:v>
                </c:pt>
                <c:pt idx="27">
                  <c:v>1.8000000000000002E-3</c:v>
                </c:pt>
                <c:pt idx="28">
                  <c:v>1.8666666666666666E-3</c:v>
                </c:pt>
                <c:pt idx="29">
                  <c:v>1.9333333333333333E-3</c:v>
                </c:pt>
                <c:pt idx="30">
                  <c:v>2E-3</c:v>
                </c:pt>
                <c:pt idx="31">
                  <c:v>2.0666666666666667E-3</c:v>
                </c:pt>
                <c:pt idx="32">
                  <c:v>2.1333333333333334E-3</c:v>
                </c:pt>
                <c:pt idx="33">
                  <c:v>2.2000000000000001E-3</c:v>
                </c:pt>
                <c:pt idx="34">
                  <c:v>2.2666666666666668E-3</c:v>
                </c:pt>
                <c:pt idx="35">
                  <c:v>2.3333333333333335E-3</c:v>
                </c:pt>
                <c:pt idx="36">
                  <c:v>2.4000000000000002E-3</c:v>
                </c:pt>
                <c:pt idx="37">
                  <c:v>2.4666666666666669E-3</c:v>
                </c:pt>
                <c:pt idx="38">
                  <c:v>2.5333333333333336E-3</c:v>
                </c:pt>
                <c:pt idx="39">
                  <c:v>2.6000000000000003E-3</c:v>
                </c:pt>
                <c:pt idx="40">
                  <c:v>2.666666666666667E-3</c:v>
                </c:pt>
                <c:pt idx="41">
                  <c:v>2.7333333333333333E-3</c:v>
                </c:pt>
                <c:pt idx="42">
                  <c:v>2.8E-3</c:v>
                </c:pt>
                <c:pt idx="43">
                  <c:v>2.8666666666666667E-3</c:v>
                </c:pt>
                <c:pt idx="44">
                  <c:v>2.9333333333333334E-3</c:v>
                </c:pt>
                <c:pt idx="45">
                  <c:v>3.0000000000000001E-3</c:v>
                </c:pt>
                <c:pt idx="46">
                  <c:v>3.0666666666666668E-3</c:v>
                </c:pt>
                <c:pt idx="47">
                  <c:v>3.1333333333333335E-3</c:v>
                </c:pt>
                <c:pt idx="48">
                  <c:v>3.2000000000000002E-3</c:v>
                </c:pt>
                <c:pt idx="49">
                  <c:v>3.2666666666666669E-3</c:v>
                </c:pt>
                <c:pt idx="50">
                  <c:v>3.3333333333333335E-3</c:v>
                </c:pt>
                <c:pt idx="51">
                  <c:v>3.4000000000000002E-3</c:v>
                </c:pt>
                <c:pt idx="52">
                  <c:v>3.4666666666666669E-3</c:v>
                </c:pt>
                <c:pt idx="53">
                  <c:v>3.5333333333333336E-3</c:v>
                </c:pt>
                <c:pt idx="54">
                  <c:v>3.6000000000000003E-3</c:v>
                </c:pt>
                <c:pt idx="55">
                  <c:v>3.666666666666667E-3</c:v>
                </c:pt>
                <c:pt idx="56">
                  <c:v>3.7333333333333333E-3</c:v>
                </c:pt>
                <c:pt idx="57">
                  <c:v>3.8E-3</c:v>
                </c:pt>
                <c:pt idx="58">
                  <c:v>3.8666666666666667E-3</c:v>
                </c:pt>
                <c:pt idx="59">
                  <c:v>3.9333333333333338E-3</c:v>
                </c:pt>
                <c:pt idx="60">
                  <c:v>4.0000000000000001E-3</c:v>
                </c:pt>
                <c:pt idx="61">
                  <c:v>4.0666666666666672E-3</c:v>
                </c:pt>
                <c:pt idx="62">
                  <c:v>4.1333333333333335E-3</c:v>
                </c:pt>
                <c:pt idx="63">
                  <c:v>4.2000000000000006E-3</c:v>
                </c:pt>
                <c:pt idx="64">
                  <c:v>4.2666666666666669E-3</c:v>
                </c:pt>
                <c:pt idx="65">
                  <c:v>4.3333333333333331E-3</c:v>
                </c:pt>
                <c:pt idx="66">
                  <c:v>4.4000000000000003E-3</c:v>
                </c:pt>
                <c:pt idx="67">
                  <c:v>4.4666666666666665E-3</c:v>
                </c:pt>
                <c:pt idx="68">
                  <c:v>4.5333333333333337E-3</c:v>
                </c:pt>
                <c:pt idx="69">
                  <c:v>4.5999999999999999E-3</c:v>
                </c:pt>
                <c:pt idx="70">
                  <c:v>4.6666666666666671E-3</c:v>
                </c:pt>
                <c:pt idx="71">
                  <c:v>4.7333333333333333E-3</c:v>
                </c:pt>
                <c:pt idx="72">
                  <c:v>4.8000000000000004E-3</c:v>
                </c:pt>
                <c:pt idx="73">
                  <c:v>4.8666666666666667E-3</c:v>
                </c:pt>
                <c:pt idx="74">
                  <c:v>4.9333333333333338E-3</c:v>
                </c:pt>
                <c:pt idx="75">
                  <c:v>5.0000000000000001E-3</c:v>
                </c:pt>
                <c:pt idx="76">
                  <c:v>5.0666666666666672E-3</c:v>
                </c:pt>
                <c:pt idx="77">
                  <c:v>5.1333333333333335E-3</c:v>
                </c:pt>
                <c:pt idx="78">
                  <c:v>5.2000000000000006E-3</c:v>
                </c:pt>
                <c:pt idx="79">
                  <c:v>5.2666666666666669E-3</c:v>
                </c:pt>
                <c:pt idx="80">
                  <c:v>5.333333333333334E-3</c:v>
                </c:pt>
                <c:pt idx="81">
                  <c:v>5.4000000000000003E-3</c:v>
                </c:pt>
                <c:pt idx="82">
                  <c:v>5.4666666666666665E-3</c:v>
                </c:pt>
                <c:pt idx="83">
                  <c:v>5.5333333333333337E-3</c:v>
                </c:pt>
                <c:pt idx="84">
                  <c:v>5.5999999999999999E-3</c:v>
                </c:pt>
                <c:pt idx="85">
                  <c:v>5.6666666666666671E-3</c:v>
                </c:pt>
                <c:pt idx="86">
                  <c:v>5.7333333333333333E-3</c:v>
                </c:pt>
                <c:pt idx="87">
                  <c:v>5.8000000000000005E-3</c:v>
                </c:pt>
                <c:pt idx="88">
                  <c:v>5.8666666666666667E-3</c:v>
                </c:pt>
                <c:pt idx="89">
                  <c:v>5.9333333333333339E-3</c:v>
                </c:pt>
                <c:pt idx="90">
                  <c:v>6.0000000000000001E-3</c:v>
                </c:pt>
                <c:pt idx="91">
                  <c:v>6.0666666666666673E-3</c:v>
                </c:pt>
                <c:pt idx="92">
                  <c:v>6.1333333333333335E-3</c:v>
                </c:pt>
                <c:pt idx="93">
                  <c:v>6.2000000000000006E-3</c:v>
                </c:pt>
                <c:pt idx="94">
                  <c:v>6.2666666666666669E-3</c:v>
                </c:pt>
                <c:pt idx="95">
                  <c:v>6.333333333333334E-3</c:v>
                </c:pt>
                <c:pt idx="96">
                  <c:v>6.4000000000000003E-3</c:v>
                </c:pt>
                <c:pt idx="97">
                  <c:v>6.4666666666666666E-3</c:v>
                </c:pt>
                <c:pt idx="98">
                  <c:v>6.5333333333333337E-3</c:v>
                </c:pt>
                <c:pt idx="99">
                  <c:v>6.6E-3</c:v>
                </c:pt>
                <c:pt idx="100">
                  <c:v>6.6666666666666671E-3</c:v>
                </c:pt>
                <c:pt idx="101">
                  <c:v>6.7333333333333334E-3</c:v>
                </c:pt>
                <c:pt idx="102">
                  <c:v>6.8000000000000005E-3</c:v>
                </c:pt>
                <c:pt idx="103">
                  <c:v>6.8666666666666668E-3</c:v>
                </c:pt>
                <c:pt idx="104">
                  <c:v>6.9333333333333339E-3</c:v>
                </c:pt>
                <c:pt idx="105">
                  <c:v>7.0000000000000001E-3</c:v>
                </c:pt>
                <c:pt idx="106">
                  <c:v>7.0666666666666673E-3</c:v>
                </c:pt>
                <c:pt idx="107">
                  <c:v>7.1333333333333335E-3</c:v>
                </c:pt>
                <c:pt idx="108">
                  <c:v>7.2000000000000007E-3</c:v>
                </c:pt>
                <c:pt idx="109">
                  <c:v>7.2666666666666669E-3</c:v>
                </c:pt>
                <c:pt idx="110">
                  <c:v>7.3333333333333341E-3</c:v>
                </c:pt>
                <c:pt idx="111">
                  <c:v>7.4000000000000003E-3</c:v>
                </c:pt>
                <c:pt idx="112">
                  <c:v>7.4666666666666666E-3</c:v>
                </c:pt>
                <c:pt idx="113">
                  <c:v>7.5333333333333337E-3</c:v>
                </c:pt>
                <c:pt idx="114">
                  <c:v>7.6E-3</c:v>
                </c:pt>
                <c:pt idx="115">
                  <c:v>7.6666666666666671E-3</c:v>
                </c:pt>
                <c:pt idx="116">
                  <c:v>7.7333333333333334E-3</c:v>
                </c:pt>
                <c:pt idx="117">
                  <c:v>7.8000000000000005E-3</c:v>
                </c:pt>
                <c:pt idx="118">
                  <c:v>7.8666666666666676E-3</c:v>
                </c:pt>
                <c:pt idx="119">
                  <c:v>7.9333333333333339E-3</c:v>
                </c:pt>
                <c:pt idx="120">
                  <c:v>8.0000000000000002E-3</c:v>
                </c:pt>
                <c:pt idx="121">
                  <c:v>8.0666666666666664E-3</c:v>
                </c:pt>
                <c:pt idx="122">
                  <c:v>8.1333333333333344E-3</c:v>
                </c:pt>
                <c:pt idx="123">
                  <c:v>8.2000000000000007E-3</c:v>
                </c:pt>
                <c:pt idx="124">
                  <c:v>8.266666666666667E-3</c:v>
                </c:pt>
                <c:pt idx="125">
                  <c:v>8.3333333333333332E-3</c:v>
                </c:pt>
                <c:pt idx="126">
                  <c:v>8.4000000000000012E-3</c:v>
                </c:pt>
                <c:pt idx="127">
                  <c:v>8.4666666666666675E-3</c:v>
                </c:pt>
                <c:pt idx="128">
                  <c:v>8.5333333333333337E-3</c:v>
                </c:pt>
                <c:pt idx="129">
                  <c:v>8.6E-3</c:v>
                </c:pt>
                <c:pt idx="130">
                  <c:v>8.6666666666666663E-3</c:v>
                </c:pt>
                <c:pt idx="131">
                  <c:v>8.7333333333333343E-3</c:v>
                </c:pt>
                <c:pt idx="132">
                  <c:v>8.8000000000000005E-3</c:v>
                </c:pt>
                <c:pt idx="133">
                  <c:v>8.8666666666666668E-3</c:v>
                </c:pt>
                <c:pt idx="134">
                  <c:v>8.9333333333333331E-3</c:v>
                </c:pt>
                <c:pt idx="135">
                  <c:v>9.0000000000000011E-3</c:v>
                </c:pt>
                <c:pt idx="136">
                  <c:v>9.0666666666666673E-3</c:v>
                </c:pt>
                <c:pt idx="137">
                  <c:v>9.1333333333333336E-3</c:v>
                </c:pt>
                <c:pt idx="138">
                  <c:v>9.1999999999999998E-3</c:v>
                </c:pt>
                <c:pt idx="139">
                  <c:v>9.2666666666666678E-3</c:v>
                </c:pt>
                <c:pt idx="140">
                  <c:v>9.3333333333333341E-3</c:v>
                </c:pt>
                <c:pt idx="141">
                  <c:v>9.4000000000000004E-3</c:v>
                </c:pt>
                <c:pt idx="142">
                  <c:v>9.4666666666666666E-3</c:v>
                </c:pt>
                <c:pt idx="143">
                  <c:v>9.5333333333333346E-3</c:v>
                </c:pt>
                <c:pt idx="144">
                  <c:v>9.6000000000000009E-3</c:v>
                </c:pt>
                <c:pt idx="145">
                  <c:v>9.6666666666666672E-3</c:v>
                </c:pt>
                <c:pt idx="146">
                  <c:v>9.7333333333333334E-3</c:v>
                </c:pt>
                <c:pt idx="147">
                  <c:v>9.7999999999999997E-3</c:v>
                </c:pt>
                <c:pt idx="148">
                  <c:v>9.8666666666666677E-3</c:v>
                </c:pt>
                <c:pt idx="149">
                  <c:v>9.9333333333333339E-3</c:v>
                </c:pt>
                <c:pt idx="150">
                  <c:v>0.01</c:v>
                </c:pt>
              </c:numCache>
            </c:numRef>
          </c:xVal>
          <c:yVal>
            <c:numRef>
              <c:f>Eff_vs_IOUT!$AO$7:$AO$157</c:f>
              <c:numCache>
                <c:formatCode>General</c:formatCode>
                <c:ptCount val="151"/>
                <c:pt idx="0">
                  <c:v>0</c:v>
                </c:pt>
                <c:pt idx="1">
                  <c:v>1.0224465647542561E-5</c:v>
                </c:pt>
                <c:pt idx="2">
                  <c:v>2.8919155973544998E-5</c:v>
                </c:pt>
                <c:pt idx="3">
                  <c:v>5.3127881945359003E-5</c:v>
                </c:pt>
                <c:pt idx="4">
                  <c:v>8.1795725180340472E-5</c:v>
                </c:pt>
                <c:pt idx="5">
                  <c:v>1.143130011075828E-4</c:v>
                </c:pt>
                <c:pt idx="6">
                  <c:v>1.502683423745668E-4</c:v>
                </c:pt>
                <c:pt idx="7">
                  <c:v>1.8935975374344402E-4</c:v>
                </c:pt>
                <c:pt idx="8">
                  <c:v>2.3135324778836001E-4</c:v>
                </c:pt>
                <c:pt idx="9">
                  <c:v>2.7606057248364893E-4</c:v>
                </c:pt>
                <c:pt idx="10">
                  <c:v>3.233259930438286E-4</c:v>
                </c:pt>
                <c:pt idx="11">
                  <c:v>3.7301787858254483E-4</c:v>
                </c:pt>
                <c:pt idx="12">
                  <c:v>4.2502305556287208E-4</c:v>
                </c:pt>
                <c:pt idx="13">
                  <c:v>4.7924285703365255E-4</c:v>
                </c:pt>
                <c:pt idx="14">
                  <c:v>5.3559026382321638E-4</c:v>
                </c:pt>
                <c:pt idx="15">
                  <c:v>5.9398777765203221E-4</c:v>
                </c:pt>
                <c:pt idx="16">
                  <c:v>6.5436580144272389E-4</c:v>
                </c:pt>
                <c:pt idx="17">
                  <c:v>7.1666138111539299E-4</c:v>
                </c:pt>
                <c:pt idx="18">
                  <c:v>7.80817211285715E-4</c:v>
                </c:pt>
                <c:pt idx="19">
                  <c:v>8.4678083767748239E-4</c:v>
                </c:pt>
                <c:pt idx="20">
                  <c:v>9.1450400886066243E-4</c:v>
                </c:pt>
                <c:pt idx="21">
                  <c:v>9.8394214317712838E-4</c:v>
                </c:pt>
                <c:pt idx="22">
                  <c:v>1.0550538857981516E-3</c:v>
                </c:pt>
                <c:pt idx="23">
                  <c:v>1.1278007372147896E-3</c:v>
                </c:pt>
                <c:pt idx="24">
                  <c:v>1.2021467389965344E-3</c:v>
                </c:pt>
                <c:pt idx="25">
                  <c:v>1.2780582059428191E-3</c:v>
                </c:pt>
                <c:pt idx="26">
                  <c:v>1.3555034961748431E-3</c:v>
                </c:pt>
                <c:pt idx="27">
                  <c:v>1.4344528125246926E-3</c:v>
                </c:pt>
                <c:pt idx="28">
                  <c:v>1.5148780299475521E-3</c:v>
                </c:pt>
                <c:pt idx="29">
                  <c:v>1.5967525447301545E-3</c:v>
                </c:pt>
                <c:pt idx="30">
                  <c:v>1.6800511420787163E-3</c:v>
                </c:pt>
                <c:pt idx="31">
                  <c:v>1.7647498793023843E-3</c:v>
                </c:pt>
                <c:pt idx="32">
                  <c:v>1.8508259823068799E-3</c:v>
                </c:pt>
                <c:pt idx="33">
                  <c:v>1.938257753509579E-3</c:v>
                </c:pt>
                <c:pt idx="34">
                  <c:v>2.0270244896048446E-3</c:v>
                </c:pt>
                <c:pt idx="35">
                  <c:v>2.1171064078648058E-3</c:v>
                </c:pt>
                <c:pt idx="36">
                  <c:v>2.2084845798691919E-3</c:v>
                </c:pt>
                <c:pt idx="37">
                  <c:v>2.3011408717281481E-3</c:v>
                </c:pt>
                <c:pt idx="38">
                  <c:v>2.3950578900022914E-3</c:v>
                </c:pt>
                <c:pt idx="39">
                  <c:v>2.4902189326402617E-3</c:v>
                </c:pt>
                <c:pt idx="40">
                  <c:v>2.5866079443506275E-3</c:v>
                </c:pt>
                <c:pt idx="41">
                  <c:v>2.6842094759057505E-3</c:v>
                </c:pt>
                <c:pt idx="42">
                  <c:v>2.7830086469430885E-3</c:v>
                </c:pt>
                <c:pt idx="43">
                  <c:v>2.8829911118867118E-3</c:v>
                </c:pt>
                <c:pt idx="44">
                  <c:v>2.9841430286603604E-3</c:v>
                </c:pt>
                <c:pt idx="45">
                  <c:v>3.0864510299047345E-3</c:v>
                </c:pt>
                <c:pt idx="46">
                  <c:v>3.189902196447061E-3</c:v>
                </c:pt>
                <c:pt idx="47">
                  <c:v>3.2944840328012251E-3</c:v>
                </c:pt>
                <c:pt idx="48">
                  <c:v>3.4001844445029762E-3</c:v>
                </c:pt>
                <c:pt idx="49">
                  <c:v>3.5069917171070982E-3</c:v>
                </c:pt>
                <c:pt idx="50">
                  <c:v>3.6148944966931237E-3</c:v>
                </c:pt>
                <c:pt idx="51">
                  <c:v>3.7238817717430298E-3</c:v>
                </c:pt>
                <c:pt idx="52">
                  <c:v>3.8339428562692195E-3</c:v>
                </c:pt>
                <c:pt idx="53">
                  <c:v>3.9450673740840251E-3</c:v>
                </c:pt>
                <c:pt idx="54">
                  <c:v>4.0572452441133009E-3</c:v>
                </c:pt>
                <c:pt idx="55">
                  <c:v>4.1704666666666701E-3</c:v>
                </c:pt>
                <c:pt idx="56">
                  <c:v>4.2847221105857302E-3</c:v>
                </c:pt>
                <c:pt idx="57">
                  <c:v>4.4000023011993971E-3</c:v>
                </c:pt>
                <c:pt idx="58">
                  <c:v>4.5162982090222736E-3</c:v>
                </c:pt>
                <c:pt idx="59">
                  <c:v>4.6336010391381625E-3</c:v>
                </c:pt>
                <c:pt idx="60">
                  <c:v>4.7519022212162568E-3</c:v>
                </c:pt>
                <c:pt idx="61">
                  <c:v>4.871193400112315E-3</c:v>
                </c:pt>
                <c:pt idx="62">
                  <c:v>4.9914664270114314E-3</c:v>
                </c:pt>
                <c:pt idx="63">
                  <c:v>5.1127133510729915E-3</c:v>
                </c:pt>
                <c:pt idx="64">
                  <c:v>5.2349264115417902E-3</c:v>
                </c:pt>
                <c:pt idx="65">
                  <c:v>5.3580980302923003E-3</c:v>
                </c:pt>
                <c:pt idx="66">
                  <c:v>5.4822208047761089E-3</c:v>
                </c:pt>
                <c:pt idx="67">
                  <c:v>5.6072875013448154E-3</c:v>
                </c:pt>
                <c:pt idx="68">
                  <c:v>5.7332910489231439E-3</c:v>
                </c:pt>
                <c:pt idx="69">
                  <c:v>5.8602245330089554E-3</c:v>
                </c:pt>
                <c:pt idx="70">
                  <c:v>5.9880811899787906E-3</c:v>
                </c:pt>
                <c:pt idx="71">
                  <c:v>6.1168544016792026E-3</c:v>
                </c:pt>
                <c:pt idx="72">
                  <c:v>6.2465376902857209E-3</c:v>
                </c:pt>
                <c:pt idx="73">
                  <c:v>6.3771247134126047E-3</c:v>
                </c:pt>
                <c:pt idx="74">
                  <c:v>6.5086092594579875E-3</c:v>
                </c:pt>
                <c:pt idx="75">
                  <c:v>6.6409852431698752E-3</c:v>
                </c:pt>
                <c:pt idx="76">
                  <c:v>6.7742467014198574E-3</c:v>
                </c:pt>
                <c:pt idx="77">
                  <c:v>6.9083877891721003E-3</c:v>
                </c:pt>
                <c:pt idx="78">
                  <c:v>7.0434027756362226E-3</c:v>
                </c:pt>
                <c:pt idx="79">
                  <c:v>7.1792860405932996E-3</c:v>
                </c:pt>
                <c:pt idx="80">
                  <c:v>7.3160320708852995E-3</c:v>
                </c:pt>
                <c:pt idx="81">
                  <c:v>7.4536354570585231E-3</c:v>
                </c:pt>
                <c:pt idx="82">
                  <c:v>7.5920908901525759E-3</c:v>
                </c:pt>
                <c:pt idx="83">
                  <c:v>7.7313931586268638E-3</c:v>
                </c:pt>
                <c:pt idx="84">
                  <c:v>7.8715371454170235E-3</c:v>
                </c:pt>
                <c:pt idx="85">
                  <c:v>8.0125178251145134E-3</c:v>
                </c:pt>
                <c:pt idx="86">
                  <c:v>8.1543302612625563E-3</c:v>
                </c:pt>
                <c:pt idx="87">
                  <c:v>8.2969696037625724E-3</c:v>
                </c:pt>
                <c:pt idx="88">
                  <c:v>8.4404310863852149E-3</c:v>
                </c:pt>
                <c:pt idx="89">
                  <c:v>8.584710024380689E-3</c:v>
                </c:pt>
                <c:pt idx="90">
                  <c:v>8.7298018121833697E-3</c:v>
                </c:pt>
                <c:pt idx="91">
                  <c:v>8.8757019212058787E-3</c:v>
                </c:pt>
                <c:pt idx="92">
                  <c:v>9.0224058977183171E-3</c:v>
                </c:pt>
                <c:pt idx="93">
                  <c:v>9.1699093608083194E-3</c:v>
                </c:pt>
                <c:pt idx="94">
                  <c:v>9.3182080004182034E-3</c:v>
                </c:pt>
                <c:pt idx="95">
                  <c:v>9.4672975754553253E-3</c:v>
                </c:pt>
                <c:pt idx="96">
                  <c:v>9.6171739119722752E-3</c:v>
                </c:pt>
                <c:pt idx="97">
                  <c:v>9.7678329014135833E-3</c:v>
                </c:pt>
                <c:pt idx="98">
                  <c:v>9.9192704989259344E-3</c:v>
                </c:pt>
                <c:pt idx="99">
                  <c:v>1.0071482721728718E-2</c:v>
                </c:pt>
                <c:pt idx="100">
                  <c:v>1.0224465647542556E-2</c:v>
                </c:pt>
                <c:pt idx="101">
                  <c:v>1.0378215413072817E-2</c:v>
                </c:pt>
                <c:pt idx="102">
                  <c:v>1.0532728212545884E-2</c:v>
                </c:pt>
                <c:pt idx="103">
                  <c:v>1.0688000296295738E-2</c:v>
                </c:pt>
                <c:pt idx="104">
                  <c:v>1.0844027969398743E-2</c:v>
                </c:pt>
                <c:pt idx="105">
                  <c:v>1.1000807590354449E-2</c:v>
                </c:pt>
                <c:pt idx="106">
                  <c:v>1.1158335569810482E-2</c:v>
                </c:pt>
                <c:pt idx="107">
                  <c:v>1.1316608369329663E-2</c:v>
                </c:pt>
                <c:pt idx="108">
                  <c:v>1.1475622500197541E-2</c:v>
                </c:pt>
                <c:pt idx="109">
                  <c:v>1.163537452226863E-2</c:v>
                </c:pt>
                <c:pt idx="110">
                  <c:v>1.1795861042849834E-2</c:v>
                </c:pt>
                <c:pt idx="111">
                  <c:v>1.1957078715619464E-2</c:v>
                </c:pt>
                <c:pt idx="112">
                  <c:v>1.2119024239580417E-2</c:v>
                </c:pt>
                <c:pt idx="113">
                  <c:v>1.2281694358046142E-2</c:v>
                </c:pt>
                <c:pt idx="114">
                  <c:v>1.2445085857658036E-2</c:v>
                </c:pt>
                <c:pt idx="115">
                  <c:v>1.2609195567433227E-2</c:v>
                </c:pt>
                <c:pt idx="116">
                  <c:v>1.2774020357841235E-2</c:v>
                </c:pt>
                <c:pt idx="117">
                  <c:v>1.293955713990862E-2</c:v>
                </c:pt>
                <c:pt idx="118">
                  <c:v>1.3105802864350508E-2</c:v>
                </c:pt>
                <c:pt idx="119">
                  <c:v>1.3272754520727875E-2</c:v>
                </c:pt>
                <c:pt idx="120">
                  <c:v>1.3440409136629732E-2</c:v>
                </c:pt>
                <c:pt idx="121">
                  <c:v>1.3608763776879144E-2</c:v>
                </c:pt>
                <c:pt idx="122">
                  <c:v>1.3777815542762297E-2</c:v>
                </c:pt>
                <c:pt idx="123">
                  <c:v>1.3947561571279753E-2</c:v>
                </c:pt>
                <c:pt idx="124">
                  <c:v>1.411799903441908E-2</c:v>
                </c:pt>
                <c:pt idx="125">
                  <c:v>1.428912513844785E-2</c:v>
                </c:pt>
                <c:pt idx="126">
                  <c:v>1.446093712322684E-2</c:v>
                </c:pt>
                <c:pt idx="127">
                  <c:v>1.4633432261541996E-2</c:v>
                </c:pt>
                <c:pt idx="128">
                  <c:v>1.4806607858455041E-2</c:v>
                </c:pt>
                <c:pt idx="129">
                  <c:v>1.4980461250671819E-2</c:v>
                </c:pt>
                <c:pt idx="130">
                  <c:v>1.5154989805927874E-2</c:v>
                </c:pt>
                <c:pt idx="131">
                  <c:v>1.5330190922390439E-2</c:v>
                </c:pt>
                <c:pt idx="132">
                  <c:v>1.5506062028076632E-2</c:v>
                </c:pt>
                <c:pt idx="133">
                  <c:v>1.5682600580286997E-2</c:v>
                </c:pt>
                <c:pt idx="134">
                  <c:v>1.5859804065053964E-2</c:v>
                </c:pt>
                <c:pt idx="135">
                  <c:v>1.6037669996604869E-2</c:v>
                </c:pt>
                <c:pt idx="136">
                  <c:v>1.6216195916838757E-2</c:v>
                </c:pt>
                <c:pt idx="137">
                  <c:v>1.6395379394816771E-2</c:v>
                </c:pt>
                <c:pt idx="138">
                  <c:v>1.6575218026265603E-2</c:v>
                </c:pt>
                <c:pt idx="139">
                  <c:v>1.6755709433093485E-2</c:v>
                </c:pt>
                <c:pt idx="140">
                  <c:v>1.693685126291845E-2</c:v>
                </c:pt>
                <c:pt idx="141">
                  <c:v>1.71186411886084E-2</c:v>
                </c:pt>
                <c:pt idx="142">
                  <c:v>1.7301076907832579E-2</c:v>
                </c:pt>
                <c:pt idx="143">
                  <c:v>1.7484156142624174E-2</c:v>
                </c:pt>
                <c:pt idx="144">
                  <c:v>1.7667876638953531E-2</c:v>
                </c:pt>
                <c:pt idx="145">
                  <c:v>1.7852236166311992E-2</c:v>
                </c:pt>
                <c:pt idx="146">
                  <c:v>1.803723251730549E-2</c:v>
                </c:pt>
                <c:pt idx="147">
                  <c:v>1.8222863507258141E-2</c:v>
                </c:pt>
                <c:pt idx="148">
                  <c:v>1.8409126973825185E-2</c:v>
                </c:pt>
                <c:pt idx="149">
                  <c:v>1.8596020776615155E-2</c:v>
                </c:pt>
                <c:pt idx="150">
                  <c:v>1.8783542796820842E-2</c:v>
                </c:pt>
              </c:numCache>
            </c:numRef>
          </c:yVal>
          <c:smooth val="1"/>
          <c:extLst>
            <c:ext xmlns:c16="http://schemas.microsoft.com/office/drawing/2014/chart" uri="{C3380CC4-5D6E-409C-BE32-E72D297353CC}">
              <c16:uniqueId val="{00000003-D428-476F-9D9B-414A5D21B4D3}"/>
            </c:ext>
          </c:extLst>
        </c:ser>
        <c:dLbls>
          <c:showLegendKey val="0"/>
          <c:showVal val="0"/>
          <c:showCatName val="0"/>
          <c:showSerName val="0"/>
          <c:showPercent val="0"/>
          <c:showBubbleSize val="0"/>
        </c:dLbls>
        <c:axId val="162552448"/>
        <c:axId val="162550528"/>
      </c:scatterChart>
      <c:valAx>
        <c:axId val="161084544"/>
        <c:scaling>
          <c:orientation val="minMax"/>
        </c:scaling>
        <c:delete val="0"/>
        <c:axPos val="b"/>
        <c:majorGridlines/>
        <c:numFmt formatCode="General" sourceLinked="1"/>
        <c:majorTickMark val="out"/>
        <c:minorTickMark val="none"/>
        <c:tickLblPos val="nextTo"/>
        <c:crossAx val="161086080"/>
        <c:crosses val="autoZero"/>
        <c:crossBetween val="midCat"/>
      </c:valAx>
      <c:valAx>
        <c:axId val="161086080"/>
        <c:scaling>
          <c:orientation val="minMax"/>
          <c:max val="100"/>
          <c:min val="60"/>
        </c:scaling>
        <c:delete val="0"/>
        <c:axPos val="l"/>
        <c:majorGridlines/>
        <c:title>
          <c:tx>
            <c:rich>
              <a:bodyPr rot="-5400000" vert="horz"/>
              <a:lstStyle/>
              <a:p>
                <a:pPr>
                  <a:defRPr sz="1400"/>
                </a:pPr>
                <a:r>
                  <a:rPr lang="en-US" sz="1400"/>
                  <a:t>Efficiency</a:t>
                </a:r>
                <a:r>
                  <a:rPr lang="en-US" sz="1400" baseline="0"/>
                  <a:t> (%)</a:t>
                </a:r>
                <a:endParaRPr lang="en-US" sz="1400"/>
              </a:p>
            </c:rich>
          </c:tx>
          <c:overlay val="0"/>
        </c:title>
        <c:numFmt formatCode="General" sourceLinked="1"/>
        <c:majorTickMark val="out"/>
        <c:minorTickMark val="none"/>
        <c:tickLblPos val="nextTo"/>
        <c:crossAx val="161084544"/>
        <c:crosses val="autoZero"/>
        <c:crossBetween val="midCat"/>
      </c:valAx>
      <c:valAx>
        <c:axId val="162550528"/>
        <c:scaling>
          <c:orientation val="minMax"/>
        </c:scaling>
        <c:delete val="0"/>
        <c:axPos val="r"/>
        <c:title>
          <c:tx>
            <c:rich>
              <a:bodyPr rot="-5400000" vert="horz"/>
              <a:lstStyle/>
              <a:p>
                <a:pPr>
                  <a:defRPr sz="1400"/>
                </a:pPr>
                <a:r>
                  <a:rPr lang="en-US" sz="1400"/>
                  <a:t>Losses</a:t>
                </a:r>
                <a:r>
                  <a:rPr lang="en-US" sz="1400" baseline="0"/>
                  <a:t> (W)</a:t>
                </a:r>
                <a:endParaRPr lang="en-US" sz="1400"/>
              </a:p>
            </c:rich>
          </c:tx>
          <c:overlay val="0"/>
        </c:title>
        <c:numFmt formatCode="General" sourceLinked="1"/>
        <c:majorTickMark val="out"/>
        <c:minorTickMark val="none"/>
        <c:tickLblPos val="nextTo"/>
        <c:crossAx val="162552448"/>
        <c:crosses val="max"/>
        <c:crossBetween val="midCat"/>
      </c:valAx>
      <c:valAx>
        <c:axId val="162552448"/>
        <c:scaling>
          <c:orientation val="minMax"/>
        </c:scaling>
        <c:delete val="1"/>
        <c:axPos val="b"/>
        <c:title>
          <c:tx>
            <c:rich>
              <a:bodyPr/>
              <a:lstStyle/>
              <a:p>
                <a:pPr>
                  <a:defRPr/>
                </a:pPr>
                <a:r>
                  <a:rPr lang="en-US"/>
                  <a:t>Loac</a:t>
                </a:r>
                <a:r>
                  <a:rPr lang="en-US" baseline="0"/>
                  <a:t> Current (A)</a:t>
                </a:r>
                <a:endParaRPr lang="en-US"/>
              </a:p>
            </c:rich>
          </c:tx>
          <c:overlay val="0"/>
        </c:title>
        <c:numFmt formatCode="General" sourceLinked="1"/>
        <c:majorTickMark val="out"/>
        <c:minorTickMark val="none"/>
        <c:tickLblPos val="nextTo"/>
        <c:crossAx val="162550528"/>
        <c:crosses val="autoZero"/>
        <c:crossBetween val="midCat"/>
      </c:valAx>
    </c:plotArea>
    <c:legend>
      <c:legendPos val="r"/>
      <c:layout>
        <c:manualLayout>
          <c:xMode val="edge"/>
          <c:yMode val="edge"/>
          <c:x val="0.51894403926190358"/>
          <c:y val="6.4862204724409449E-3"/>
          <c:w val="0.39609572935704079"/>
          <c:h val="0.12183653099700564"/>
        </c:manualLayout>
      </c:layout>
      <c:overlay val="1"/>
    </c:legend>
    <c:plotVisOnly val="1"/>
    <c:dispBlanksAs val="gap"/>
    <c:showDLblsOverMax val="0"/>
  </c:chart>
  <c:spPr>
    <a:ln>
      <a:noFill/>
    </a:ln>
  </c:spPr>
  <c:printSettings>
    <c:headerFooter/>
    <c:pageMargins b="0.75" l="0.7" r="0.7" t="0.75" header="0.3" footer="0.3"/>
    <c:pageSetup/>
  </c:printSettings>
</c:chartSpace>
</file>

<file path=xl/ctrlProps/ctrlProp1.xml><?xml version="1.0" encoding="utf-8"?>
<formControlPr xmlns="http://schemas.microsoft.com/office/spreadsheetml/2009/9/main" objectType="Drop" dropStyle="combo" dx="26" fmlaRange="$1:$1048576" noThreeD="1" sel="0" val="0"/>
</file>

<file path=xl/ctrlProps/ctrlProp2.xml><?xml version="1.0" encoding="utf-8"?>
<formControlPr xmlns="http://schemas.microsoft.com/office/spreadsheetml/2009/9/main" objectType="Spin" dx="20" fmlaLink="$H$8" max="45" noThreeD="1" page="10" val="5"/>
</file>

<file path=xl/drawings/_rels/drawing1.x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chart" Target="../charts/chart4.xml"/><Relationship Id="rId5" Type="http://schemas.openxmlformats.org/officeDocument/2006/relationships/chart" Target="../charts/chart6.xml"/><Relationship Id="rId4"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image" Target="../media/image10.emf"/><Relationship Id="rId1" Type="http://schemas.openxmlformats.org/officeDocument/2006/relationships/image" Target="../media/image9.emf"/></Relationships>
</file>

<file path=xl/drawings/_rels/drawing8.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1.gif"/><Relationship Id="rId1" Type="http://schemas.openxmlformats.org/officeDocument/2006/relationships/hyperlink" Target="http://www.ti.com" TargetMode="Externa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14</xdr:col>
          <xdr:colOff>596900</xdr:colOff>
          <xdr:row>30</xdr:row>
          <xdr:rowOff>88900</xdr:rowOff>
        </xdr:from>
        <xdr:to>
          <xdr:col>16</xdr:col>
          <xdr:colOff>215900</xdr:colOff>
          <xdr:row>31</xdr:row>
          <xdr:rowOff>114300</xdr:rowOff>
        </xdr:to>
        <xdr:sp macro="" textlink="">
          <xdr:nvSpPr>
            <xdr:cNvPr id="1170" name="Drop Down 146" descr="This is just there to fix the excel issue with comments and linked pictures"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PrintsWithSheet="0"/>
      </xdr:twoCellAnchor>
    </mc:Choice>
    <mc:Fallback/>
  </mc:AlternateContent>
  <xdr:twoCellAnchor>
    <xdr:from>
      <xdr:col>9</xdr:col>
      <xdr:colOff>22860</xdr:colOff>
      <xdr:row>50</xdr:row>
      <xdr:rowOff>1</xdr:rowOff>
    </xdr:from>
    <xdr:to>
      <xdr:col>25</xdr:col>
      <xdr:colOff>598714</xdr:colOff>
      <xdr:row>71</xdr:row>
      <xdr:rowOff>175261</xdr:rowOff>
    </xdr:to>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22861</xdr:colOff>
      <xdr:row>74</xdr:row>
      <xdr:rowOff>7620</xdr:rowOff>
    </xdr:from>
    <xdr:to>
      <xdr:col>25</xdr:col>
      <xdr:colOff>600637</xdr:colOff>
      <xdr:row>98</xdr:row>
      <xdr:rowOff>163286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7</xdr:col>
          <xdr:colOff>508000</xdr:colOff>
          <xdr:row>56</xdr:row>
          <xdr:rowOff>0</xdr:rowOff>
        </xdr:from>
        <xdr:to>
          <xdr:col>8</xdr:col>
          <xdr:colOff>12700</xdr:colOff>
          <xdr:row>58</xdr:row>
          <xdr:rowOff>0</xdr:rowOff>
        </xdr:to>
        <xdr:sp macro="" textlink="">
          <xdr:nvSpPr>
            <xdr:cNvPr id="1060" name="Spinner 36" hidden="1">
              <a:extLst>
                <a:ext uri="{63B3BB69-23CF-44E3-9099-C40C66FF867C}">
                  <a14:compatExt spid="_x0000_s1060"/>
                </a:ext>
                <a:ext uri="{FF2B5EF4-FFF2-40B4-BE49-F238E27FC236}">
                  <a16:creationId xmlns:a16="http://schemas.microsoft.com/office/drawing/2014/main" id="{00000000-0008-0000-0000-0000240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14</xdr:col>
      <xdr:colOff>134501</xdr:colOff>
      <xdr:row>49</xdr:row>
      <xdr:rowOff>62752</xdr:rowOff>
    </xdr:from>
    <xdr:to>
      <xdr:col>15</xdr:col>
      <xdr:colOff>484124</xdr:colOff>
      <xdr:row>51</xdr:row>
      <xdr:rowOff>161363</xdr:rowOff>
    </xdr:to>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8326001" y="10338546"/>
          <a:ext cx="943535" cy="54684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p>
      </xdr:txBody>
    </xdr:sp>
    <xdr:clientData/>
  </xdr:twoCellAnchor>
  <xdr:twoCellAnchor>
    <xdr:from>
      <xdr:col>15</xdr:col>
      <xdr:colOff>197245</xdr:colOff>
      <xdr:row>49</xdr:row>
      <xdr:rowOff>71718</xdr:rowOff>
    </xdr:from>
    <xdr:to>
      <xdr:col>16</xdr:col>
      <xdr:colOff>528939</xdr:colOff>
      <xdr:row>51</xdr:row>
      <xdr:rowOff>170330</xdr:rowOff>
    </xdr:to>
    <xdr:sp macro="" textlink="VIN_nom">
      <xdr:nvSpPr>
        <xdr:cNvPr id="3" name="TextBox 2">
          <a:extLst>
            <a:ext uri="{FF2B5EF4-FFF2-40B4-BE49-F238E27FC236}">
              <a16:creationId xmlns:a16="http://schemas.microsoft.com/office/drawing/2014/main" id="{00000000-0008-0000-0000-000003000000}"/>
            </a:ext>
          </a:extLst>
        </xdr:cNvPr>
        <xdr:cNvSpPr txBox="1"/>
      </xdr:nvSpPr>
      <xdr:spPr>
        <a:xfrm>
          <a:off x="8955763" y="9538447"/>
          <a:ext cx="941294" cy="49305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B6E0D9B-34B5-4A81-8CB9-A88F658AFD78}" type="TxLink">
            <a:rPr lang="en-US" sz="2400" b="0" i="0" u="none" strike="noStrike">
              <a:solidFill>
                <a:srgbClr val="000000"/>
              </a:solidFill>
              <a:latin typeface="Calibri"/>
            </a:rPr>
            <a:pPr/>
            <a:t>5</a:t>
          </a:fld>
          <a:endParaRPr lang="en-US" sz="2400"/>
        </a:p>
      </xdr:txBody>
    </xdr:sp>
    <xdr:clientData/>
  </xdr:twoCellAnchor>
  <xdr:twoCellAnchor>
    <xdr:from>
      <xdr:col>15</xdr:col>
      <xdr:colOff>568726</xdr:colOff>
      <xdr:row>49</xdr:row>
      <xdr:rowOff>62752</xdr:rowOff>
    </xdr:from>
    <xdr:to>
      <xdr:col>17</xdr:col>
      <xdr:colOff>318274</xdr:colOff>
      <xdr:row>51</xdr:row>
      <xdr:rowOff>161363</xdr:rowOff>
    </xdr:to>
    <xdr:sp macro="" textlink="">
      <xdr:nvSpPr>
        <xdr:cNvPr id="12" name="TextBox 11">
          <a:extLst>
            <a:ext uri="{FF2B5EF4-FFF2-40B4-BE49-F238E27FC236}">
              <a16:creationId xmlns:a16="http://schemas.microsoft.com/office/drawing/2014/main" id="{00000000-0008-0000-0000-00000C000000}"/>
            </a:ext>
          </a:extLst>
        </xdr:cNvPr>
        <xdr:cNvSpPr txBox="1"/>
      </xdr:nvSpPr>
      <xdr:spPr>
        <a:xfrm>
          <a:off x="9354138" y="10338546"/>
          <a:ext cx="937371" cy="54684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p>
      </xdr:txBody>
    </xdr:sp>
    <xdr:clientData/>
  </xdr:twoCellAnchor>
  <xdr:twoCellAnchor>
    <xdr:from>
      <xdr:col>11</xdr:col>
      <xdr:colOff>376517</xdr:colOff>
      <xdr:row>74</xdr:row>
      <xdr:rowOff>26894</xdr:rowOff>
    </xdr:from>
    <xdr:to>
      <xdr:col>13</xdr:col>
      <xdr:colOff>116540</xdr:colOff>
      <xdr:row>76</xdr:row>
      <xdr:rowOff>134470</xdr:rowOff>
    </xdr:to>
    <xdr:sp macro="" textlink="">
      <xdr:nvSpPr>
        <xdr:cNvPr id="9" name="TextBox 8">
          <a:extLst>
            <a:ext uri="{FF2B5EF4-FFF2-40B4-BE49-F238E27FC236}">
              <a16:creationId xmlns:a16="http://schemas.microsoft.com/office/drawing/2014/main" id="{00000000-0008-0000-0000-000009000000}"/>
            </a:ext>
          </a:extLst>
        </xdr:cNvPr>
        <xdr:cNvSpPr txBox="1"/>
      </xdr:nvSpPr>
      <xdr:spPr>
        <a:xfrm>
          <a:off x="6696635" y="14379388"/>
          <a:ext cx="959223" cy="49305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p>
      </xdr:txBody>
    </xdr:sp>
    <xdr:clientData/>
  </xdr:twoCellAnchor>
  <xdr:twoCellAnchor>
    <xdr:from>
      <xdr:col>12</xdr:col>
      <xdr:colOff>439261</xdr:colOff>
      <xdr:row>74</xdr:row>
      <xdr:rowOff>35860</xdr:rowOff>
    </xdr:from>
    <xdr:to>
      <xdr:col>14</xdr:col>
      <xdr:colOff>161355</xdr:colOff>
      <xdr:row>76</xdr:row>
      <xdr:rowOff>143437</xdr:rowOff>
    </xdr:to>
    <xdr:sp macro="" textlink="VIN_nom">
      <xdr:nvSpPr>
        <xdr:cNvPr id="10" name="TextBox 9">
          <a:extLst>
            <a:ext uri="{FF2B5EF4-FFF2-40B4-BE49-F238E27FC236}">
              <a16:creationId xmlns:a16="http://schemas.microsoft.com/office/drawing/2014/main" id="{00000000-0008-0000-0000-00000A000000}"/>
            </a:ext>
          </a:extLst>
        </xdr:cNvPr>
        <xdr:cNvSpPr txBox="1"/>
      </xdr:nvSpPr>
      <xdr:spPr>
        <a:xfrm>
          <a:off x="7368979" y="14388354"/>
          <a:ext cx="941294" cy="49305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B6E0D9B-34B5-4A81-8CB9-A88F658AFD78}" type="TxLink">
            <a:rPr lang="en-US" sz="2400" b="0" i="0" u="none" strike="noStrike">
              <a:solidFill>
                <a:srgbClr val="000000"/>
              </a:solidFill>
              <a:latin typeface="Calibri"/>
            </a:rPr>
            <a:pPr/>
            <a:t>5</a:t>
          </a:fld>
          <a:endParaRPr lang="en-US" sz="2400"/>
        </a:p>
      </xdr:txBody>
    </xdr:sp>
    <xdr:clientData/>
  </xdr:twoCellAnchor>
  <xdr:twoCellAnchor>
    <xdr:from>
      <xdr:col>13</xdr:col>
      <xdr:colOff>233079</xdr:colOff>
      <xdr:row>74</xdr:row>
      <xdr:rowOff>26894</xdr:rowOff>
    </xdr:from>
    <xdr:to>
      <xdr:col>14</xdr:col>
      <xdr:colOff>582702</xdr:colOff>
      <xdr:row>76</xdr:row>
      <xdr:rowOff>134470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7772397" y="14379388"/>
          <a:ext cx="959223" cy="49305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p>
      </xdr:txBody>
    </xdr:sp>
    <xdr:clientData/>
  </xdr:twoCellAnchor>
  <xdr:twoCellAnchor>
    <xdr:from>
      <xdr:col>11</xdr:col>
      <xdr:colOff>99097</xdr:colOff>
      <xdr:row>67</xdr:row>
      <xdr:rowOff>155530</xdr:rowOff>
    </xdr:from>
    <xdr:to>
      <xdr:col>13</xdr:col>
      <xdr:colOff>150962</xdr:colOff>
      <xdr:row>68</xdr:row>
      <xdr:rowOff>132991</xdr:rowOff>
    </xdr:to>
    <xdr:sp macro="" textlink="Loop_Modeling!A69">
      <xdr:nvSpPr>
        <xdr:cNvPr id="14" name="TextBox 13">
          <a:extLst>
            <a:ext uri="{FF2B5EF4-FFF2-40B4-BE49-F238E27FC236}">
              <a16:creationId xmlns:a16="http://schemas.microsoft.com/office/drawing/2014/main" id="{00000000-0008-0000-0000-00000E000000}"/>
            </a:ext>
          </a:extLst>
        </xdr:cNvPr>
        <xdr:cNvSpPr txBox="1"/>
      </xdr:nvSpPr>
      <xdr:spPr>
        <a:xfrm>
          <a:off x="6475455" y="14328011"/>
          <a:ext cx="1230809" cy="17874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96E2E744-8A5D-4458-A426-E4363EDE50C7}" type="TxLink">
            <a:rPr lang="en-US" sz="1100" b="1" i="0" u="none" strike="noStrike">
              <a:solidFill>
                <a:schemeClr val="accent1">
                  <a:lumMod val="75000"/>
                </a:schemeClr>
              </a:solidFill>
              <a:latin typeface="Calibri"/>
              <a:cs typeface="Calibri"/>
            </a:rPr>
            <a:pPr/>
            <a:t>Phase Margin = 92°</a:t>
          </a:fld>
          <a:endParaRPr lang="en-US" sz="2400" b="1">
            <a:solidFill>
              <a:schemeClr val="accent1">
                <a:lumMod val="75000"/>
              </a:schemeClr>
            </a:solidFill>
          </a:endParaRPr>
        </a:p>
      </xdr:txBody>
    </xdr:sp>
    <xdr:clientData/>
  </xdr:twoCellAnchor>
  <xdr:twoCellAnchor>
    <xdr:from>
      <xdr:col>11</xdr:col>
      <xdr:colOff>98632</xdr:colOff>
      <xdr:row>66</xdr:row>
      <xdr:rowOff>109818</xdr:rowOff>
    </xdr:from>
    <xdr:to>
      <xdr:col>15</xdr:col>
      <xdr:colOff>224116</xdr:colOff>
      <xdr:row>67</xdr:row>
      <xdr:rowOff>123265</xdr:rowOff>
    </xdr:to>
    <xdr:sp macro="" textlink="Loop_Modeling!A68">
      <xdr:nvSpPr>
        <xdr:cNvPr id="15" name="TextBox 14">
          <a:extLst>
            <a:ext uri="{FF2B5EF4-FFF2-40B4-BE49-F238E27FC236}">
              <a16:creationId xmlns:a16="http://schemas.microsoft.com/office/drawing/2014/main" id="{00000000-0008-0000-0000-00000F000000}"/>
            </a:ext>
          </a:extLst>
        </xdr:cNvPr>
        <xdr:cNvSpPr txBox="1"/>
      </xdr:nvSpPr>
      <xdr:spPr>
        <a:xfrm>
          <a:off x="6508397" y="13982700"/>
          <a:ext cx="2501131" cy="2039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EF506B42-A944-4597-8E98-BD1D41977E0E}" type="TxLink">
            <a:rPr lang="en-US" sz="1100" b="1" i="0" u="none" strike="noStrike">
              <a:solidFill>
                <a:srgbClr val="C00000"/>
              </a:solidFill>
              <a:latin typeface="+mn-lt"/>
              <a:cs typeface="Arial" panose="020B0604020202020204" pitchFamily="34" charset="0"/>
            </a:rPr>
            <a:pPr/>
            <a:t>Crossover Frequency = 4.9 kHz</a:t>
          </a:fld>
          <a:endParaRPr lang="en-US" sz="2400" b="1">
            <a:solidFill>
              <a:srgbClr val="C00000"/>
            </a:solidFill>
            <a:latin typeface="+mn-lt"/>
            <a:cs typeface="Arial" panose="020B06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10</xdr:col>
          <xdr:colOff>18648</xdr:colOff>
          <xdr:row>6</xdr:row>
          <xdr:rowOff>9525</xdr:rowOff>
        </xdr:from>
        <xdr:to>
          <xdr:col>25</xdr:col>
          <xdr:colOff>417820</xdr:colOff>
          <xdr:row>36</xdr:row>
          <xdr:rowOff>167640</xdr:rowOff>
        </xdr:to>
        <xdr:pic>
          <xdr:nvPicPr>
            <xdr:cNvPr id="18" name="Picture 17">
              <a:extLst>
                <a:ext uri="{FF2B5EF4-FFF2-40B4-BE49-F238E27FC236}">
                  <a16:creationId xmlns:a16="http://schemas.microsoft.com/office/drawing/2014/main" id="{00000000-0008-0000-0000-000012000000}"/>
                </a:ext>
              </a:extLst>
            </xdr:cNvPr>
            <xdr:cNvPicPr>
              <a:picLocks noChangeAspect="1"/>
              <a:extLst>
                <a:ext uri="{84589F7E-364E-4C9E-8A38-B11213B215E9}">
                  <a14:cameraTool cellRange="display_SCH" spid="_x0000_s1265"/>
                </a:ext>
              </a:extLst>
            </xdr:cNvPicPr>
          </xdr:nvPicPr>
          <xdr:blipFill rotWithShape="1">
            <a:blip xmlns:r="http://schemas.openxmlformats.org/officeDocument/2006/relationships" r:embed="rId3"/>
            <a:srcRect/>
            <a:stretch>
              <a:fillRect/>
            </a:stretch>
          </xdr:blipFill>
          <xdr:spPr>
            <a:xfrm>
              <a:off x="5834501" y="1567143"/>
              <a:ext cx="9195790" cy="6116058"/>
            </a:xfrm>
            <a:prstGeom prst="rect">
              <a:avLst/>
            </a:prstGeom>
            <a:solidFill>
              <a:schemeClr val="bg1"/>
            </a:solidFill>
          </xdr:spPr>
        </xdr:pic>
        <xdr:clientData/>
      </xdr:twoCellAnchor>
    </mc:Choice>
    <mc:Fallback/>
  </mc:AlternateContent>
  <xdr:twoCellAnchor>
    <xdr:from>
      <xdr:col>14</xdr:col>
      <xdr:colOff>333375</xdr:colOff>
      <xdr:row>16</xdr:row>
      <xdr:rowOff>85724</xdr:rowOff>
    </xdr:from>
    <xdr:to>
      <xdr:col>16</xdr:col>
      <xdr:colOff>428625</xdr:colOff>
      <xdr:row>18</xdr:row>
      <xdr:rowOff>57149</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8486775" y="3543299"/>
          <a:ext cx="1276350" cy="3714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0">
              <a:latin typeface="Arial" panose="020B0604020202020204" pitchFamily="34" charset="0"/>
              <a:cs typeface="Arial" panose="020B0604020202020204" pitchFamily="34" charset="0"/>
            </a:rPr>
            <a:t>LM5155/56</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851647</xdr:colOff>
      <xdr:row>215</xdr:row>
      <xdr:rowOff>170330</xdr:rowOff>
    </xdr:from>
    <xdr:to>
      <xdr:col>14</xdr:col>
      <xdr:colOff>484094</xdr:colOff>
      <xdr:row>223</xdr:row>
      <xdr:rowOff>71719</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9807388" y="26544495"/>
          <a:ext cx="3541059" cy="13357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Need to explain the placement of the Zero</a:t>
          </a:r>
          <a:r>
            <a:rPr lang="en-US" sz="1100" baseline="0"/>
            <a:t> a little bit better. The pole location should also be based on the location of the zero</a:t>
          </a:r>
          <a:endParaRPr lang="en-US" sz="1100"/>
        </a:p>
      </xdr:txBody>
    </xdr:sp>
    <xdr:clientData/>
  </xdr:twoCellAnchor>
  <mc:AlternateContent xmlns:mc="http://schemas.openxmlformats.org/markup-compatibility/2006">
    <mc:Choice xmlns:a14="http://schemas.microsoft.com/office/drawing/2010/main" Requires="a14">
      <xdr:twoCellAnchor editAs="oneCell">
        <xdr:from>
          <xdr:col>8</xdr:col>
          <xdr:colOff>63500</xdr:colOff>
          <xdr:row>154</xdr:row>
          <xdr:rowOff>139700</xdr:rowOff>
        </xdr:from>
        <xdr:to>
          <xdr:col>12</xdr:col>
          <xdr:colOff>393700</xdr:colOff>
          <xdr:row>157</xdr:row>
          <xdr:rowOff>25400</xdr:rowOff>
        </xdr:to>
        <xdr:sp macro="" textlink="">
          <xdr:nvSpPr>
            <xdr:cNvPr id="2053" name="Object 5"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8</xdr:col>
      <xdr:colOff>842683</xdr:colOff>
      <xdr:row>186</xdr:row>
      <xdr:rowOff>17930</xdr:rowOff>
    </xdr:from>
    <xdr:to>
      <xdr:col>14</xdr:col>
      <xdr:colOff>475130</xdr:colOff>
      <xdr:row>195</xdr:row>
      <xdr:rowOff>98613</xdr:rowOff>
    </xdr:to>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9798424" y="23523389"/>
          <a:ext cx="3541059" cy="13357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Loop</a:t>
          </a:r>
          <a:r>
            <a:rPr lang="en-US" sz="1100" baseline="0"/>
            <a:t> compensation is calculated for the minimum input voltage. This ensure stability over the input voltage range</a:t>
          </a:r>
          <a:endParaRPr lang="en-US" sz="1100"/>
        </a:p>
      </xdr:txBody>
    </xdr:sp>
    <xdr:clientData/>
  </xdr:twoCellAnchor>
  <xdr:twoCellAnchor>
    <xdr:from>
      <xdr:col>14</xdr:col>
      <xdr:colOff>11205</xdr:colOff>
      <xdr:row>33</xdr:row>
      <xdr:rowOff>100853</xdr:rowOff>
    </xdr:from>
    <xdr:to>
      <xdr:col>18</xdr:col>
      <xdr:colOff>582705</xdr:colOff>
      <xdr:row>38</xdr:row>
      <xdr:rowOff>78441</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2920381" y="6555441"/>
          <a:ext cx="2991971"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If</a:t>
          </a:r>
          <a:r>
            <a:rPr lang="en-US" sz="1100" baseline="0"/>
            <a:t> Lm is </a:t>
          </a:r>
        </a:p>
        <a:p>
          <a:r>
            <a:rPr lang="en-US" sz="1100" baseline="0"/>
            <a:t>lower then each of them -&gt; CCM</a:t>
          </a:r>
        </a:p>
        <a:p>
          <a:r>
            <a:rPr lang="en-US" sz="1100" baseline="0"/>
            <a:t>Higher </a:t>
          </a:r>
          <a:r>
            <a:rPr lang="en-US" sz="1100" baseline="0">
              <a:solidFill>
                <a:schemeClr val="dk1"/>
              </a:solidFill>
              <a:effectLst/>
              <a:latin typeface="+mn-lt"/>
              <a:ea typeface="+mn-ea"/>
              <a:cs typeface="+mn-cs"/>
            </a:rPr>
            <a:t>lower then each of them </a:t>
          </a:r>
          <a:r>
            <a:rPr lang="en-US" sz="1100" baseline="0"/>
            <a:t> -&gt; DCM</a:t>
          </a:r>
        </a:p>
        <a:p>
          <a:r>
            <a:rPr lang="en-US" sz="1100" baseline="0"/>
            <a:t>else CCM and DCM </a:t>
          </a:r>
          <a:endParaRPr lang="en-US" sz="1100"/>
        </a:p>
      </xdr:txBody>
    </xdr:sp>
    <xdr:clientData/>
  </xdr:twoCellAnchor>
  <xdr:twoCellAnchor>
    <xdr:from>
      <xdr:col>13</xdr:col>
      <xdr:colOff>268941</xdr:colOff>
      <xdr:row>23</xdr:row>
      <xdr:rowOff>112059</xdr:rowOff>
    </xdr:from>
    <xdr:to>
      <xdr:col>16</xdr:col>
      <xdr:colOff>571500</xdr:colOff>
      <xdr:row>28</xdr:row>
      <xdr:rowOff>168088</xdr:rowOff>
    </xdr:to>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12920382" y="4661647"/>
          <a:ext cx="2330824" cy="100852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Check</a:t>
          </a:r>
          <a:r>
            <a:rPr lang="en-US" sz="1100" baseline="0"/>
            <a:t> if DC for DCM would be less the DC for CCM -&gt; in this case it would run in DCM mode</a:t>
          </a:r>
        </a:p>
        <a:p>
          <a:r>
            <a:rPr lang="en-US" sz="1100" baseline="0"/>
            <a:t>Check if at the 3 points CCM or DCM would be used</a:t>
          </a:r>
        </a:p>
        <a:p>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21</xdr:col>
      <xdr:colOff>528917</xdr:colOff>
      <xdr:row>67</xdr:row>
      <xdr:rowOff>89006</xdr:rowOff>
    </xdr:from>
    <xdr:to>
      <xdr:col>30</xdr:col>
      <xdr:colOff>79513</xdr:colOff>
      <xdr:row>86</xdr:row>
      <xdr:rowOff>92765</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1051560</xdr:colOff>
      <xdr:row>49</xdr:row>
      <xdr:rowOff>45720</xdr:rowOff>
    </xdr:from>
    <xdr:to>
      <xdr:col>25</xdr:col>
      <xdr:colOff>563880</xdr:colOff>
      <xdr:row>73</xdr:row>
      <xdr:rowOff>19050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186690</xdr:colOff>
      <xdr:row>39</xdr:row>
      <xdr:rowOff>167640</xdr:rowOff>
    </xdr:from>
    <xdr:to>
      <xdr:col>34</xdr:col>
      <xdr:colOff>530487</xdr:colOff>
      <xdr:row>45</xdr:row>
      <xdr:rowOff>56599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2"/>
        <a:stretch>
          <a:fillRect/>
        </a:stretch>
      </xdr:blipFill>
      <xdr:spPr>
        <a:xfrm>
          <a:off x="21541740" y="5482590"/>
          <a:ext cx="1840230" cy="1045293"/>
        </a:xfrm>
        <a:prstGeom prst="rect">
          <a:avLst/>
        </a:prstGeom>
      </xdr:spPr>
    </xdr:pic>
    <xdr:clientData/>
  </xdr:twoCellAnchor>
  <xdr:twoCellAnchor editAs="oneCell">
    <xdr:from>
      <xdr:col>34</xdr:col>
      <xdr:colOff>247650</xdr:colOff>
      <xdr:row>40</xdr:row>
      <xdr:rowOff>60960</xdr:rowOff>
    </xdr:from>
    <xdr:to>
      <xdr:col>38</xdr:col>
      <xdr:colOff>567929</xdr:colOff>
      <xdr:row>44</xdr:row>
      <xdr:rowOff>148662</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a:stretch>
          <a:fillRect/>
        </a:stretch>
      </xdr:blipFill>
      <xdr:spPr>
        <a:xfrm>
          <a:off x="23888700" y="5566410"/>
          <a:ext cx="2758679" cy="830649"/>
        </a:xfrm>
        <a:prstGeom prst="rect">
          <a:avLst/>
        </a:prstGeom>
      </xdr:spPr>
    </xdr:pic>
    <xdr:clientData/>
  </xdr:twoCellAnchor>
  <xdr:twoCellAnchor>
    <xdr:from>
      <xdr:col>31</xdr:col>
      <xdr:colOff>30480</xdr:colOff>
      <xdr:row>49</xdr:row>
      <xdr:rowOff>64770</xdr:rowOff>
    </xdr:from>
    <xdr:to>
      <xdr:col>42</xdr:col>
      <xdr:colOff>144780</xdr:colOff>
      <xdr:row>73</xdr:row>
      <xdr:rowOff>38100</xdr:rowOff>
    </xdr:to>
    <xdr:graphicFrame macro="">
      <xdr:nvGraphicFramePr>
        <xdr:cNvPr id="9" name="Chart 8">
          <a:extLst>
            <a:ext uri="{FF2B5EF4-FFF2-40B4-BE49-F238E27FC236}">
              <a16:creationId xmlns:a16="http://schemas.microsoft.com/office/drawing/2014/main" id="{00000000-0008-0000-03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317182</xdr:colOff>
      <xdr:row>23</xdr:row>
      <xdr:rowOff>62388</xdr:rowOff>
    </xdr:from>
    <xdr:to>
      <xdr:col>24</xdr:col>
      <xdr:colOff>450532</xdr:colOff>
      <xdr:row>47</xdr:row>
      <xdr:rowOff>20478</xdr:rowOff>
    </xdr:to>
    <xdr:graphicFrame macro="">
      <xdr:nvGraphicFramePr>
        <xdr:cNvPr id="10" name="Chart 9">
          <a:extLst>
            <a:ext uri="{FF2B5EF4-FFF2-40B4-BE49-F238E27FC236}">
              <a16:creationId xmlns:a16="http://schemas.microsoft.com/office/drawing/2014/main" id="{00000000-0008-0000-03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8325</xdr:colOff>
      <xdr:row>38</xdr:row>
      <xdr:rowOff>8964</xdr:rowOff>
    </xdr:from>
    <xdr:to>
      <xdr:col>11</xdr:col>
      <xdr:colOff>591031</xdr:colOff>
      <xdr:row>46</xdr:row>
      <xdr:rowOff>131269</xdr:rowOff>
    </xdr:to>
    <xdr:sp macro="" textlink="">
      <xdr:nvSpPr>
        <xdr:cNvPr id="11" name="TextBox 10">
          <a:extLst>
            <a:ext uri="{FF2B5EF4-FFF2-40B4-BE49-F238E27FC236}">
              <a16:creationId xmlns:a16="http://schemas.microsoft.com/office/drawing/2014/main" id="{00000000-0008-0000-0300-00000B000000}"/>
            </a:ext>
          </a:extLst>
        </xdr:cNvPr>
        <xdr:cNvSpPr txBox="1"/>
      </xdr:nvSpPr>
      <xdr:spPr>
        <a:xfrm>
          <a:off x="6187669" y="7533714"/>
          <a:ext cx="2571050" cy="16463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 points</a:t>
          </a:r>
          <a:r>
            <a:rPr lang="en-US" sz="1100" baseline="0"/>
            <a:t> later to show where the pole and zerDc_Mode_Loopos of the loops are at. Similar to the LM5175 QS</a:t>
          </a:r>
        </a:p>
        <a:p>
          <a:endParaRPr lang="en-US" sz="1100" baseline="0"/>
        </a:p>
        <a:p>
          <a:r>
            <a:rPr lang="en-US" sz="1100" baseline="0"/>
            <a:t>Should also update to the more accurate equation of the DC gain. See Mathcad and Sheehan paper.</a:t>
          </a:r>
          <a:endParaRPr lang="en-US" sz="1100"/>
        </a:p>
      </xdr:txBody>
    </xdr:sp>
    <xdr:clientData/>
  </xdr:twoCellAnchor>
  <xdr:twoCellAnchor>
    <xdr:from>
      <xdr:col>8</xdr:col>
      <xdr:colOff>0</xdr:colOff>
      <xdr:row>52</xdr:row>
      <xdr:rowOff>13855</xdr:rowOff>
    </xdr:from>
    <xdr:to>
      <xdr:col>12</xdr:col>
      <xdr:colOff>83127</xdr:colOff>
      <xdr:row>63</xdr:row>
      <xdr:rowOff>13855</xdr:rowOff>
    </xdr:to>
    <xdr:sp macro="" textlink="">
      <xdr:nvSpPr>
        <xdr:cNvPr id="12" name="TextBox 11">
          <a:extLst>
            <a:ext uri="{FF2B5EF4-FFF2-40B4-BE49-F238E27FC236}">
              <a16:creationId xmlns:a16="http://schemas.microsoft.com/office/drawing/2014/main" id="{00000000-0008-0000-0300-00000C000000}"/>
            </a:ext>
          </a:extLst>
        </xdr:cNvPr>
        <xdr:cNvSpPr txBox="1"/>
      </xdr:nvSpPr>
      <xdr:spPr>
        <a:xfrm>
          <a:off x="6276109" y="8936182"/>
          <a:ext cx="2521527" cy="1981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Next</a:t>
          </a:r>
          <a:r>
            <a:rPr lang="en-US" sz="1100" baseline="0"/>
            <a:t> Revision additions</a:t>
          </a:r>
        </a:p>
        <a:p>
          <a:r>
            <a:rPr lang="en-US" sz="1100" baseline="0"/>
            <a:t>- Add the effect of the EA output resistance and capacitance</a:t>
          </a:r>
        </a:p>
      </xdr:txBody>
    </xdr:sp>
    <xdr:clientData/>
  </xdr:twoCellAnchor>
  <xdr:twoCellAnchor>
    <xdr:from>
      <xdr:col>8</xdr:col>
      <xdr:colOff>291694</xdr:colOff>
      <xdr:row>12</xdr:row>
      <xdr:rowOff>113739</xdr:rowOff>
    </xdr:from>
    <xdr:to>
      <xdr:col>12</xdr:col>
      <xdr:colOff>267182</xdr:colOff>
      <xdr:row>20</xdr:row>
      <xdr:rowOff>188419</xdr:rowOff>
    </xdr:to>
    <xdr:sp macro="" textlink="">
      <xdr:nvSpPr>
        <xdr:cNvPr id="13" name="TextBox 12">
          <a:extLst>
            <a:ext uri="{FF2B5EF4-FFF2-40B4-BE49-F238E27FC236}">
              <a16:creationId xmlns:a16="http://schemas.microsoft.com/office/drawing/2014/main" id="{00000000-0008-0000-0300-00000D000000}"/>
            </a:ext>
          </a:extLst>
        </xdr:cNvPr>
        <xdr:cNvSpPr txBox="1"/>
      </xdr:nvSpPr>
      <xdr:spPr>
        <a:xfrm>
          <a:off x="6471038" y="2637864"/>
          <a:ext cx="2571050" cy="16463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Duty Cycle</a:t>
          </a:r>
          <a:r>
            <a:rPr lang="en-US" sz="1100" baseline="0"/>
            <a:t> mode for </a:t>
          </a:r>
          <a:r>
            <a:rPr lang="en-US" sz="1100"/>
            <a:t>Loop Comenstation is fixed to</a:t>
          </a:r>
          <a:r>
            <a:rPr lang="en-US" sz="1100" baseline="0"/>
            <a:t> CCM as it stable in DCM when stable in CCM but if required could be also set to selected mode on variable Management page</a:t>
          </a: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548640</xdr:colOff>
      <xdr:row>8</xdr:row>
      <xdr:rowOff>0</xdr:rowOff>
    </xdr:from>
    <xdr:to>
      <xdr:col>12</xdr:col>
      <xdr:colOff>449580</xdr:colOff>
      <xdr:row>10</xdr:row>
      <xdr:rowOff>123546</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7269480" y="1638300"/>
          <a:ext cx="2948940" cy="489306"/>
        </a:xfrm>
        <a:prstGeom prst="rect">
          <a:avLst/>
        </a:prstGeom>
      </xdr:spPr>
    </xdr:pic>
    <xdr:clientData/>
  </xdr:twoCellAnchor>
  <xdr:twoCellAnchor editAs="oneCell">
    <xdr:from>
      <xdr:col>8</xdr:col>
      <xdr:colOff>7620</xdr:colOff>
      <xdr:row>12</xdr:row>
      <xdr:rowOff>132742</xdr:rowOff>
    </xdr:from>
    <xdr:to>
      <xdr:col>13</xdr:col>
      <xdr:colOff>350520</xdr:colOff>
      <xdr:row>16</xdr:row>
      <xdr:rowOff>76286</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7338060" y="2502562"/>
          <a:ext cx="3390900" cy="675064"/>
        </a:xfrm>
        <a:prstGeom prst="rect">
          <a:avLst/>
        </a:prstGeom>
      </xdr:spPr>
    </xdr:pic>
    <xdr:clientData/>
  </xdr:twoCellAnchor>
  <xdr:twoCellAnchor editAs="oneCell">
    <xdr:from>
      <xdr:col>9</xdr:col>
      <xdr:colOff>129540</xdr:colOff>
      <xdr:row>22</xdr:row>
      <xdr:rowOff>0</xdr:rowOff>
    </xdr:from>
    <xdr:to>
      <xdr:col>13</xdr:col>
      <xdr:colOff>76200</xdr:colOff>
      <xdr:row>30</xdr:row>
      <xdr:rowOff>45370</xdr:rowOff>
    </xdr:to>
    <xdr:pic>
      <xdr:nvPicPr>
        <xdr:cNvPr id="4" name="Picture 3">
          <a:extLst>
            <a:ext uri="{FF2B5EF4-FFF2-40B4-BE49-F238E27FC236}">
              <a16:creationId xmlns:a16="http://schemas.microsoft.com/office/drawing/2014/main" id="{00000000-0008-0000-0400-000004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069580" y="4198620"/>
          <a:ext cx="2385060" cy="1523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2</xdr:row>
      <xdr:rowOff>0</xdr:rowOff>
    </xdr:from>
    <xdr:to>
      <xdr:col>3</xdr:col>
      <xdr:colOff>9157</xdr:colOff>
      <xdr:row>3</xdr:row>
      <xdr:rowOff>0</xdr:rowOff>
    </xdr:to>
    <xdr:graphicFrame macro="">
      <xdr:nvGraphicFramePr>
        <xdr:cNvPr id="3" name="Chart 2">
          <a:extLst>
            <a:ext uri="{FF2B5EF4-FFF2-40B4-BE49-F238E27FC236}">
              <a16:creationId xmlns:a16="http://schemas.microsoft.com/office/drawing/2014/main" id="{00000000-0008-0000-0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609599</xdr:colOff>
      <xdr:row>1</xdr:row>
      <xdr:rowOff>0</xdr:rowOff>
    </xdr:from>
    <xdr:to>
      <xdr:col>1</xdr:col>
      <xdr:colOff>5057640</xdr:colOff>
      <xdr:row>1</xdr:row>
      <xdr:rowOff>2762250</xdr:rowOff>
    </xdr:to>
    <xdr:pic>
      <xdr:nvPicPr>
        <xdr:cNvPr id="7" name="Picture 6">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599" y="190500"/>
          <a:ext cx="5057641" cy="276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609599</xdr:colOff>
      <xdr:row>3</xdr:row>
      <xdr:rowOff>0</xdr:rowOff>
    </xdr:from>
    <xdr:to>
      <xdr:col>1</xdr:col>
      <xdr:colOff>5057640</xdr:colOff>
      <xdr:row>3</xdr:row>
      <xdr:rowOff>2762250</xdr:rowOff>
    </xdr:to>
    <xdr:pic>
      <xdr:nvPicPr>
        <xdr:cNvPr id="8" name="Picture 7">
          <a:extLst>
            <a:ext uri="{FF2B5EF4-FFF2-40B4-BE49-F238E27FC236}">
              <a16:creationId xmlns:a16="http://schemas.microsoft.com/office/drawing/2014/main" id="{00000000-0008-0000-0600-000008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09599" y="3771900"/>
          <a:ext cx="5057641" cy="2762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592455</xdr:colOff>
      <xdr:row>2</xdr:row>
      <xdr:rowOff>93296</xdr:rowOff>
    </xdr:to>
    <xdr:pic>
      <xdr:nvPicPr>
        <xdr:cNvPr id="2" name="Picture 1" descr="ti logo">
          <a:hlinkClick xmlns:r="http://schemas.openxmlformats.org/officeDocument/2006/relationships" r:id="rId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952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00000000-0008-0000-0800-000003000000}"/>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800-000004000000}"/>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2021</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47623</xdr:rowOff>
    </xdr:from>
    <xdr:ext cx="11229977" cy="4086227"/>
    <xdr:sp macro="" textlink="">
      <xdr:nvSpPr>
        <xdr:cNvPr id="5" name="TextBox 4">
          <a:extLst>
            <a:ext uri="{FF2B5EF4-FFF2-40B4-BE49-F238E27FC236}">
              <a16:creationId xmlns:a16="http://schemas.microsoft.com/office/drawing/2014/main" id="{00000000-0008-0000-0800-000005000000}"/>
            </a:ext>
          </a:extLst>
        </xdr:cNvPr>
        <xdr:cNvSpPr txBox="1"/>
      </xdr:nvSpPr>
      <xdr:spPr>
        <a:xfrm>
          <a:off x="95247" y="1114423"/>
          <a:ext cx="11229977" cy="4086227"/>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1">
              <a:latin typeface="Arial" panose="020B0604020202020204" pitchFamily="34" charset="0"/>
              <a:cs typeface="Arial" panose="020B0604020202020204" pitchFamily="34" charset="0"/>
            </a:rPr>
            <a:t>LICENSE INFORMATION:</a:t>
          </a:r>
        </a:p>
        <a:p>
          <a:r>
            <a:rPr lang="en-US" sz="900">
              <a:solidFill>
                <a:schemeClr val="tx1"/>
              </a:solidFill>
              <a:effectLst/>
              <a:latin typeface="Arial" panose="020B0604020202020204" pitchFamily="34" charset="0"/>
              <a:ea typeface="+mn-ea"/>
              <a:cs typeface="Arial" panose="020B0604020202020204" pitchFamily="34" charset="0"/>
            </a:rPr>
            <a:t>Copyright (c) 2021 Texas Instruments Incorporated</a:t>
          </a:r>
        </a:p>
        <a:p>
          <a:r>
            <a:rPr lang="en-US" sz="900">
              <a:solidFill>
                <a:schemeClr val="tx1"/>
              </a:solidFill>
              <a:effectLst/>
              <a:latin typeface="Arial" panose="020B0604020202020204" pitchFamily="34" charset="0"/>
              <a:ea typeface="+mn-ea"/>
              <a:cs typeface="Arial" panose="020B0604020202020204" pitchFamily="34" charset="0"/>
            </a:rPr>
            <a:t> </a:t>
          </a:r>
        </a:p>
        <a:p>
          <a:r>
            <a:rPr lang="en-US" sz="900">
              <a:solidFill>
                <a:schemeClr val="tx1"/>
              </a:solidFill>
              <a:effectLst/>
              <a:latin typeface="Arial" panose="020B0604020202020204" pitchFamily="34" charset="0"/>
              <a:ea typeface="+mn-ea"/>
              <a:cs typeface="Arial" panose="020B0604020202020204" pitchFamily="34" charset="0"/>
            </a:rPr>
            <a:t>All rights reserved not granted herein.</a:t>
          </a:r>
        </a:p>
        <a:p>
          <a:r>
            <a:rPr lang="en-US" sz="900">
              <a:solidFill>
                <a:schemeClr val="tx1"/>
              </a:solidFill>
              <a:effectLst/>
              <a:latin typeface="Arial" panose="020B0604020202020204" pitchFamily="34" charset="0"/>
              <a:ea typeface="+mn-ea"/>
              <a:cs typeface="Arial" panose="020B0604020202020204" pitchFamily="34" charset="0"/>
            </a:rPr>
            <a:t> </a:t>
          </a:r>
        </a:p>
        <a:p>
          <a:r>
            <a:rPr lang="en-US" sz="900">
              <a:solidFill>
                <a:schemeClr val="tx1"/>
              </a:solidFill>
              <a:effectLst/>
              <a:latin typeface="Arial" panose="020B0604020202020204" pitchFamily="34" charset="0"/>
              <a:ea typeface="+mn-ea"/>
              <a:cs typeface="Arial" panose="020B0604020202020204" pitchFamily="34" charset="0"/>
            </a:rPr>
            <a:t>Limited License.  </a:t>
          </a:r>
        </a:p>
        <a:p>
          <a:r>
            <a:rPr lang="en-US" sz="900">
              <a:solidFill>
                <a:schemeClr val="tx1"/>
              </a:solidFill>
              <a:effectLst/>
              <a:latin typeface="Arial" panose="020B0604020202020204" pitchFamily="34" charset="0"/>
              <a:ea typeface="+mn-ea"/>
              <a:cs typeface="Arial" panose="020B0604020202020204" pitchFamily="34" charset="0"/>
            </a:rPr>
            <a:t> </a:t>
          </a:r>
        </a:p>
        <a:p>
          <a:r>
            <a:rPr lang="en-US" sz="900">
              <a:solidFill>
                <a:schemeClr val="tx1"/>
              </a:solidFill>
              <a:effectLst/>
              <a:latin typeface="Arial" panose="020B0604020202020204" pitchFamily="34" charset="0"/>
              <a:ea typeface="+mn-ea"/>
              <a:cs typeface="Arial" panose="020B0604020202020204" pitchFamily="34" charset="0"/>
            </a:rPr>
            <a:t>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a:t>
          </a:r>
        </a:p>
        <a:p>
          <a:r>
            <a:rPr lang="en-US" sz="900">
              <a:solidFill>
                <a:schemeClr val="tx1"/>
              </a:solidFill>
              <a:effectLst/>
              <a:latin typeface="Arial" panose="020B0604020202020204" pitchFamily="34" charset="0"/>
              <a:ea typeface="+mn-ea"/>
              <a:cs typeface="Arial" panose="020B0604020202020204" pitchFamily="34" charset="0"/>
            </a:rPr>
            <a:t> </a:t>
          </a:r>
        </a:p>
        <a:p>
          <a:r>
            <a:rPr lang="en-US" sz="900">
              <a:solidFill>
                <a:schemeClr val="tx1"/>
              </a:solidFill>
              <a:effectLst/>
              <a:latin typeface="Arial" panose="020B0604020202020204" pitchFamily="34" charset="0"/>
              <a:ea typeface="+mn-ea"/>
              <a:cs typeface="Arial" panose="020B0604020202020204" pitchFamily="34" charset="0"/>
            </a:rPr>
            <a:t>Redistributions must preserve existing copyright notices and reproduce this license (including the above copyright notice and the disclaimer and (if applicable) source code license limitations below) in the documentation and/or other materials provided with the distribution</a:t>
          </a:r>
        </a:p>
        <a:p>
          <a:r>
            <a:rPr lang="en-US" sz="900">
              <a:solidFill>
                <a:schemeClr val="tx1"/>
              </a:solidFill>
              <a:effectLst/>
              <a:latin typeface="Arial" panose="020B0604020202020204" pitchFamily="34" charset="0"/>
              <a:ea typeface="+mn-ea"/>
              <a:cs typeface="Arial" panose="020B0604020202020204" pitchFamily="34" charset="0"/>
            </a:rPr>
            <a:t> </a:t>
          </a:r>
        </a:p>
        <a:p>
          <a:r>
            <a:rPr lang="en-US" sz="900">
              <a:solidFill>
                <a:schemeClr val="tx1"/>
              </a:solidFill>
              <a:effectLst/>
              <a:latin typeface="Arial" panose="020B0604020202020204" pitchFamily="34" charset="0"/>
              <a:ea typeface="+mn-ea"/>
              <a:cs typeface="Arial" panose="020B0604020202020204" pitchFamily="34" charset="0"/>
            </a:rPr>
            <a:t>Redistribution and use in binary form, without modification, are permitted provided that the following conditions are met:</a:t>
          </a:r>
        </a:p>
        <a:p>
          <a:r>
            <a:rPr lang="en-US" sz="900">
              <a:solidFill>
                <a:schemeClr val="tx1"/>
              </a:solidFill>
              <a:effectLst/>
              <a:latin typeface="Arial" panose="020B0604020202020204" pitchFamily="34" charset="0"/>
              <a:ea typeface="+mn-ea"/>
              <a:cs typeface="Arial" panose="020B0604020202020204" pitchFamily="34" charset="0"/>
            </a:rPr>
            <a:t>*	No reverse engineering, decompilation, or disassembly of this software is permitted with respect to any software provided in binary form. </a:t>
          </a:r>
        </a:p>
        <a:p>
          <a:r>
            <a:rPr lang="en-US" sz="900">
              <a:solidFill>
                <a:schemeClr val="tx1"/>
              </a:solidFill>
              <a:effectLst/>
              <a:latin typeface="Arial" panose="020B0604020202020204" pitchFamily="34" charset="0"/>
              <a:ea typeface="+mn-ea"/>
              <a:cs typeface="Arial" panose="020B0604020202020204" pitchFamily="34" charset="0"/>
            </a:rPr>
            <a:t>*	Any redistribution and use are licensed by TI for use only with TI Devices.</a:t>
          </a:r>
        </a:p>
        <a:p>
          <a:r>
            <a:rPr lang="en-US" sz="900">
              <a:solidFill>
                <a:schemeClr val="tx1"/>
              </a:solidFill>
              <a:effectLst/>
              <a:latin typeface="Arial" panose="020B0604020202020204" pitchFamily="34" charset="0"/>
              <a:ea typeface="+mn-ea"/>
              <a:cs typeface="Arial" panose="020B0604020202020204" pitchFamily="34" charset="0"/>
            </a:rPr>
            <a:t>*	Nothing shall obligate TI to provide you with source code for the software licensed and provided to you in object code.</a:t>
          </a:r>
        </a:p>
        <a:p>
          <a:r>
            <a:rPr lang="en-US" sz="900">
              <a:solidFill>
                <a:schemeClr val="tx1"/>
              </a:solidFill>
              <a:effectLst/>
              <a:latin typeface="Arial" panose="020B0604020202020204" pitchFamily="34" charset="0"/>
              <a:ea typeface="+mn-ea"/>
              <a:cs typeface="Arial" panose="020B0604020202020204" pitchFamily="34" charset="0"/>
            </a:rPr>
            <a:t> </a:t>
          </a:r>
        </a:p>
        <a:p>
          <a:r>
            <a:rPr lang="en-US" sz="900">
              <a:solidFill>
                <a:schemeClr val="tx1"/>
              </a:solidFill>
              <a:effectLst/>
              <a:latin typeface="Arial" panose="020B0604020202020204" pitchFamily="34" charset="0"/>
              <a:ea typeface="+mn-ea"/>
              <a:cs typeface="Arial" panose="020B0604020202020204" pitchFamily="34" charset="0"/>
            </a:rPr>
            <a:t>If software source code is provided to you, modification and redistribution of the source code are permitted provided that the following conditions are met:</a:t>
          </a:r>
        </a:p>
        <a:p>
          <a:r>
            <a:rPr lang="en-US" sz="900">
              <a:solidFill>
                <a:schemeClr val="tx1"/>
              </a:solidFill>
              <a:effectLst/>
              <a:latin typeface="Arial" panose="020B0604020202020204" pitchFamily="34" charset="0"/>
              <a:ea typeface="+mn-ea"/>
              <a:cs typeface="Arial" panose="020B0604020202020204" pitchFamily="34" charset="0"/>
            </a:rPr>
            <a:t>*	Any redistribution and use of the source code, including any resulting derivative works, are licensed by TI for use only with TI Devices.</a:t>
          </a:r>
        </a:p>
        <a:p>
          <a:r>
            <a:rPr lang="en-US" sz="900">
              <a:solidFill>
                <a:schemeClr val="tx1"/>
              </a:solidFill>
              <a:effectLst/>
              <a:latin typeface="Arial" panose="020B0604020202020204" pitchFamily="34" charset="0"/>
              <a:ea typeface="+mn-ea"/>
              <a:cs typeface="Arial" panose="020B0604020202020204" pitchFamily="34" charset="0"/>
            </a:rPr>
            <a:t>*	Any redistribution and use of any object code compiled from the source code and any resulting derivative works, are licensed by TI for use only with TI Devices.</a:t>
          </a:r>
        </a:p>
        <a:p>
          <a:endParaRPr lang="en-US" sz="900">
            <a:solidFill>
              <a:schemeClr val="tx1"/>
            </a:solidFill>
            <a:effectLst/>
            <a:latin typeface="Arial" panose="020B0604020202020204" pitchFamily="34" charset="0"/>
            <a:ea typeface="+mn-ea"/>
            <a:cs typeface="Arial" panose="020B0604020202020204" pitchFamily="34" charset="0"/>
          </a:endParaRPr>
        </a:p>
        <a:p>
          <a:r>
            <a:rPr lang="en-US" sz="900">
              <a:solidFill>
                <a:schemeClr val="tx1"/>
              </a:solidFill>
              <a:effectLst/>
              <a:latin typeface="Arial" panose="020B0604020202020204" pitchFamily="34" charset="0"/>
              <a:ea typeface="+mn-ea"/>
              <a:cs typeface="Arial" panose="020B0604020202020204" pitchFamily="34" charset="0"/>
            </a:rPr>
            <a:t>Neither the name of Texas Instruments Incorporated nor the names of its suppliers may be used to endorse or promote products derived from this software without specific prior written permission.</a:t>
          </a:r>
          <a:endParaRPr lang="en-US" sz="1000" b="1">
            <a:latin typeface="Arial" panose="020B0604020202020204" pitchFamily="34" charset="0"/>
            <a:cs typeface="Arial" panose="020B0604020202020204" pitchFamily="34"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000" baseline="0">
            <a:latin typeface="Arial" panose="020B0604020202020204" pitchFamily="34" charset="0"/>
            <a:cs typeface="Arial" panose="020B0604020202020204"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000" b="1" baseline="0">
              <a:latin typeface="Arial" panose="020B0604020202020204" pitchFamily="34" charset="0"/>
              <a:cs typeface="Arial" panose="020B0604020202020204" pitchFamily="34" charset="0"/>
            </a:rPr>
            <a:t>DISCLAMER:</a:t>
          </a:r>
        </a:p>
        <a:p>
          <a:pPr marL="0" marR="0" indent="0" defTabSz="914400" eaLnBrk="1" fontAlgn="auto" latinLnBrk="0" hangingPunct="1">
            <a:lnSpc>
              <a:spcPct val="100000"/>
            </a:lnSpc>
            <a:spcBef>
              <a:spcPts val="0"/>
            </a:spcBef>
            <a:spcAft>
              <a:spcPts val="0"/>
            </a:spcAft>
            <a:buClrTx/>
            <a:buSzTx/>
            <a:buFontTx/>
            <a:buNone/>
            <a:tabLst/>
            <a:defRPr/>
          </a:pPr>
          <a:r>
            <a:rPr lang="en-US" sz="800" baseline="0">
              <a:latin typeface="Arial" panose="020B0604020202020204" pitchFamily="34" charset="0"/>
              <a:cs typeface="Arial" panose="020B0604020202020204" pitchFamily="34" charset="0"/>
            </a:rPr>
            <a:t>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a:t>
          </a:r>
        </a:p>
      </xdr:txBody>
    </xdr:sp>
    <xdr:clientData/>
  </xdr:oneCellAnchor>
  <xdr:oneCellAnchor>
    <xdr:from>
      <xdr:col>0</xdr:col>
      <xdr:colOff>95247</xdr:colOff>
      <xdr:row>29</xdr:row>
      <xdr:rowOff>47623</xdr:rowOff>
    </xdr:from>
    <xdr:ext cx="11229977" cy="809627"/>
    <xdr:sp macro="" textlink="">
      <xdr:nvSpPr>
        <xdr:cNvPr id="6" name="TextBox 5">
          <a:extLst>
            <a:ext uri="{FF2B5EF4-FFF2-40B4-BE49-F238E27FC236}">
              <a16:creationId xmlns:a16="http://schemas.microsoft.com/office/drawing/2014/main" id="{00000000-0008-0000-0800-000006000000}"/>
            </a:ext>
          </a:extLst>
        </xdr:cNvPr>
        <xdr:cNvSpPr txBox="1"/>
      </xdr:nvSpPr>
      <xdr:spPr>
        <a:xfrm>
          <a:off x="95247" y="5276848"/>
          <a:ext cx="11229977" cy="809627"/>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196876/Downloads/ADS1235%20Design%20Calcula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
      <sheetName val="Common-Mode Range"/>
      <sheetName val="Code Conversions"/>
      <sheetName val="Digital Filter"/>
      <sheetName val="STATUS"/>
      <sheetName val="CRC"/>
      <sheetName val="About"/>
      <sheetName val="Help"/>
    </sheetNames>
    <sheetDataSet>
      <sheetData sheetId="0" refreshError="1"/>
      <sheetData sheetId="1" refreshError="1"/>
      <sheetData sheetId="2" refreshError="1"/>
      <sheetData sheetId="3">
        <row r="84">
          <cell r="T84" t="b">
            <v>0</v>
          </cell>
        </row>
      </sheetData>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omments" Target="../comments2.xml"/><Relationship Id="rId5" Type="http://schemas.openxmlformats.org/officeDocument/2006/relationships/image" Target="../media/image3.emf"/><Relationship Id="rId4" Type="http://schemas.openxmlformats.org/officeDocument/2006/relationships/oleObject" Target="../embeddings/oleObject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FF0000"/>
    <pageSetUpPr fitToPage="1"/>
  </sheetPr>
  <dimension ref="A1:AA100"/>
  <sheetViews>
    <sheetView tabSelected="1" topLeftCell="A39" zoomScale="134" zoomScaleNormal="100" workbookViewId="0">
      <selection activeCell="H70" sqref="H70"/>
    </sheetView>
  </sheetViews>
  <sheetFormatPr baseColWidth="10" defaultColWidth="8.83203125" defaultRowHeight="15" x14ac:dyDescent="0.2"/>
  <cols>
    <col min="1" max="5" width="8.83203125" style="57" customWidth="1"/>
    <col min="6" max="6" width="12.6640625" style="57" bestFit="1" customWidth="1"/>
    <col min="7" max="7" width="8.83203125" style="113" customWidth="1"/>
    <col min="8" max="8" width="12" style="57" bestFit="1" customWidth="1"/>
    <col min="9" max="9" width="4.33203125" style="57" bestFit="1" customWidth="1"/>
    <col min="10" max="10" width="4.6640625" style="57" customWidth="1"/>
    <col min="11" max="21" width="8.83203125" style="57" customWidth="1"/>
    <col min="22" max="22" width="7.33203125" style="57" customWidth="1"/>
    <col min="23" max="26" width="8.83203125" style="57" customWidth="1"/>
    <col min="27" max="27" width="1.6640625" style="114" customWidth="1"/>
    <col min="28" max="16384" width="8.83203125" style="57"/>
  </cols>
  <sheetData>
    <row r="1" spans="1:27" ht="47" customHeight="1" x14ac:dyDescent="0.2">
      <c r="A1" s="53"/>
      <c r="B1" s="53"/>
      <c r="C1" s="53"/>
      <c r="D1" s="53"/>
      <c r="E1" s="54" t="s">
        <v>579</v>
      </c>
      <c r="F1" s="53"/>
      <c r="G1" s="55"/>
      <c r="H1" s="53"/>
      <c r="I1" s="53"/>
      <c r="J1" s="53"/>
      <c r="K1" s="53"/>
      <c r="L1" s="53"/>
      <c r="M1" s="53"/>
      <c r="N1" s="53"/>
      <c r="O1" s="53"/>
      <c r="P1" s="53"/>
      <c r="Q1" s="53"/>
      <c r="R1" s="53"/>
      <c r="S1" s="53"/>
      <c r="T1" s="53"/>
      <c r="U1" s="53"/>
      <c r="V1" s="53"/>
      <c r="W1" s="53"/>
      <c r="X1" s="53"/>
      <c r="Y1" s="53"/>
      <c r="Z1" s="53"/>
      <c r="AA1" s="56"/>
    </row>
    <row r="2" spans="1:27" x14ac:dyDescent="0.2">
      <c r="A2" s="58"/>
      <c r="B2" s="58"/>
      <c r="C2" s="58"/>
      <c r="D2" s="58"/>
      <c r="E2" s="58"/>
      <c r="F2" s="58"/>
      <c r="G2" s="59"/>
      <c r="H2" s="58"/>
      <c r="I2" s="58"/>
      <c r="J2" s="58"/>
      <c r="K2" s="58"/>
      <c r="L2" s="58"/>
      <c r="M2" s="58"/>
      <c r="N2" s="58"/>
      <c r="O2" s="58"/>
      <c r="P2" s="58"/>
      <c r="Q2" s="58"/>
      <c r="R2" s="58"/>
      <c r="S2" s="58"/>
      <c r="T2" s="58"/>
      <c r="U2" s="58"/>
      <c r="V2" s="58"/>
      <c r="W2" s="58"/>
      <c r="X2" s="58"/>
      <c r="Y2" s="58"/>
      <c r="Z2" s="58"/>
      <c r="AA2" s="56"/>
    </row>
    <row r="3" spans="1:27" x14ac:dyDescent="0.2">
      <c r="A3" s="60" t="s">
        <v>1</v>
      </c>
      <c r="B3" s="58"/>
      <c r="C3" s="58"/>
      <c r="D3" s="58"/>
      <c r="E3" s="61"/>
      <c r="F3" s="62" t="s">
        <v>2</v>
      </c>
      <c r="G3" s="59"/>
      <c r="H3" s="58"/>
      <c r="I3" s="58"/>
      <c r="J3" s="58"/>
      <c r="K3" s="58"/>
      <c r="L3" s="58"/>
      <c r="M3" s="58"/>
      <c r="N3" s="228" t="s">
        <v>0</v>
      </c>
      <c r="O3" s="228"/>
      <c r="P3" s="58"/>
      <c r="Q3" s="58"/>
      <c r="R3" s="58"/>
      <c r="S3" s="58"/>
      <c r="T3" s="58"/>
      <c r="U3" s="58"/>
      <c r="V3" s="58"/>
      <c r="W3" s="58"/>
      <c r="X3" s="58"/>
      <c r="Y3" s="58"/>
      <c r="Z3" s="58"/>
      <c r="AA3" s="56"/>
    </row>
    <row r="4" spans="1:27" s="66" customFormat="1" x14ac:dyDescent="0.2">
      <c r="A4" s="63"/>
      <c r="B4" s="63"/>
      <c r="C4" s="63"/>
      <c r="D4" s="63"/>
      <c r="E4" s="63"/>
      <c r="F4" s="63"/>
      <c r="G4" s="64"/>
      <c r="H4" s="63"/>
      <c r="I4" s="63"/>
      <c r="J4" s="63"/>
      <c r="K4" s="63"/>
      <c r="L4" s="63"/>
      <c r="M4" s="63"/>
      <c r="N4" s="63"/>
      <c r="O4" s="63"/>
      <c r="P4" s="63"/>
      <c r="Q4" s="63"/>
      <c r="R4" s="63"/>
      <c r="S4" s="63"/>
      <c r="T4" s="63"/>
      <c r="U4" s="63"/>
      <c r="V4" s="63"/>
      <c r="W4" s="63"/>
      <c r="X4" s="63"/>
      <c r="Y4" s="63"/>
      <c r="Z4" s="63"/>
      <c r="AA4" s="65"/>
    </row>
    <row r="5" spans="1:27" x14ac:dyDescent="0.2">
      <c r="A5" s="67"/>
      <c r="B5" s="67"/>
      <c r="C5" s="67"/>
      <c r="D5" s="67"/>
      <c r="E5" s="67"/>
      <c r="F5" s="67"/>
      <c r="G5" s="68"/>
      <c r="H5" s="67"/>
      <c r="I5" s="67"/>
      <c r="J5" s="67"/>
      <c r="K5" s="67"/>
      <c r="L5" s="67"/>
      <c r="M5" s="67"/>
      <c r="N5" s="67" t="s">
        <v>577</v>
      </c>
      <c r="O5" s="69" t="s">
        <v>578</v>
      </c>
      <c r="P5" s="67"/>
      <c r="Q5" s="67"/>
      <c r="R5" s="67"/>
      <c r="S5" s="67"/>
      <c r="T5" s="67"/>
      <c r="U5" s="67"/>
      <c r="V5" s="67"/>
      <c r="W5" s="67"/>
      <c r="X5" s="67"/>
      <c r="Y5" s="67"/>
      <c r="Z5" s="67"/>
      <c r="AA5" s="56"/>
    </row>
    <row r="6" spans="1:27" ht="16" thickBot="1" x14ac:dyDescent="0.25">
      <c r="A6" s="70" t="s">
        <v>3</v>
      </c>
      <c r="B6" s="67"/>
      <c r="C6" s="67"/>
      <c r="D6" s="67"/>
      <c r="E6" s="67"/>
      <c r="F6" s="67"/>
      <c r="G6" s="68"/>
      <c r="H6" s="67"/>
      <c r="I6" s="67"/>
      <c r="J6" s="67"/>
      <c r="K6" s="67"/>
      <c r="L6" s="67"/>
      <c r="M6" s="67"/>
      <c r="N6" s="67"/>
      <c r="O6" s="67"/>
      <c r="P6" s="67"/>
      <c r="Q6" s="67"/>
      <c r="R6" s="67"/>
      <c r="S6" s="67"/>
      <c r="T6" s="67"/>
      <c r="U6" s="67"/>
      <c r="V6" s="67"/>
      <c r="W6" s="67"/>
      <c r="X6" s="67"/>
      <c r="Y6" s="67"/>
      <c r="Z6" s="67"/>
      <c r="AA6" s="56"/>
    </row>
    <row r="7" spans="1:27" ht="16" x14ac:dyDescent="0.25">
      <c r="A7" s="71"/>
      <c r="B7" s="72"/>
      <c r="C7" s="72"/>
      <c r="D7" s="72"/>
      <c r="E7" s="72"/>
      <c r="F7" s="72"/>
      <c r="G7" s="73" t="s">
        <v>4</v>
      </c>
      <c r="H7" s="116">
        <v>4.8</v>
      </c>
      <c r="I7" s="74" t="s">
        <v>10</v>
      </c>
      <c r="J7" s="67"/>
      <c r="K7" s="67"/>
      <c r="L7" s="67"/>
      <c r="M7" s="67"/>
      <c r="N7" s="67"/>
      <c r="O7" s="67"/>
      <c r="P7" s="67"/>
      <c r="Q7" s="67"/>
      <c r="R7" s="67"/>
      <c r="S7" s="67"/>
      <c r="T7" s="67"/>
      <c r="U7" s="67"/>
      <c r="V7" s="67"/>
      <c r="W7" s="67"/>
      <c r="X7" s="67"/>
      <c r="Y7" s="67"/>
      <c r="Z7" s="67"/>
      <c r="AA7" s="56"/>
    </row>
    <row r="8" spans="1:27" ht="16" x14ac:dyDescent="0.25">
      <c r="A8" s="75"/>
      <c r="B8" s="67"/>
      <c r="C8" s="67"/>
      <c r="D8" s="67"/>
      <c r="E8" s="67"/>
      <c r="F8" s="67"/>
      <c r="G8" s="76" t="s">
        <v>5</v>
      </c>
      <c r="H8" s="117">
        <v>5</v>
      </c>
      <c r="I8" s="77" t="s">
        <v>10</v>
      </c>
      <c r="J8" s="67"/>
      <c r="K8" s="67"/>
      <c r="L8" s="67"/>
      <c r="M8" s="67"/>
      <c r="N8" s="67"/>
      <c r="O8" s="67"/>
      <c r="P8" s="67"/>
      <c r="Q8" s="67"/>
      <c r="R8" s="67"/>
      <c r="S8" s="67"/>
      <c r="T8" s="67"/>
      <c r="U8" s="67"/>
      <c r="V8" s="67"/>
      <c r="W8" s="67"/>
      <c r="X8" s="67"/>
      <c r="Y8" s="67"/>
      <c r="Z8" s="67"/>
      <c r="AA8" s="56"/>
    </row>
    <row r="9" spans="1:27" ht="16" x14ac:dyDescent="0.25">
      <c r="A9" s="75"/>
      <c r="B9" s="67"/>
      <c r="C9" s="67"/>
      <c r="D9" s="67"/>
      <c r="E9" s="67"/>
      <c r="F9" s="67"/>
      <c r="G9" s="76" t="s">
        <v>6</v>
      </c>
      <c r="H9" s="117">
        <v>5.5</v>
      </c>
      <c r="I9" s="77" t="s">
        <v>10</v>
      </c>
      <c r="J9" s="67"/>
      <c r="K9" s="67"/>
      <c r="L9" s="67"/>
      <c r="M9" s="67"/>
      <c r="N9" s="67"/>
      <c r="O9" s="67"/>
      <c r="P9" s="67"/>
      <c r="Q9" s="67"/>
      <c r="R9" s="67"/>
      <c r="S9" s="67"/>
      <c r="T9" s="67"/>
      <c r="U9" s="67"/>
      <c r="V9" s="67"/>
      <c r="W9" s="67"/>
      <c r="X9" s="67"/>
      <c r="Y9" s="67"/>
      <c r="Z9" s="67"/>
      <c r="AA9" s="56"/>
    </row>
    <row r="10" spans="1:27" ht="16" x14ac:dyDescent="0.25">
      <c r="A10" s="75"/>
      <c r="B10" s="67"/>
      <c r="C10" s="67"/>
      <c r="D10" s="67"/>
      <c r="E10" s="67"/>
      <c r="F10" s="67"/>
      <c r="G10" s="76" t="s">
        <v>540</v>
      </c>
      <c r="H10" s="117">
        <v>170</v>
      </c>
      <c r="I10" s="77" t="s">
        <v>10</v>
      </c>
      <c r="J10" s="67"/>
      <c r="K10" s="67"/>
      <c r="L10" s="67"/>
      <c r="M10" s="67"/>
      <c r="N10" s="67"/>
      <c r="O10" s="67"/>
      <c r="P10" s="67"/>
      <c r="Q10" s="67"/>
      <c r="R10" s="67"/>
      <c r="S10" s="67"/>
      <c r="T10" s="67"/>
      <c r="U10" s="67"/>
      <c r="V10" s="67"/>
      <c r="W10" s="67"/>
      <c r="X10" s="67"/>
      <c r="Y10" s="67"/>
      <c r="Z10" s="67"/>
      <c r="AA10" s="56"/>
    </row>
    <row r="11" spans="1:27" ht="16" x14ac:dyDescent="0.25">
      <c r="A11" s="75"/>
      <c r="B11" s="67"/>
      <c r="C11" s="67"/>
      <c r="D11" s="67"/>
      <c r="E11" s="67"/>
      <c r="F11" s="67"/>
      <c r="G11" s="76" t="s">
        <v>7</v>
      </c>
      <c r="H11" s="117">
        <v>0.01</v>
      </c>
      <c r="I11" s="77" t="s">
        <v>11</v>
      </c>
      <c r="J11" s="67"/>
      <c r="K11" s="67"/>
      <c r="L11" s="67"/>
      <c r="M11" s="67"/>
      <c r="N11" s="67"/>
      <c r="O11" s="67"/>
      <c r="P11" s="67"/>
      <c r="Q11" s="67"/>
      <c r="R11" s="67"/>
      <c r="S11" s="67"/>
      <c r="T11" s="67"/>
      <c r="U11" s="67"/>
      <c r="V11" s="67"/>
      <c r="W11" s="67"/>
      <c r="X11" s="67"/>
      <c r="Y11" s="67"/>
      <c r="Z11" s="67"/>
      <c r="AA11" s="56"/>
    </row>
    <row r="12" spans="1:27" ht="16" x14ac:dyDescent="0.25">
      <c r="A12" s="75"/>
      <c r="B12" s="67"/>
      <c r="C12" s="67"/>
      <c r="D12" s="67"/>
      <c r="E12" s="67"/>
      <c r="F12" s="67"/>
      <c r="G12" s="76" t="s">
        <v>8</v>
      </c>
      <c r="H12" s="117">
        <v>100</v>
      </c>
      <c r="I12" s="77" t="s">
        <v>12</v>
      </c>
      <c r="J12" s="67"/>
      <c r="K12" s="67"/>
      <c r="L12" s="67"/>
      <c r="M12" s="67"/>
      <c r="N12" s="67"/>
      <c r="O12" s="67"/>
      <c r="P12" s="67"/>
      <c r="Q12" s="67"/>
      <c r="R12" s="67"/>
      <c r="S12" s="67"/>
      <c r="T12" s="67"/>
      <c r="U12" s="67"/>
      <c r="V12" s="67"/>
      <c r="W12" s="67"/>
      <c r="X12" s="67"/>
      <c r="Y12" s="67"/>
      <c r="Z12" s="67"/>
      <c r="AA12" s="56"/>
    </row>
    <row r="13" spans="1:27" ht="16" x14ac:dyDescent="0.25">
      <c r="A13" s="75"/>
      <c r="B13" s="67"/>
      <c r="C13" s="67"/>
      <c r="D13" s="67"/>
      <c r="E13" s="67"/>
      <c r="F13" s="67"/>
      <c r="G13" s="76" t="s">
        <v>75</v>
      </c>
      <c r="H13" s="118">
        <f>RT/1000</f>
        <v>220.04499999999999</v>
      </c>
      <c r="I13" s="77" t="s">
        <v>76</v>
      </c>
      <c r="J13" s="67"/>
      <c r="K13" s="67"/>
      <c r="L13" s="67"/>
      <c r="M13" s="67"/>
      <c r="N13" s="67"/>
      <c r="O13" s="67"/>
      <c r="P13" s="67"/>
      <c r="Q13" s="67"/>
      <c r="R13" s="67"/>
      <c r="S13" s="67"/>
      <c r="T13" s="67"/>
      <c r="U13" s="67"/>
      <c r="V13" s="67"/>
      <c r="W13" s="67"/>
      <c r="X13" s="67"/>
      <c r="Y13" s="67"/>
      <c r="Z13" s="67"/>
      <c r="AA13" s="56"/>
    </row>
    <row r="14" spans="1:27" x14ac:dyDescent="0.2">
      <c r="A14" s="75"/>
      <c r="B14" s="67"/>
      <c r="C14" s="67"/>
      <c r="D14" s="67"/>
      <c r="E14" s="67"/>
      <c r="F14" s="67"/>
      <c r="G14" s="76" t="s">
        <v>9</v>
      </c>
      <c r="H14" s="117">
        <v>65</v>
      </c>
      <c r="I14" s="77" t="s">
        <v>13</v>
      </c>
      <c r="J14" s="67"/>
      <c r="K14" s="67"/>
      <c r="L14" s="67"/>
      <c r="M14" s="67"/>
      <c r="N14" s="67"/>
      <c r="O14" s="67"/>
      <c r="P14" s="67"/>
      <c r="Q14" s="67"/>
      <c r="R14" s="67"/>
      <c r="S14" s="67"/>
      <c r="T14" s="67"/>
      <c r="U14" s="67"/>
      <c r="V14" s="67"/>
      <c r="W14" s="67"/>
      <c r="X14" s="67"/>
      <c r="Y14" s="67"/>
      <c r="Z14" s="67"/>
      <c r="AA14" s="56"/>
    </row>
    <row r="15" spans="1:27" ht="16" x14ac:dyDescent="0.25">
      <c r="A15" s="75"/>
      <c r="B15" s="67"/>
      <c r="C15" s="67"/>
      <c r="D15" s="67"/>
      <c r="E15" s="67"/>
      <c r="F15" s="67"/>
      <c r="G15" s="76" t="s">
        <v>14</v>
      </c>
      <c r="H15" s="119">
        <f>POUT</f>
        <v>1.7</v>
      </c>
      <c r="I15" s="77" t="s">
        <v>38</v>
      </c>
      <c r="J15" s="67"/>
      <c r="K15" s="67"/>
      <c r="L15" s="67"/>
      <c r="M15" s="67"/>
      <c r="N15" s="67"/>
      <c r="O15" s="67"/>
      <c r="P15" s="67"/>
      <c r="Q15" s="67"/>
      <c r="R15" s="67"/>
      <c r="S15" s="67"/>
      <c r="T15" s="67"/>
      <c r="U15" s="67"/>
      <c r="V15" s="67"/>
      <c r="W15" s="67"/>
      <c r="X15" s="67"/>
      <c r="Y15" s="67"/>
      <c r="Z15" s="67"/>
      <c r="AA15" s="56"/>
    </row>
    <row r="16" spans="1:27" ht="16" x14ac:dyDescent="0.25">
      <c r="A16" s="78"/>
      <c r="B16" s="79"/>
      <c r="C16" s="79"/>
      <c r="D16" s="79"/>
      <c r="E16" s="79"/>
      <c r="F16" s="67"/>
      <c r="G16" s="80" t="s">
        <v>486</v>
      </c>
      <c r="H16" s="119">
        <f>Dc_max_IC*100</f>
        <v>93</v>
      </c>
      <c r="I16" s="77" t="s">
        <v>13</v>
      </c>
      <c r="J16" s="67"/>
      <c r="K16" s="67"/>
      <c r="L16" s="67"/>
      <c r="M16" s="67"/>
      <c r="N16" s="67"/>
      <c r="O16" s="67"/>
      <c r="P16" s="67"/>
      <c r="Q16" s="67"/>
      <c r="R16" s="67"/>
      <c r="S16" s="67"/>
      <c r="T16" s="67"/>
      <c r="U16" s="67"/>
      <c r="V16" s="67"/>
      <c r="W16" s="67"/>
      <c r="X16" s="67"/>
      <c r="Y16" s="67"/>
      <c r="Z16" s="67"/>
      <c r="AA16" s="56"/>
    </row>
    <row r="17" spans="1:27" ht="16" thickBot="1" x14ac:dyDescent="0.25">
      <c r="A17" s="78"/>
      <c r="B17" s="79"/>
      <c r="C17" s="79"/>
      <c r="D17" s="79"/>
      <c r="E17" s="79"/>
      <c r="F17" s="67"/>
      <c r="G17" s="80" t="s">
        <v>518</v>
      </c>
      <c r="H17" s="142">
        <f>Variable_Management!B39*100</f>
        <v>97.176470588235304</v>
      </c>
      <c r="I17" s="77" t="s">
        <v>13</v>
      </c>
      <c r="J17" s="67"/>
      <c r="K17" s="67"/>
      <c r="L17" s="67"/>
      <c r="M17" s="67"/>
      <c r="N17" s="67"/>
      <c r="O17" s="67"/>
      <c r="P17" s="67"/>
      <c r="Q17" s="67"/>
      <c r="R17" s="67"/>
      <c r="S17" s="67"/>
      <c r="T17" s="67"/>
      <c r="U17" s="67"/>
      <c r="V17" s="67"/>
      <c r="W17" s="67"/>
      <c r="X17" s="67"/>
      <c r="Y17" s="67"/>
      <c r="Z17" s="67"/>
      <c r="AA17" s="56"/>
    </row>
    <row r="18" spans="1:27" ht="16" thickBot="1" x14ac:dyDescent="0.25">
      <c r="A18" s="81"/>
      <c r="B18" s="82"/>
      <c r="C18" s="82"/>
      <c r="D18" s="82"/>
      <c r="E18" s="82"/>
      <c r="F18" s="83"/>
      <c r="G18" s="84" t="s">
        <v>522</v>
      </c>
      <c r="H18" s="138" t="s">
        <v>496</v>
      </c>
      <c r="I18" s="85"/>
      <c r="J18" s="67"/>
      <c r="K18" s="67"/>
      <c r="L18" s="67"/>
      <c r="M18" s="67"/>
      <c r="N18" s="67"/>
      <c r="O18" s="67"/>
      <c r="P18" s="67"/>
      <c r="Q18" s="67"/>
      <c r="R18" s="67"/>
      <c r="S18" s="67"/>
      <c r="T18" s="67"/>
      <c r="U18" s="67"/>
      <c r="V18" s="67"/>
      <c r="W18" s="67"/>
      <c r="X18" s="67"/>
      <c r="Y18" s="67"/>
      <c r="Z18" s="67"/>
      <c r="AA18" s="56"/>
    </row>
    <row r="19" spans="1:27" x14ac:dyDescent="0.2">
      <c r="A19" s="79"/>
      <c r="B19" s="79"/>
      <c r="C19" s="79"/>
      <c r="D19" s="79"/>
      <c r="E19" s="79"/>
      <c r="F19" s="67"/>
      <c r="G19" s="68"/>
      <c r="H19" s="67"/>
      <c r="I19" s="67"/>
      <c r="J19" s="67"/>
      <c r="K19" s="67"/>
      <c r="L19" s="67"/>
      <c r="M19" s="67"/>
      <c r="N19" s="67"/>
      <c r="O19" s="67"/>
      <c r="P19" s="67"/>
      <c r="Q19" s="67"/>
      <c r="R19" s="67"/>
      <c r="S19" s="67"/>
      <c r="T19" s="67"/>
      <c r="U19" s="67"/>
      <c r="V19" s="67"/>
      <c r="W19" s="67"/>
      <c r="X19" s="67"/>
      <c r="Y19" s="67"/>
      <c r="Z19" s="67"/>
      <c r="AA19" s="56"/>
    </row>
    <row r="20" spans="1:27" ht="16" thickBot="1" x14ac:dyDescent="0.25">
      <c r="A20" s="70" t="s">
        <v>77</v>
      </c>
      <c r="B20" s="79"/>
      <c r="C20" s="79"/>
      <c r="D20" s="79"/>
      <c r="E20" s="79"/>
      <c r="F20" s="67"/>
      <c r="G20" s="68"/>
      <c r="H20" s="67"/>
      <c r="I20" s="67"/>
      <c r="J20" s="67"/>
      <c r="K20" s="67"/>
      <c r="L20" s="67"/>
      <c r="M20" s="67"/>
      <c r="N20" s="67"/>
      <c r="O20" s="67"/>
      <c r="P20" s="67"/>
      <c r="Q20" s="67"/>
      <c r="R20" s="67"/>
      <c r="S20" s="67"/>
      <c r="T20" s="67"/>
      <c r="U20" s="67"/>
      <c r="V20" s="67"/>
      <c r="W20" s="67"/>
      <c r="X20" s="67"/>
      <c r="Y20" s="67"/>
      <c r="Z20" s="67"/>
      <c r="AA20" s="56"/>
    </row>
    <row r="21" spans="1:27" ht="16" x14ac:dyDescent="0.25">
      <c r="A21" s="86"/>
      <c r="B21" s="87"/>
      <c r="C21" s="87"/>
      <c r="D21" s="87"/>
      <c r="E21" s="87"/>
      <c r="F21" s="72"/>
      <c r="G21" s="73" t="s">
        <v>487</v>
      </c>
      <c r="H21" s="116">
        <v>60</v>
      </c>
      <c r="I21" s="74" t="s">
        <v>13</v>
      </c>
      <c r="J21" s="67"/>
      <c r="K21" s="67"/>
      <c r="L21" s="67"/>
      <c r="M21" s="67"/>
      <c r="N21" s="67"/>
      <c r="O21" s="67"/>
      <c r="P21" s="67"/>
      <c r="Q21" s="67"/>
      <c r="R21" s="67"/>
      <c r="S21" s="67"/>
      <c r="T21" s="67"/>
      <c r="U21" s="67"/>
      <c r="V21" s="67"/>
      <c r="W21" s="67"/>
      <c r="X21" s="67"/>
      <c r="Y21" s="67"/>
      <c r="Z21" s="67"/>
      <c r="AA21" s="56"/>
    </row>
    <row r="22" spans="1:27" ht="16" x14ac:dyDescent="0.25">
      <c r="A22" s="75"/>
      <c r="B22" s="67"/>
      <c r="C22" s="67"/>
      <c r="D22" s="67"/>
      <c r="E22" s="67"/>
      <c r="F22" s="67"/>
      <c r="G22" s="76" t="s">
        <v>459</v>
      </c>
      <c r="H22" s="120">
        <f>IF(H18="CCM",Lopt_2*10^6,L_DCM*10^6)</f>
        <v>65.851349480968778</v>
      </c>
      <c r="I22" s="77" t="s">
        <v>542</v>
      </c>
      <c r="J22" s="67"/>
      <c r="K22" s="67"/>
      <c r="L22" s="67"/>
      <c r="M22" s="67"/>
      <c r="N22" s="67"/>
      <c r="O22" s="67"/>
      <c r="P22" s="67"/>
      <c r="Q22" s="67"/>
      <c r="R22" s="67"/>
      <c r="S22" s="67"/>
      <c r="T22" s="67"/>
      <c r="U22" s="67"/>
      <c r="V22" s="67"/>
      <c r="W22" s="67"/>
      <c r="X22" s="67"/>
      <c r="Y22" s="67"/>
      <c r="Z22" s="67"/>
      <c r="AA22" s="56"/>
    </row>
    <row r="23" spans="1:27" ht="16" x14ac:dyDescent="0.25">
      <c r="A23" s="75"/>
      <c r="B23" s="67"/>
      <c r="C23" s="67"/>
      <c r="D23" s="67"/>
      <c r="E23" s="67"/>
      <c r="F23" s="67"/>
      <c r="G23" s="76" t="s">
        <v>460</v>
      </c>
      <c r="H23" s="117">
        <v>10</v>
      </c>
      <c r="I23" s="77" t="s">
        <v>542</v>
      </c>
      <c r="J23" s="67"/>
      <c r="K23" s="67"/>
      <c r="L23" s="67"/>
      <c r="M23" s="67"/>
      <c r="N23" s="67"/>
      <c r="O23" s="67"/>
      <c r="P23" s="67"/>
      <c r="Q23" s="67"/>
      <c r="R23" s="67"/>
      <c r="S23" s="67"/>
      <c r="T23" s="67"/>
      <c r="U23" s="67"/>
      <c r="V23" s="67"/>
      <c r="W23" s="67"/>
      <c r="X23" s="67"/>
      <c r="Y23" s="67"/>
      <c r="Z23" s="67"/>
      <c r="AA23" s="56"/>
    </row>
    <row r="24" spans="1:27" ht="16" x14ac:dyDescent="0.25">
      <c r="A24" s="75"/>
      <c r="B24" s="67"/>
      <c r="C24" s="67"/>
      <c r="D24" s="67"/>
      <c r="E24" s="67"/>
      <c r="F24" s="67"/>
      <c r="G24" s="76" t="s">
        <v>81</v>
      </c>
      <c r="H24" s="117">
        <v>35</v>
      </c>
      <c r="I24" s="77" t="s">
        <v>105</v>
      </c>
      <c r="J24" s="67"/>
      <c r="K24" s="67"/>
      <c r="L24" s="67"/>
      <c r="M24" s="67"/>
      <c r="N24" s="67"/>
      <c r="O24" s="67"/>
      <c r="P24" s="67"/>
      <c r="Q24" s="67"/>
      <c r="R24" s="67"/>
      <c r="S24" s="67"/>
      <c r="T24" s="67"/>
      <c r="U24" s="67"/>
      <c r="V24" s="67"/>
      <c r="W24" s="67"/>
      <c r="X24" s="67"/>
      <c r="Y24" s="67"/>
      <c r="Z24" s="67"/>
      <c r="AA24" s="56"/>
    </row>
    <row r="25" spans="1:27" ht="17" thickBot="1" x14ac:dyDescent="0.3">
      <c r="A25" s="88"/>
      <c r="B25" s="83"/>
      <c r="C25" s="83"/>
      <c r="D25" s="83"/>
      <c r="E25" s="83"/>
      <c r="F25" s="83"/>
      <c r="G25" s="89" t="s">
        <v>106</v>
      </c>
      <c r="H25" s="121">
        <f>ILp_VINmin</f>
        <v>1.8176908428002823</v>
      </c>
      <c r="I25" s="85" t="s">
        <v>11</v>
      </c>
      <c r="J25" s="67"/>
      <c r="K25" s="67"/>
      <c r="L25" s="67"/>
      <c r="M25" s="67"/>
      <c r="N25" s="67"/>
      <c r="O25" s="67"/>
      <c r="P25" s="67"/>
      <c r="Q25" s="67"/>
      <c r="R25" s="67"/>
      <c r="S25" s="67"/>
      <c r="T25" s="67"/>
      <c r="U25" s="67"/>
      <c r="V25" s="67"/>
      <c r="W25" s="67"/>
      <c r="X25" s="67"/>
      <c r="Y25" s="67"/>
      <c r="Z25" s="67"/>
      <c r="AA25" s="56"/>
    </row>
    <row r="26" spans="1:27" x14ac:dyDescent="0.2">
      <c r="A26" s="67"/>
      <c r="B26" s="67"/>
      <c r="C26" s="67"/>
      <c r="D26" s="67"/>
      <c r="E26" s="67"/>
      <c r="F26" s="67"/>
      <c r="G26" s="68"/>
      <c r="H26" s="67"/>
      <c r="I26" s="67"/>
      <c r="J26" s="67"/>
      <c r="K26" s="67"/>
      <c r="L26" s="67"/>
      <c r="M26" s="67"/>
      <c r="N26" s="67"/>
      <c r="O26" s="67"/>
      <c r="P26" s="67"/>
      <c r="Q26" s="67"/>
      <c r="R26" s="67"/>
      <c r="S26" s="67"/>
      <c r="T26" s="67"/>
      <c r="U26" s="67"/>
      <c r="V26" s="67"/>
      <c r="W26" s="67"/>
      <c r="X26" s="67"/>
      <c r="Y26" s="67"/>
      <c r="Z26" s="67"/>
      <c r="AA26" s="56"/>
    </row>
    <row r="27" spans="1:27" ht="16" thickBot="1" x14ac:dyDescent="0.25">
      <c r="A27" s="70" t="s">
        <v>127</v>
      </c>
      <c r="B27" s="67"/>
      <c r="C27" s="67"/>
      <c r="D27" s="67"/>
      <c r="E27" s="67"/>
      <c r="F27" s="67"/>
      <c r="G27" s="68"/>
      <c r="H27" s="67"/>
      <c r="I27" s="67"/>
      <c r="J27" s="67"/>
      <c r="K27" s="67"/>
      <c r="L27" s="67"/>
      <c r="M27" s="67"/>
      <c r="N27" s="67"/>
      <c r="O27" s="67"/>
      <c r="P27" s="67"/>
      <c r="Q27" s="67"/>
      <c r="R27" s="67"/>
      <c r="S27" s="67"/>
      <c r="T27" s="67"/>
      <c r="U27" s="67"/>
      <c r="V27" s="67"/>
      <c r="W27" s="67"/>
      <c r="X27" s="67"/>
      <c r="Y27" s="67"/>
      <c r="Z27" s="67"/>
      <c r="AA27" s="56"/>
    </row>
    <row r="28" spans="1:27" x14ac:dyDescent="0.2">
      <c r="A28" s="71"/>
      <c r="B28" s="72"/>
      <c r="C28" s="72"/>
      <c r="D28" s="72"/>
      <c r="E28" s="72"/>
      <c r="F28" s="72"/>
      <c r="G28" s="73" t="s">
        <v>488</v>
      </c>
      <c r="H28" s="116">
        <v>20</v>
      </c>
      <c r="I28" s="74" t="s">
        <v>13</v>
      </c>
      <c r="J28" s="67"/>
      <c r="K28" s="67"/>
      <c r="L28" s="67"/>
      <c r="M28" s="67"/>
      <c r="N28" s="67"/>
      <c r="O28" s="67"/>
      <c r="P28" s="67"/>
      <c r="Q28" s="67"/>
      <c r="R28" s="67"/>
      <c r="S28" s="67"/>
      <c r="T28" s="67"/>
      <c r="U28" s="67"/>
      <c r="V28" s="67"/>
      <c r="W28" s="67"/>
      <c r="X28" s="67"/>
      <c r="Y28" s="67"/>
      <c r="Z28" s="67"/>
      <c r="AA28" s="56"/>
    </row>
    <row r="29" spans="1:27" ht="17" x14ac:dyDescent="0.25">
      <c r="A29" s="75"/>
      <c r="B29" s="67"/>
      <c r="C29" s="67"/>
      <c r="D29" s="67"/>
      <c r="E29" s="67"/>
      <c r="F29" s="67"/>
      <c r="G29" s="68" t="s">
        <v>203</v>
      </c>
      <c r="H29" s="118">
        <f>Ipk_selected</f>
        <v>2.1812290113603385</v>
      </c>
      <c r="I29" s="77" t="s">
        <v>11</v>
      </c>
      <c r="J29" s="67"/>
      <c r="K29" s="67"/>
      <c r="L29" s="67"/>
      <c r="M29" s="67"/>
      <c r="N29" s="67"/>
      <c r="O29" s="67"/>
      <c r="P29" s="67"/>
      <c r="Q29" s="67"/>
      <c r="R29" s="67"/>
      <c r="S29" s="67"/>
      <c r="T29" s="67"/>
      <c r="U29" s="67"/>
      <c r="V29" s="67"/>
      <c r="W29" s="67"/>
      <c r="X29" s="67"/>
      <c r="Y29" s="67"/>
      <c r="Z29" s="67"/>
      <c r="AA29" s="56"/>
    </row>
    <row r="30" spans="1:27" ht="17" x14ac:dyDescent="0.25">
      <c r="A30" s="75"/>
      <c r="B30" s="67"/>
      <c r="C30" s="67"/>
      <c r="D30" s="67"/>
      <c r="E30" s="67"/>
      <c r="F30" s="67"/>
      <c r="G30" s="68" t="s">
        <v>493</v>
      </c>
      <c r="H30" s="118">
        <f>Variable_Management!B135*1000</f>
        <v>45.845713347464745</v>
      </c>
      <c r="I30" s="77" t="s">
        <v>105</v>
      </c>
      <c r="J30" s="67"/>
      <c r="K30" s="67"/>
      <c r="L30" s="67"/>
      <c r="M30" s="67"/>
      <c r="N30" s="67"/>
      <c r="O30" s="67"/>
      <c r="P30" s="67"/>
      <c r="Q30" s="67"/>
      <c r="R30" s="67"/>
      <c r="S30" s="67"/>
      <c r="T30" s="67"/>
      <c r="U30" s="67"/>
      <c r="V30" s="67"/>
      <c r="W30" s="67"/>
      <c r="X30" s="67"/>
      <c r="Y30" s="67"/>
      <c r="Z30" s="67"/>
      <c r="AA30" s="56"/>
    </row>
    <row r="31" spans="1:27" ht="17" x14ac:dyDescent="0.25">
      <c r="A31" s="75"/>
      <c r="B31" s="67"/>
      <c r="C31" s="67"/>
      <c r="D31" s="67"/>
      <c r="E31" s="67"/>
      <c r="F31" s="67"/>
      <c r="G31" s="68" t="s">
        <v>166</v>
      </c>
      <c r="H31" s="122">
        <f>Variable_Management!B136</f>
        <v>0</v>
      </c>
      <c r="I31" s="90" t="s">
        <v>36</v>
      </c>
      <c r="J31" s="67"/>
      <c r="K31" s="67"/>
      <c r="L31" s="67"/>
      <c r="M31" s="67"/>
      <c r="N31" s="67"/>
      <c r="O31" s="67"/>
      <c r="P31" s="67"/>
      <c r="Q31" s="67"/>
      <c r="R31" s="67"/>
      <c r="S31" s="67"/>
      <c r="T31" s="67"/>
      <c r="U31" s="67"/>
      <c r="V31" s="67"/>
      <c r="W31" s="67"/>
      <c r="X31" s="67"/>
      <c r="Y31" s="67"/>
      <c r="Z31" s="67"/>
      <c r="AA31" s="56"/>
    </row>
    <row r="32" spans="1:27" ht="17" x14ac:dyDescent="0.25">
      <c r="A32" s="75"/>
      <c r="B32" s="67"/>
      <c r="C32" s="67"/>
      <c r="D32" s="67"/>
      <c r="E32" s="67"/>
      <c r="F32" s="67"/>
      <c r="G32" s="68" t="s">
        <v>494</v>
      </c>
      <c r="H32" s="117">
        <v>47</v>
      </c>
      <c r="I32" s="77" t="s">
        <v>105</v>
      </c>
      <c r="J32" s="67"/>
      <c r="K32" s="67"/>
      <c r="L32" s="67"/>
      <c r="M32" s="67"/>
      <c r="N32" s="67"/>
      <c r="O32" s="67"/>
      <c r="P32" s="67"/>
      <c r="Q32" s="67"/>
      <c r="R32" s="67"/>
      <c r="S32" s="67"/>
      <c r="T32" s="67"/>
      <c r="U32" s="67"/>
      <c r="V32" s="67"/>
      <c r="W32" s="67"/>
      <c r="X32" s="67"/>
      <c r="Y32" s="67"/>
      <c r="Z32" s="67"/>
      <c r="AA32" s="56"/>
    </row>
    <row r="33" spans="1:27" ht="17" x14ac:dyDescent="0.25">
      <c r="A33" s="75"/>
      <c r="B33" s="67"/>
      <c r="C33" s="67"/>
      <c r="D33" s="67"/>
      <c r="E33" s="67"/>
      <c r="F33" s="67"/>
      <c r="G33" s="68" t="s">
        <v>169</v>
      </c>
      <c r="H33" s="117">
        <v>0</v>
      </c>
      <c r="I33" s="90" t="s">
        <v>36</v>
      </c>
      <c r="J33" s="67"/>
      <c r="K33" s="67"/>
      <c r="L33" s="67"/>
      <c r="M33" s="67"/>
      <c r="N33" s="67"/>
      <c r="O33" s="67"/>
      <c r="P33" s="67"/>
      <c r="Q33" s="67"/>
      <c r="R33" s="67"/>
      <c r="S33" s="67"/>
      <c r="T33" s="67"/>
      <c r="U33" s="67"/>
      <c r="V33" s="67"/>
      <c r="W33" s="67"/>
      <c r="X33" s="67"/>
      <c r="Y33" s="67"/>
      <c r="Z33" s="67"/>
      <c r="AA33" s="56"/>
    </row>
    <row r="34" spans="1:27" x14ac:dyDescent="0.2">
      <c r="A34" s="75"/>
      <c r="B34" s="67"/>
      <c r="C34" s="67"/>
      <c r="D34" s="67"/>
      <c r="E34" s="67"/>
      <c r="F34" s="67"/>
      <c r="G34" s="68" t="s">
        <v>173</v>
      </c>
      <c r="H34" s="118">
        <f>IL_pk_max</f>
        <v>2.1276595744680851</v>
      </c>
      <c r="I34" s="90" t="s">
        <v>11</v>
      </c>
      <c r="J34" s="67"/>
      <c r="K34" s="67"/>
      <c r="L34" s="67"/>
      <c r="M34" s="67"/>
      <c r="N34" s="67"/>
      <c r="O34" s="67"/>
      <c r="P34" s="67"/>
      <c r="Q34" s="67"/>
      <c r="R34" s="67"/>
      <c r="S34" s="67"/>
      <c r="T34" s="67"/>
      <c r="U34" s="67"/>
      <c r="V34" s="67"/>
      <c r="W34" s="67"/>
      <c r="X34" s="67"/>
      <c r="Y34" s="67"/>
      <c r="Z34" s="67"/>
      <c r="AA34" s="56"/>
    </row>
    <row r="35" spans="1:27" ht="16" thickBot="1" x14ac:dyDescent="0.25">
      <c r="A35" s="88"/>
      <c r="B35" s="83"/>
      <c r="C35" s="83"/>
      <c r="D35" s="83"/>
      <c r="E35" s="83"/>
      <c r="F35" s="83"/>
      <c r="G35" s="91" t="s">
        <v>191</v>
      </c>
      <c r="H35" s="123">
        <f>Variable_Management!B145</f>
        <v>2.4468085106382977</v>
      </c>
      <c r="I35" s="92" t="s">
        <v>11</v>
      </c>
      <c r="J35" s="67"/>
      <c r="K35" s="67"/>
      <c r="L35" s="67"/>
      <c r="M35" s="67"/>
      <c r="N35" s="67"/>
      <c r="O35" s="67"/>
      <c r="P35" s="67"/>
      <c r="Q35" s="67"/>
      <c r="R35" s="67"/>
      <c r="S35" s="67"/>
      <c r="T35" s="67"/>
      <c r="U35" s="67"/>
      <c r="V35" s="67"/>
      <c r="W35" s="67"/>
      <c r="X35" s="67"/>
      <c r="Y35" s="67"/>
      <c r="Z35" s="67"/>
      <c r="AA35" s="56"/>
    </row>
    <row r="36" spans="1:27" x14ac:dyDescent="0.2">
      <c r="A36" s="67"/>
      <c r="B36" s="67"/>
      <c r="C36" s="67"/>
      <c r="D36" s="67"/>
      <c r="E36" s="67"/>
      <c r="F36" s="67"/>
      <c r="G36" s="68"/>
      <c r="H36" s="67"/>
      <c r="I36" s="67"/>
      <c r="J36" s="67"/>
      <c r="K36" s="67"/>
      <c r="L36" s="67"/>
      <c r="M36" s="67"/>
      <c r="N36" s="67"/>
      <c r="O36" s="67"/>
      <c r="P36" s="67"/>
      <c r="Q36" s="67"/>
      <c r="R36" s="67"/>
      <c r="S36" s="67"/>
      <c r="T36" s="67"/>
      <c r="U36" s="67"/>
      <c r="V36" s="67"/>
      <c r="W36" s="67"/>
      <c r="X36" s="67"/>
      <c r="Y36" s="67"/>
      <c r="Z36" s="67"/>
      <c r="AA36" s="56"/>
    </row>
    <row r="37" spans="1:27" ht="16" thickBot="1" x14ac:dyDescent="0.25">
      <c r="A37" s="70" t="s">
        <v>185</v>
      </c>
      <c r="B37" s="67"/>
      <c r="C37" s="67"/>
      <c r="D37" s="67"/>
      <c r="E37" s="67"/>
      <c r="F37" s="67"/>
      <c r="G37" s="68"/>
      <c r="H37" s="67"/>
      <c r="I37" s="67"/>
      <c r="J37" s="67"/>
      <c r="K37" s="67"/>
      <c r="L37" s="67"/>
      <c r="M37" s="67"/>
      <c r="N37" s="67"/>
      <c r="O37" s="67"/>
      <c r="P37" s="67"/>
      <c r="Q37" s="67"/>
      <c r="R37" s="67"/>
      <c r="S37" s="67"/>
      <c r="T37" s="67"/>
      <c r="U37" s="67"/>
      <c r="V37" s="67"/>
      <c r="W37" s="67"/>
      <c r="X37" s="67"/>
      <c r="Y37" s="67"/>
      <c r="Z37" s="67"/>
      <c r="AA37" s="56"/>
    </row>
    <row r="38" spans="1:27" ht="17" x14ac:dyDescent="0.25">
      <c r="A38" s="71"/>
      <c r="B38" s="72"/>
      <c r="C38" s="72"/>
      <c r="D38" s="72"/>
      <c r="E38" s="72"/>
      <c r="F38" s="72"/>
      <c r="G38" s="93" t="s">
        <v>541</v>
      </c>
      <c r="H38" s="116">
        <v>100</v>
      </c>
      <c r="I38" s="74" t="s">
        <v>186</v>
      </c>
      <c r="J38" s="67"/>
      <c r="K38" s="67"/>
      <c r="L38" s="67"/>
      <c r="M38" s="67"/>
      <c r="N38" s="67"/>
      <c r="O38" s="67"/>
      <c r="P38" s="67"/>
      <c r="Q38" s="67"/>
      <c r="R38" s="67"/>
      <c r="S38" s="67"/>
      <c r="T38" s="67"/>
      <c r="U38" s="67"/>
      <c r="V38" s="67"/>
      <c r="W38" s="67"/>
      <c r="X38" s="67"/>
      <c r="Y38" s="67"/>
      <c r="Z38" s="67"/>
      <c r="AA38" s="56"/>
    </row>
    <row r="39" spans="1:27" x14ac:dyDescent="0.2">
      <c r="A39" s="75"/>
      <c r="B39" s="67"/>
      <c r="C39" s="67"/>
      <c r="D39" s="67"/>
      <c r="E39" s="67"/>
      <c r="F39" s="67"/>
      <c r="G39" s="68" t="s">
        <v>187</v>
      </c>
      <c r="H39" s="143">
        <f>Cout_min*10^6</f>
        <v>0.37868559225005877</v>
      </c>
      <c r="I39" s="77" t="s">
        <v>543</v>
      </c>
      <c r="J39" s="67"/>
      <c r="K39" s="67"/>
      <c r="L39" s="67"/>
      <c r="M39" s="67"/>
      <c r="N39" s="67"/>
      <c r="O39" s="67"/>
      <c r="P39" s="67"/>
      <c r="Q39" s="67"/>
      <c r="R39" s="67"/>
      <c r="S39" s="67"/>
      <c r="T39" s="67"/>
      <c r="U39" s="67"/>
      <c r="V39" s="67"/>
      <c r="W39" s="67"/>
      <c r="X39" s="67"/>
      <c r="Y39" s="67"/>
      <c r="Z39" s="67"/>
      <c r="AA39" s="56"/>
    </row>
    <row r="40" spans="1:27" ht="17" x14ac:dyDescent="0.25">
      <c r="A40" s="75"/>
      <c r="B40" s="67"/>
      <c r="C40" s="67"/>
      <c r="D40" s="67"/>
      <c r="E40" s="67"/>
      <c r="F40" s="67"/>
      <c r="G40" s="68" t="s">
        <v>195</v>
      </c>
      <c r="H40" s="118">
        <f>IRMS_COUT</f>
        <v>0.82724556018375084</v>
      </c>
      <c r="I40" s="77" t="s">
        <v>11</v>
      </c>
      <c r="J40" s="67"/>
      <c r="K40" s="67"/>
      <c r="L40" s="67"/>
      <c r="M40" s="67"/>
      <c r="N40" s="67"/>
      <c r="O40" s="67"/>
      <c r="P40" s="67"/>
      <c r="Q40" s="67"/>
      <c r="R40" s="67"/>
      <c r="S40" s="67"/>
      <c r="T40" s="67"/>
      <c r="U40" s="67"/>
      <c r="V40" s="67"/>
      <c r="W40" s="67"/>
      <c r="X40" s="67"/>
      <c r="Y40" s="67"/>
      <c r="Z40" s="67"/>
      <c r="AA40" s="56"/>
    </row>
    <row r="41" spans="1:27" ht="17" x14ac:dyDescent="0.25">
      <c r="A41" s="75"/>
      <c r="B41" s="67"/>
      <c r="C41" s="67"/>
      <c r="D41" s="67"/>
      <c r="E41" s="67"/>
      <c r="F41" s="67"/>
      <c r="G41" s="68" t="s">
        <v>188</v>
      </c>
      <c r="H41" s="117">
        <v>1.04</v>
      </c>
      <c r="I41" s="77" t="s">
        <v>543</v>
      </c>
      <c r="J41" s="67"/>
      <c r="K41" s="67"/>
      <c r="L41" s="67"/>
      <c r="M41" s="67"/>
      <c r="N41" s="67"/>
      <c r="O41" s="67"/>
      <c r="P41" s="67"/>
      <c r="Q41" s="67"/>
      <c r="R41" s="67"/>
      <c r="S41" s="67"/>
      <c r="T41" s="67"/>
      <c r="U41" s="67"/>
      <c r="V41" s="67"/>
      <c r="W41" s="67"/>
      <c r="X41" s="67"/>
      <c r="Y41" s="67"/>
      <c r="Z41" s="67"/>
      <c r="AA41" s="56"/>
    </row>
    <row r="42" spans="1:27" ht="18" thickBot="1" x14ac:dyDescent="0.3">
      <c r="A42" s="88"/>
      <c r="B42" s="83"/>
      <c r="C42" s="83"/>
      <c r="D42" s="83"/>
      <c r="E42" s="83"/>
      <c r="F42" s="83"/>
      <c r="G42" s="91" t="s">
        <v>198</v>
      </c>
      <c r="H42" s="124">
        <v>160</v>
      </c>
      <c r="I42" s="85" t="s">
        <v>105</v>
      </c>
      <c r="J42" s="67"/>
      <c r="K42" s="67"/>
      <c r="L42" s="67"/>
      <c r="M42" s="67"/>
      <c r="N42" s="67"/>
      <c r="O42" s="67"/>
      <c r="P42" s="67"/>
      <c r="Q42" s="67"/>
      <c r="R42" s="67"/>
      <c r="S42" s="67"/>
      <c r="T42" s="67"/>
      <c r="U42" s="67"/>
      <c r="V42" s="67"/>
      <c r="W42" s="67"/>
      <c r="X42" s="67"/>
      <c r="Y42" s="67"/>
      <c r="Z42" s="67"/>
      <c r="AA42" s="56"/>
    </row>
    <row r="43" spans="1:27" x14ac:dyDescent="0.2">
      <c r="A43" s="67"/>
      <c r="B43" s="67"/>
      <c r="C43" s="67"/>
      <c r="D43" s="67"/>
      <c r="E43" s="67"/>
      <c r="F43" s="67"/>
      <c r="G43" s="68"/>
      <c r="H43" s="67"/>
      <c r="I43" s="67"/>
      <c r="J43" s="67"/>
      <c r="K43" s="67"/>
      <c r="L43" s="67"/>
      <c r="M43" s="67"/>
      <c r="N43" s="67"/>
      <c r="O43" s="67"/>
      <c r="P43" s="67"/>
      <c r="Q43" s="67"/>
      <c r="R43" s="67"/>
      <c r="S43" s="67"/>
      <c r="T43" s="67"/>
      <c r="U43" s="67"/>
      <c r="V43" s="67"/>
      <c r="W43" s="67"/>
      <c r="X43" s="67"/>
      <c r="Y43" s="67"/>
      <c r="Z43" s="67"/>
      <c r="AA43" s="56"/>
    </row>
    <row r="44" spans="1:27" ht="16" thickBot="1" x14ac:dyDescent="0.25">
      <c r="A44" s="70" t="s">
        <v>319</v>
      </c>
      <c r="B44" s="67"/>
      <c r="C44" s="67"/>
      <c r="D44" s="67"/>
      <c r="E44" s="67"/>
      <c r="F44" s="67"/>
      <c r="G44" s="68"/>
      <c r="H44" s="67"/>
      <c r="I44" s="67"/>
      <c r="J44" s="67"/>
      <c r="K44" s="67"/>
      <c r="L44" s="67"/>
      <c r="M44" s="67"/>
      <c r="N44" s="67"/>
      <c r="O44" s="67"/>
      <c r="P44" s="67"/>
      <c r="Q44" s="67"/>
      <c r="R44" s="67"/>
      <c r="S44" s="67"/>
      <c r="T44" s="67"/>
      <c r="U44" s="67"/>
      <c r="V44" s="67"/>
      <c r="W44" s="67"/>
      <c r="X44" s="67"/>
      <c r="Y44" s="67"/>
      <c r="Z44" s="67"/>
      <c r="AA44" s="56"/>
    </row>
    <row r="45" spans="1:27" ht="17" x14ac:dyDescent="0.25">
      <c r="A45" s="71"/>
      <c r="B45" s="72"/>
      <c r="C45" s="72"/>
      <c r="D45" s="72"/>
      <c r="E45" s="72"/>
      <c r="F45" s="72"/>
      <c r="G45" s="93" t="s">
        <v>342</v>
      </c>
      <c r="H45" s="126">
        <f>Variable_Management!B161*(10^9)</f>
        <v>176.79999999999998</v>
      </c>
      <c r="I45" s="74" t="s">
        <v>218</v>
      </c>
      <c r="J45" s="67"/>
      <c r="K45" s="67"/>
      <c r="L45" s="67"/>
      <c r="M45" s="67"/>
      <c r="N45" s="67"/>
      <c r="O45" s="67"/>
      <c r="P45" s="67"/>
      <c r="Q45" s="67"/>
      <c r="R45" s="67"/>
      <c r="S45" s="67"/>
      <c r="T45" s="67"/>
      <c r="U45" s="67"/>
      <c r="V45" s="67"/>
      <c r="W45" s="67"/>
      <c r="X45" s="67"/>
      <c r="Y45" s="67"/>
      <c r="Z45" s="67"/>
      <c r="AA45" s="56"/>
    </row>
    <row r="46" spans="1:27" ht="17" x14ac:dyDescent="0.25">
      <c r="A46" s="75"/>
      <c r="B46" s="67"/>
      <c r="C46" s="67"/>
      <c r="D46" s="67"/>
      <c r="E46" s="67"/>
      <c r="F46" s="67"/>
      <c r="G46" s="68" t="s">
        <v>529</v>
      </c>
      <c r="H46" s="117">
        <v>17</v>
      </c>
      <c r="I46" s="77" t="s">
        <v>343</v>
      </c>
      <c r="J46" s="67"/>
      <c r="K46" s="67"/>
      <c r="L46" s="67"/>
      <c r="M46" s="67"/>
      <c r="N46" s="67"/>
      <c r="O46" s="67"/>
      <c r="P46" s="67"/>
      <c r="Q46" s="67"/>
      <c r="R46" s="67"/>
      <c r="S46" s="67"/>
      <c r="T46" s="67"/>
      <c r="U46" s="67"/>
      <c r="V46" s="67"/>
      <c r="W46" s="67"/>
      <c r="X46" s="67"/>
      <c r="Y46" s="67"/>
      <c r="Z46" s="67"/>
      <c r="AA46" s="56"/>
    </row>
    <row r="47" spans="1:27" ht="18" thickBot="1" x14ac:dyDescent="0.3">
      <c r="A47" s="88"/>
      <c r="B47" s="83"/>
      <c r="C47" s="83"/>
      <c r="D47" s="83"/>
      <c r="E47" s="83"/>
      <c r="F47" s="83"/>
      <c r="G47" s="91" t="s">
        <v>346</v>
      </c>
      <c r="H47" s="127">
        <f>Variable_Management!B163*(10^9)</f>
        <v>174.93946731234865</v>
      </c>
      <c r="I47" s="85" t="s">
        <v>218</v>
      </c>
      <c r="J47" s="67"/>
      <c r="K47" s="67"/>
      <c r="L47" s="67"/>
      <c r="M47" s="67"/>
      <c r="N47" s="67"/>
      <c r="O47" s="67"/>
      <c r="P47" s="67"/>
      <c r="Q47" s="67"/>
      <c r="R47" s="67"/>
      <c r="S47" s="67"/>
      <c r="T47" s="67"/>
      <c r="U47" s="67"/>
      <c r="V47" s="67"/>
      <c r="W47" s="67"/>
      <c r="X47" s="67"/>
      <c r="Y47" s="67"/>
      <c r="Z47" s="67"/>
      <c r="AA47" s="56"/>
    </row>
    <row r="48" spans="1:27" x14ac:dyDescent="0.2">
      <c r="A48" s="67"/>
      <c r="B48" s="67"/>
      <c r="C48" s="67"/>
      <c r="D48" s="67"/>
      <c r="E48" s="67"/>
      <c r="F48" s="67"/>
      <c r="G48" s="68"/>
      <c r="H48" s="67"/>
      <c r="I48" s="67"/>
      <c r="J48" s="67"/>
      <c r="K48" s="67"/>
      <c r="L48" s="67"/>
      <c r="M48" s="67"/>
      <c r="N48" s="67"/>
      <c r="O48" s="67"/>
      <c r="P48" s="67"/>
      <c r="Q48" s="67"/>
      <c r="R48" s="67"/>
      <c r="S48" s="67"/>
      <c r="T48" s="67"/>
      <c r="U48" s="67"/>
      <c r="V48" s="67"/>
      <c r="W48" s="67"/>
      <c r="X48" s="67"/>
      <c r="Y48" s="67"/>
      <c r="Z48" s="67"/>
      <c r="AA48" s="56"/>
    </row>
    <row r="49" spans="1:27" ht="16" thickBot="1" x14ac:dyDescent="0.25">
      <c r="A49" s="70" t="s">
        <v>320</v>
      </c>
      <c r="B49" s="67"/>
      <c r="C49" s="67"/>
      <c r="D49" s="67"/>
      <c r="E49" s="67"/>
      <c r="F49" s="67"/>
      <c r="G49" s="68"/>
      <c r="H49" s="67"/>
      <c r="I49" s="67"/>
      <c r="J49" s="67"/>
      <c r="K49" s="67"/>
      <c r="L49" s="67"/>
      <c r="M49" s="67"/>
      <c r="N49" s="67"/>
      <c r="O49" s="67"/>
      <c r="P49" s="67"/>
      <c r="Q49" s="67"/>
      <c r="R49" s="67"/>
      <c r="S49" s="67"/>
      <c r="T49" s="67"/>
      <c r="U49" s="67"/>
      <c r="V49" s="67"/>
      <c r="W49" s="67"/>
      <c r="X49" s="67"/>
      <c r="Y49" s="67"/>
      <c r="Z49" s="67"/>
      <c r="AA49" s="56"/>
    </row>
    <row r="50" spans="1:27" ht="17" x14ac:dyDescent="0.25">
      <c r="A50" s="71"/>
      <c r="B50" s="72"/>
      <c r="C50" s="72"/>
      <c r="D50" s="72"/>
      <c r="E50" s="72"/>
      <c r="F50" s="72"/>
      <c r="G50" s="93" t="s">
        <v>348</v>
      </c>
      <c r="H50" s="116">
        <v>4.5</v>
      </c>
      <c r="I50" s="74" t="s">
        <v>10</v>
      </c>
      <c r="J50" s="67"/>
      <c r="K50" s="67"/>
      <c r="L50" s="67"/>
      <c r="M50" s="67"/>
      <c r="N50" s="67"/>
      <c r="O50" s="67"/>
      <c r="P50" s="67"/>
      <c r="Q50" s="67"/>
      <c r="R50" s="67"/>
      <c r="S50" s="67"/>
      <c r="T50" s="67"/>
      <c r="U50" s="67"/>
      <c r="V50" s="67"/>
      <c r="W50" s="67"/>
      <c r="X50" s="67"/>
      <c r="Y50" s="67"/>
      <c r="Z50" s="67"/>
      <c r="AA50" s="56"/>
    </row>
    <row r="51" spans="1:27" ht="17" x14ac:dyDescent="0.25">
      <c r="A51" s="75"/>
      <c r="B51" s="67"/>
      <c r="C51" s="67"/>
      <c r="D51" s="67"/>
      <c r="E51" s="67"/>
      <c r="F51" s="67"/>
      <c r="G51" s="68" t="s">
        <v>347</v>
      </c>
      <c r="H51" s="117">
        <v>4.0999999999999996</v>
      </c>
      <c r="I51" s="77" t="s">
        <v>10</v>
      </c>
      <c r="J51" s="67"/>
      <c r="K51" s="67"/>
      <c r="L51" s="67"/>
      <c r="M51" s="67"/>
      <c r="N51" s="67"/>
      <c r="O51" s="67"/>
      <c r="P51" s="67"/>
      <c r="Q51" s="115">
        <f>VIN_min</f>
        <v>4.8</v>
      </c>
      <c r="R51" s="67"/>
      <c r="S51" s="67"/>
      <c r="T51" s="67"/>
      <c r="U51" s="67"/>
      <c r="V51" s="67"/>
      <c r="W51" s="67"/>
      <c r="X51" s="67"/>
      <c r="Y51" s="67"/>
      <c r="Z51" s="67"/>
      <c r="AA51" s="56"/>
    </row>
    <row r="52" spans="1:27" ht="17" x14ac:dyDescent="0.25">
      <c r="A52" s="75"/>
      <c r="B52" s="67"/>
      <c r="C52" s="67"/>
      <c r="D52" s="67"/>
      <c r="E52" s="67"/>
      <c r="F52" s="67"/>
      <c r="G52" s="68" t="s">
        <v>463</v>
      </c>
      <c r="H52" s="125">
        <f>Ruvlo_top_calc/1000</f>
        <v>50.300000000000011</v>
      </c>
      <c r="I52" s="90" t="s">
        <v>215</v>
      </c>
      <c r="J52" s="67"/>
      <c r="K52" s="67"/>
      <c r="L52" s="67"/>
      <c r="M52" s="67"/>
      <c r="N52" s="67"/>
      <c r="O52" s="67"/>
      <c r="P52" s="67"/>
      <c r="Q52" s="67"/>
      <c r="R52" s="67"/>
      <c r="S52" s="67"/>
      <c r="T52" s="67"/>
      <c r="U52" s="67"/>
      <c r="V52" s="67"/>
      <c r="W52" s="67"/>
      <c r="X52" s="67"/>
      <c r="Y52" s="67"/>
      <c r="Z52" s="67"/>
      <c r="AA52" s="56"/>
    </row>
    <row r="53" spans="1:27" ht="17" x14ac:dyDescent="0.25">
      <c r="A53" s="75"/>
      <c r="B53" s="67"/>
      <c r="C53" s="67"/>
      <c r="D53" s="67"/>
      <c r="E53" s="67"/>
      <c r="F53" s="67"/>
      <c r="G53" s="68" t="s">
        <v>464</v>
      </c>
      <c r="H53" s="117">
        <v>50</v>
      </c>
      <c r="I53" s="90" t="s">
        <v>215</v>
      </c>
      <c r="J53" s="67"/>
      <c r="K53" s="67"/>
      <c r="L53" s="67"/>
      <c r="M53" s="67"/>
      <c r="N53" s="67"/>
      <c r="O53" s="67"/>
      <c r="P53" s="67"/>
      <c r="Q53" s="67"/>
      <c r="R53" s="67"/>
      <c r="S53" s="67"/>
      <c r="T53" s="67"/>
      <c r="U53" s="67"/>
      <c r="V53" s="67"/>
      <c r="W53" s="67"/>
      <c r="X53" s="67"/>
      <c r="Y53" s="67"/>
      <c r="Z53" s="67"/>
      <c r="AA53" s="56"/>
    </row>
    <row r="54" spans="1:27" ht="18" thickBot="1" x14ac:dyDescent="0.3">
      <c r="A54" s="88"/>
      <c r="B54" s="83"/>
      <c r="C54" s="83"/>
      <c r="D54" s="83"/>
      <c r="E54" s="83"/>
      <c r="F54" s="83"/>
      <c r="G54" s="91" t="s">
        <v>465</v>
      </c>
      <c r="H54" s="219">
        <f>IF(Ruvlo_bottom_calc/1000=0,"NA",Ruvlo_bottom_calc/1000)</f>
        <v>25</v>
      </c>
      <c r="I54" s="92" t="s">
        <v>215</v>
      </c>
      <c r="J54" s="67"/>
      <c r="K54" s="67"/>
      <c r="L54" s="67"/>
      <c r="M54" s="67"/>
      <c r="N54" s="67"/>
      <c r="O54" s="67"/>
      <c r="P54" s="67"/>
      <c r="Q54" s="67"/>
      <c r="R54" s="67"/>
      <c r="S54" s="67"/>
      <c r="T54" s="67"/>
      <c r="U54" s="67"/>
      <c r="V54" s="67"/>
      <c r="W54" s="67"/>
      <c r="X54" s="67"/>
      <c r="Y54" s="67"/>
      <c r="Z54" s="67"/>
      <c r="AA54" s="56"/>
    </row>
    <row r="55" spans="1:27" x14ac:dyDescent="0.2">
      <c r="A55" s="67"/>
      <c r="B55" s="67"/>
      <c r="C55" s="67"/>
      <c r="D55" s="67"/>
      <c r="E55" s="67"/>
      <c r="F55" s="67"/>
      <c r="G55" s="68"/>
      <c r="H55" s="67"/>
      <c r="I55" s="67"/>
      <c r="J55" s="67"/>
      <c r="K55" s="67"/>
      <c r="L55" s="67"/>
      <c r="M55" s="67"/>
      <c r="N55" s="67"/>
      <c r="O55" s="67"/>
      <c r="P55" s="67"/>
      <c r="Q55" s="67"/>
      <c r="R55" s="67"/>
      <c r="S55" s="67"/>
      <c r="T55" s="67"/>
      <c r="U55" s="67"/>
      <c r="V55" s="67"/>
      <c r="W55" s="67"/>
      <c r="X55" s="67"/>
      <c r="Y55" s="67"/>
      <c r="Z55" s="67"/>
      <c r="AA55" s="56"/>
    </row>
    <row r="56" spans="1:27" ht="16" thickBot="1" x14ac:dyDescent="0.25">
      <c r="A56" s="70" t="s">
        <v>371</v>
      </c>
      <c r="B56" s="67"/>
      <c r="C56" s="67"/>
      <c r="D56" s="67"/>
      <c r="E56" s="67"/>
      <c r="F56" s="67"/>
      <c r="G56" s="67"/>
      <c r="H56" s="67"/>
      <c r="I56" s="67"/>
      <c r="J56" s="67"/>
      <c r="K56" s="67"/>
      <c r="L56" s="67"/>
      <c r="M56" s="67"/>
      <c r="N56" s="67"/>
      <c r="O56" s="67"/>
      <c r="P56" s="67"/>
      <c r="Q56" s="67"/>
      <c r="R56" s="67"/>
      <c r="S56" s="67"/>
      <c r="T56" s="67"/>
      <c r="U56" s="67"/>
      <c r="V56" s="67"/>
      <c r="W56" s="67"/>
      <c r="X56" s="67"/>
      <c r="Y56" s="67"/>
      <c r="Z56" s="67"/>
      <c r="AA56" s="56"/>
    </row>
    <row r="57" spans="1:27" ht="17" x14ac:dyDescent="0.25">
      <c r="A57" s="94"/>
      <c r="B57" s="72"/>
      <c r="C57" s="72"/>
      <c r="D57" s="72"/>
      <c r="E57" s="72"/>
      <c r="F57" s="72"/>
      <c r="G57" s="95" t="s">
        <v>489</v>
      </c>
      <c r="H57" s="128" t="str">
        <f>VIN_nom&amp;"V"</f>
        <v>5V</v>
      </c>
      <c r="I57" s="74"/>
      <c r="J57" s="67"/>
      <c r="K57" s="67"/>
      <c r="L57" s="67"/>
      <c r="M57" s="67"/>
      <c r="N57" s="67"/>
      <c r="O57" s="67"/>
      <c r="P57" s="67"/>
      <c r="Q57" s="67"/>
      <c r="R57" s="67"/>
      <c r="S57" s="67"/>
      <c r="T57" s="67"/>
      <c r="U57" s="67"/>
      <c r="V57" s="67"/>
      <c r="W57" s="67"/>
      <c r="X57" s="67"/>
      <c r="Y57" s="67"/>
      <c r="Z57" s="67"/>
      <c r="AA57" s="56"/>
    </row>
    <row r="58" spans="1:27" x14ac:dyDescent="0.2">
      <c r="A58" s="75"/>
      <c r="B58" s="67"/>
      <c r="C58" s="67"/>
      <c r="D58" s="67"/>
      <c r="E58" s="67"/>
      <c r="F58" s="67"/>
      <c r="G58" s="67"/>
      <c r="H58" s="129"/>
      <c r="I58" s="77"/>
      <c r="J58" s="67"/>
      <c r="K58" s="67"/>
      <c r="L58" s="67"/>
      <c r="M58" s="67"/>
      <c r="N58" s="67"/>
      <c r="O58" s="67"/>
      <c r="P58" s="67"/>
      <c r="Q58" s="67"/>
      <c r="R58" s="67"/>
      <c r="S58" s="67"/>
      <c r="T58" s="67"/>
      <c r="U58" s="67"/>
      <c r="V58" s="67"/>
      <c r="W58" s="67"/>
      <c r="X58" s="67"/>
      <c r="Y58" s="67"/>
      <c r="Z58" s="67"/>
      <c r="AA58" s="56"/>
    </row>
    <row r="59" spans="1:27" x14ac:dyDescent="0.2">
      <c r="A59" s="96"/>
      <c r="B59" s="67"/>
      <c r="C59" s="67"/>
      <c r="D59" s="67"/>
      <c r="E59" s="67"/>
      <c r="F59" s="67"/>
      <c r="G59" s="97" t="s">
        <v>216</v>
      </c>
      <c r="H59" s="119"/>
      <c r="I59" s="77"/>
      <c r="J59" s="67"/>
      <c r="K59" s="67"/>
      <c r="L59" s="67"/>
      <c r="M59" s="67"/>
      <c r="N59" s="67"/>
      <c r="O59" s="67"/>
      <c r="P59" s="67"/>
      <c r="Q59" s="67"/>
      <c r="R59" s="67"/>
      <c r="S59" s="67"/>
      <c r="T59" s="67"/>
      <c r="U59" s="67"/>
      <c r="V59" s="67"/>
      <c r="W59" s="67"/>
      <c r="X59" s="67"/>
      <c r="Y59" s="67"/>
      <c r="Z59" s="67"/>
      <c r="AA59" s="56"/>
    </row>
    <row r="60" spans="1:27" ht="17" x14ac:dyDescent="0.25">
      <c r="A60" s="96"/>
      <c r="B60" s="67"/>
      <c r="C60" s="67"/>
      <c r="D60" s="67"/>
      <c r="E60" s="67"/>
      <c r="F60" s="67"/>
      <c r="G60" s="68" t="s">
        <v>318</v>
      </c>
      <c r="H60" s="117">
        <v>50</v>
      </c>
      <c r="I60" s="90" t="s">
        <v>215</v>
      </c>
      <c r="J60" s="67"/>
      <c r="K60" s="67"/>
      <c r="L60" s="67"/>
      <c r="M60" s="67"/>
      <c r="N60" s="67"/>
      <c r="O60" s="67"/>
      <c r="P60" s="67"/>
      <c r="Q60" s="67"/>
      <c r="R60" s="67"/>
      <c r="S60" s="67"/>
      <c r="T60" s="67"/>
      <c r="U60" s="67"/>
      <c r="V60" s="67"/>
      <c r="W60" s="67"/>
      <c r="X60" s="67"/>
      <c r="Y60" s="67"/>
      <c r="Z60" s="67"/>
      <c r="AA60" s="56"/>
    </row>
    <row r="61" spans="1:27" ht="17" x14ac:dyDescent="0.25">
      <c r="A61" s="96"/>
      <c r="B61" s="67"/>
      <c r="C61" s="67"/>
      <c r="D61" s="67"/>
      <c r="E61" s="67"/>
      <c r="F61" s="67"/>
      <c r="G61" s="68" t="s">
        <v>294</v>
      </c>
      <c r="H61" s="125">
        <f>RFBB_calc/1000</f>
        <v>0.29585798816568049</v>
      </c>
      <c r="I61" s="90" t="s">
        <v>215</v>
      </c>
      <c r="J61" s="67"/>
      <c r="K61" s="67"/>
      <c r="L61" s="67"/>
      <c r="M61" s="67"/>
      <c r="N61" s="67"/>
      <c r="O61" s="67"/>
      <c r="P61" s="67"/>
      <c r="Q61" s="67"/>
      <c r="R61" s="67"/>
      <c r="S61" s="67"/>
      <c r="T61" s="67"/>
      <c r="U61" s="67"/>
      <c r="V61" s="67"/>
      <c r="W61" s="67"/>
      <c r="X61" s="67"/>
      <c r="Y61" s="67"/>
      <c r="Z61" s="67"/>
      <c r="AA61" s="56"/>
    </row>
    <row r="62" spans="1:27" ht="17" x14ac:dyDescent="0.25">
      <c r="A62" s="96"/>
      <c r="B62" s="67"/>
      <c r="C62" s="67"/>
      <c r="D62" s="67"/>
      <c r="E62" s="67"/>
      <c r="F62" s="67"/>
      <c r="G62" s="68" t="s">
        <v>530</v>
      </c>
      <c r="H62" s="117">
        <v>0.3</v>
      </c>
      <c r="I62" s="90" t="s">
        <v>215</v>
      </c>
      <c r="J62" s="67"/>
      <c r="K62" s="67"/>
      <c r="L62" s="67"/>
      <c r="M62" s="67"/>
      <c r="N62" s="67"/>
      <c r="O62" s="67"/>
      <c r="P62" s="67"/>
      <c r="Q62" s="67"/>
      <c r="R62" s="67"/>
      <c r="S62" s="67"/>
      <c r="T62" s="67"/>
      <c r="U62" s="67"/>
      <c r="V62" s="67"/>
      <c r="W62" s="67"/>
      <c r="X62" s="67"/>
      <c r="Y62" s="67"/>
      <c r="Z62" s="67"/>
      <c r="AA62" s="56"/>
    </row>
    <row r="63" spans="1:27" x14ac:dyDescent="0.2">
      <c r="A63" s="75"/>
      <c r="B63" s="67"/>
      <c r="C63" s="67"/>
      <c r="D63" s="67"/>
      <c r="E63" s="67"/>
      <c r="F63" s="67"/>
      <c r="G63" s="68"/>
      <c r="H63" s="119"/>
      <c r="I63" s="77"/>
      <c r="J63" s="67"/>
      <c r="K63" s="67"/>
      <c r="L63" s="67"/>
      <c r="M63" s="67"/>
      <c r="N63" s="67"/>
      <c r="O63" s="67"/>
      <c r="P63" s="67"/>
      <c r="Q63" s="67"/>
      <c r="R63" s="67"/>
      <c r="S63" s="67"/>
      <c r="T63" s="67"/>
      <c r="U63" s="67"/>
      <c r="V63" s="67"/>
      <c r="W63" s="67"/>
      <c r="X63" s="67"/>
      <c r="Y63" s="67"/>
      <c r="Z63" s="67"/>
      <c r="AA63" s="56"/>
    </row>
    <row r="64" spans="1:27" x14ac:dyDescent="0.2">
      <c r="A64" s="75"/>
      <c r="B64" s="67"/>
      <c r="C64" s="67"/>
      <c r="D64" s="67"/>
      <c r="E64" s="67"/>
      <c r="F64" s="67"/>
      <c r="G64" s="68"/>
      <c r="H64" s="119"/>
      <c r="I64" s="77"/>
      <c r="J64" s="67"/>
      <c r="K64" s="67"/>
      <c r="L64" s="67"/>
      <c r="M64" s="67"/>
      <c r="N64" s="67"/>
      <c r="O64" s="67"/>
      <c r="P64" s="67"/>
      <c r="Q64" s="67"/>
      <c r="R64" s="67"/>
      <c r="S64" s="67"/>
      <c r="T64" s="67"/>
      <c r="U64" s="67"/>
      <c r="V64" s="67"/>
      <c r="W64" s="67"/>
      <c r="X64" s="67"/>
      <c r="Y64" s="67"/>
      <c r="Z64" s="67"/>
      <c r="AA64" s="56"/>
    </row>
    <row r="65" spans="1:27" x14ac:dyDescent="0.2">
      <c r="A65" s="75"/>
      <c r="B65" s="67"/>
      <c r="C65" s="67"/>
      <c r="D65" s="67"/>
      <c r="E65" s="67"/>
      <c r="F65" s="67"/>
      <c r="G65" s="68" t="s">
        <v>550</v>
      </c>
      <c r="H65" s="220">
        <f>fcross_est/1000</f>
        <v>10</v>
      </c>
      <c r="I65" s="77" t="s">
        <v>12</v>
      </c>
      <c r="J65" s="67"/>
      <c r="K65" s="67"/>
      <c r="L65" s="67"/>
      <c r="M65" s="67"/>
      <c r="N65" s="67"/>
      <c r="O65" s="67"/>
      <c r="P65" s="67"/>
      <c r="Q65" s="67"/>
      <c r="R65" s="67"/>
      <c r="S65" s="67"/>
      <c r="T65" s="67"/>
      <c r="U65" s="67"/>
      <c r="V65" s="67"/>
      <c r="W65" s="67"/>
      <c r="X65" s="67"/>
      <c r="Y65" s="67"/>
      <c r="Z65" s="67"/>
      <c r="AA65" s="56"/>
    </row>
    <row r="66" spans="1:27" ht="17" x14ac:dyDescent="0.25">
      <c r="A66" s="75"/>
      <c r="B66" s="67"/>
      <c r="C66" s="67"/>
      <c r="D66" s="67"/>
      <c r="E66" s="67"/>
      <c r="F66" s="67"/>
      <c r="G66" s="68" t="s">
        <v>551</v>
      </c>
      <c r="H66" s="117">
        <v>5</v>
      </c>
      <c r="I66" s="77" t="s">
        <v>12</v>
      </c>
      <c r="J66" s="67"/>
      <c r="K66" s="67"/>
      <c r="L66" s="67"/>
      <c r="M66" s="67"/>
      <c r="N66" s="67"/>
      <c r="O66" s="67"/>
      <c r="P66" s="67"/>
      <c r="Q66" s="67"/>
      <c r="R66" s="67"/>
      <c r="S66" s="67"/>
      <c r="T66" s="67"/>
      <c r="U66" s="67"/>
      <c r="V66" s="67"/>
      <c r="W66" s="67"/>
      <c r="X66" s="67"/>
      <c r="Y66" s="67"/>
      <c r="Z66" s="67"/>
      <c r="AA66" s="56"/>
    </row>
    <row r="67" spans="1:27" x14ac:dyDescent="0.2">
      <c r="A67" s="75"/>
      <c r="B67" s="67"/>
      <c r="C67" s="67"/>
      <c r="D67" s="67"/>
      <c r="E67" s="67"/>
      <c r="F67" s="67"/>
      <c r="G67" s="68"/>
      <c r="H67" s="119"/>
      <c r="I67" s="77"/>
      <c r="J67" s="67"/>
      <c r="K67" s="67"/>
      <c r="L67" s="67" t="str">
        <f>Loop_Modeling!A68</f>
        <v>Crossover Frequency = 4.9 kHz</v>
      </c>
      <c r="M67" s="67"/>
      <c r="N67" s="67"/>
      <c r="O67" s="67"/>
      <c r="P67" s="67"/>
      <c r="Q67" s="67"/>
      <c r="R67" s="67"/>
      <c r="S67" s="67"/>
      <c r="T67" s="67"/>
      <c r="U67" s="67"/>
      <c r="V67" s="67"/>
      <c r="W67" s="67"/>
      <c r="X67" s="67"/>
      <c r="Y67" s="67"/>
      <c r="Z67" s="67"/>
      <c r="AA67" s="56"/>
    </row>
    <row r="68" spans="1:27" ht="16" thickBot="1" x14ac:dyDescent="0.25">
      <c r="A68" s="75"/>
      <c r="B68" s="67"/>
      <c r="C68" s="67"/>
      <c r="D68" s="67"/>
      <c r="E68" s="67"/>
      <c r="F68" s="99" t="s">
        <v>323</v>
      </c>
      <c r="G68" s="99"/>
      <c r="H68" s="130" t="s">
        <v>324</v>
      </c>
      <c r="I68" s="100"/>
      <c r="J68" s="67"/>
      <c r="K68" s="67"/>
      <c r="L68" s="67" t="str">
        <f>Loop_Modeling!A69</f>
        <v>Phase Margin = 92°</v>
      </c>
      <c r="M68" s="67"/>
      <c r="N68" s="67"/>
      <c r="O68" s="67"/>
      <c r="P68" s="67"/>
      <c r="Q68" s="67"/>
      <c r="R68" s="67"/>
      <c r="S68" s="67"/>
      <c r="T68" s="67"/>
      <c r="U68" s="67"/>
      <c r="V68" s="67"/>
      <c r="W68" s="67"/>
      <c r="X68" s="67"/>
      <c r="Y68" s="67"/>
      <c r="Z68" s="67"/>
      <c r="AA68" s="56"/>
    </row>
    <row r="69" spans="1:27" ht="18" thickBot="1" x14ac:dyDescent="0.3">
      <c r="A69" s="75"/>
      <c r="B69" s="67"/>
      <c r="C69" s="67"/>
      <c r="D69" s="67"/>
      <c r="E69" s="68" t="s">
        <v>322</v>
      </c>
      <c r="F69" s="141">
        <f>Rcomp_calc/1000</f>
        <v>31.45878339975086</v>
      </c>
      <c r="G69" s="135" t="s">
        <v>215</v>
      </c>
      <c r="H69" s="132">
        <v>30</v>
      </c>
      <c r="I69" s="90" t="s">
        <v>215</v>
      </c>
      <c r="J69" s="67"/>
      <c r="K69" s="67"/>
      <c r="L69" s="67"/>
      <c r="M69" s="67"/>
      <c r="N69" s="67"/>
      <c r="O69" s="67"/>
      <c r="P69" s="67"/>
      <c r="Q69" s="67"/>
      <c r="R69" s="67"/>
      <c r="S69" s="67"/>
      <c r="T69" s="67"/>
      <c r="U69" s="67"/>
      <c r="V69" s="67"/>
      <c r="W69" s="67"/>
      <c r="X69" s="67"/>
      <c r="Y69" s="67"/>
      <c r="Z69" s="67"/>
      <c r="AA69" s="56"/>
    </row>
    <row r="70" spans="1:27" ht="18" thickBot="1" x14ac:dyDescent="0.3">
      <c r="A70" s="75"/>
      <c r="B70" s="67"/>
      <c r="C70" s="67"/>
      <c r="D70" s="67"/>
      <c r="E70" s="68" t="s">
        <v>448</v>
      </c>
      <c r="F70" s="133">
        <f>CComp_calc*(10^9)</f>
        <v>16.862007298531459</v>
      </c>
      <c r="G70" s="135" t="s">
        <v>218</v>
      </c>
      <c r="H70" s="132">
        <v>18</v>
      </c>
      <c r="I70" s="77" t="s">
        <v>218</v>
      </c>
      <c r="J70" s="67"/>
      <c r="K70" s="67"/>
      <c r="L70" s="67"/>
      <c r="M70" s="67"/>
      <c r="N70" s="67"/>
      <c r="O70" s="67"/>
      <c r="P70" s="67"/>
      <c r="Q70" s="67"/>
      <c r="R70" s="67"/>
      <c r="S70" s="67"/>
      <c r="T70" s="67"/>
      <c r="U70" s="67"/>
      <c r="V70" s="67"/>
      <c r="W70" s="67"/>
      <c r="X70" s="67"/>
      <c r="Y70" s="67"/>
      <c r="Z70" s="67"/>
      <c r="AA70" s="56"/>
    </row>
    <row r="71" spans="1:27" ht="18" thickBot="1" x14ac:dyDescent="0.3">
      <c r="A71" s="88"/>
      <c r="B71" s="83"/>
      <c r="C71" s="83"/>
      <c r="D71" s="83"/>
      <c r="E71" s="91" t="s">
        <v>449</v>
      </c>
      <c r="F71" s="131">
        <f>Variable_Management!B231*(10^12)</f>
        <v>23.487080215480894</v>
      </c>
      <c r="G71" s="136" t="s">
        <v>217</v>
      </c>
      <c r="H71" s="124">
        <v>33</v>
      </c>
      <c r="I71" s="85" t="s">
        <v>217</v>
      </c>
      <c r="J71" s="67"/>
      <c r="K71" s="67"/>
      <c r="L71" s="67"/>
      <c r="M71" s="67"/>
      <c r="N71" s="67"/>
      <c r="O71" s="67"/>
      <c r="P71" s="67"/>
      <c r="Q71" s="67"/>
      <c r="R71" s="67"/>
      <c r="S71" s="67"/>
      <c r="T71" s="67"/>
      <c r="U71" s="67"/>
      <c r="V71" s="67"/>
      <c r="W71" s="67"/>
      <c r="X71" s="67"/>
      <c r="Y71" s="67"/>
      <c r="Z71" s="67"/>
      <c r="AA71" s="56"/>
    </row>
    <row r="72" spans="1:27" x14ac:dyDescent="0.2">
      <c r="A72" s="67"/>
      <c r="B72" s="67"/>
      <c r="C72" s="67"/>
      <c r="D72" s="67"/>
      <c r="E72" s="68"/>
      <c r="F72" s="101"/>
      <c r="G72" s="68"/>
      <c r="H72" s="98"/>
      <c r="I72" s="67"/>
      <c r="J72" s="67"/>
      <c r="K72" s="67"/>
      <c r="L72" s="67"/>
      <c r="M72" s="67"/>
      <c r="N72" s="67"/>
      <c r="O72" s="67"/>
      <c r="P72" s="67"/>
      <c r="Q72" s="67"/>
      <c r="R72" s="67"/>
      <c r="S72" s="67"/>
      <c r="T72" s="67"/>
      <c r="U72" s="67"/>
      <c r="V72" s="67"/>
      <c r="W72" s="67"/>
      <c r="X72" s="67"/>
      <c r="Y72" s="67"/>
      <c r="Z72" s="67"/>
      <c r="AA72" s="56"/>
    </row>
    <row r="73" spans="1:27" ht="24" x14ac:dyDescent="0.3">
      <c r="A73" s="102" t="s">
        <v>321</v>
      </c>
      <c r="B73" s="103"/>
      <c r="C73" s="103"/>
      <c r="D73" s="103"/>
      <c r="E73" s="103"/>
      <c r="F73" s="103"/>
      <c r="G73" s="104"/>
      <c r="H73" s="103"/>
      <c r="I73" s="103"/>
      <c r="J73" s="103"/>
      <c r="K73" s="103"/>
      <c r="L73" s="103"/>
      <c r="M73" s="103"/>
      <c r="N73" s="103"/>
      <c r="O73" s="103"/>
      <c r="P73" s="103"/>
      <c r="Q73" s="103"/>
      <c r="R73" s="103"/>
      <c r="S73" s="103"/>
      <c r="T73" s="105"/>
      <c r="U73" s="105"/>
      <c r="V73" s="105"/>
      <c r="W73" s="105"/>
      <c r="X73" s="105"/>
      <c r="Y73" s="105"/>
      <c r="Z73" s="105"/>
    </row>
    <row r="74" spans="1:27"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56"/>
    </row>
    <row r="75" spans="1:27" ht="16" thickBot="1" x14ac:dyDescent="0.25">
      <c r="A75" s="106" t="s">
        <v>399</v>
      </c>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56"/>
    </row>
    <row r="76" spans="1:27" x14ac:dyDescent="0.2">
      <c r="A76" s="71"/>
      <c r="B76" s="72"/>
      <c r="C76" s="72"/>
      <c r="D76" s="72"/>
      <c r="E76" s="72"/>
      <c r="F76" s="72"/>
      <c r="G76" s="107" t="s">
        <v>387</v>
      </c>
      <c r="H76" s="116">
        <v>117</v>
      </c>
      <c r="I76" s="108" t="s">
        <v>394</v>
      </c>
      <c r="J76" s="98"/>
      <c r="K76" s="98"/>
      <c r="L76" s="98"/>
      <c r="M76" s="98"/>
      <c r="N76" s="98"/>
      <c r="O76" s="98"/>
      <c r="P76" s="98"/>
      <c r="Q76" s="98"/>
      <c r="R76" s="98"/>
      <c r="S76" s="98"/>
      <c r="T76" s="98"/>
      <c r="U76" s="98"/>
      <c r="V76" s="98"/>
      <c r="W76" s="98"/>
      <c r="X76" s="98"/>
      <c r="Y76" s="98"/>
      <c r="Z76" s="98"/>
      <c r="AA76" s="56"/>
    </row>
    <row r="77" spans="1:27" x14ac:dyDescent="0.2">
      <c r="A77" s="96"/>
      <c r="B77" s="67"/>
      <c r="C77" s="67"/>
      <c r="D77" s="67"/>
      <c r="E77" s="67"/>
      <c r="F77" s="67"/>
      <c r="G77" s="109" t="s">
        <v>388</v>
      </c>
      <c r="H77" s="117">
        <v>32</v>
      </c>
      <c r="I77" s="110" t="s">
        <v>395</v>
      </c>
      <c r="J77" s="98"/>
      <c r="K77" s="98"/>
      <c r="L77" s="98"/>
      <c r="M77" s="98"/>
      <c r="N77" s="98"/>
      <c r="O77" s="98"/>
      <c r="P77" s="98"/>
      <c r="Q77" s="98"/>
      <c r="R77" s="98"/>
      <c r="S77" s="98"/>
      <c r="T77" s="98"/>
      <c r="U77" s="98"/>
      <c r="V77" s="98"/>
      <c r="W77" s="98"/>
      <c r="X77" s="98"/>
      <c r="Y77" s="98"/>
      <c r="Z77" s="98"/>
      <c r="AA77" s="56"/>
    </row>
    <row r="78" spans="1:27" x14ac:dyDescent="0.2">
      <c r="A78" s="96"/>
      <c r="B78" s="67"/>
      <c r="C78" s="67"/>
      <c r="D78" s="67"/>
      <c r="E78" s="67"/>
      <c r="F78" s="67"/>
      <c r="G78" s="109" t="s">
        <v>389</v>
      </c>
      <c r="H78" s="117">
        <v>8</v>
      </c>
      <c r="I78" s="110" t="s">
        <v>395</v>
      </c>
      <c r="J78" s="98"/>
      <c r="K78" s="98"/>
      <c r="L78" s="98"/>
      <c r="M78" s="98"/>
      <c r="N78" s="98"/>
      <c r="O78" s="98"/>
      <c r="P78" s="98"/>
      <c r="Q78" s="98"/>
      <c r="R78" s="98"/>
      <c r="S78" s="98"/>
      <c r="T78" s="98"/>
      <c r="U78" s="98"/>
      <c r="V78" s="98"/>
      <c r="W78" s="98"/>
      <c r="X78" s="98"/>
      <c r="Y78" s="98"/>
      <c r="Z78" s="98"/>
      <c r="AA78" s="56"/>
    </row>
    <row r="79" spans="1:27" x14ac:dyDescent="0.2">
      <c r="A79" s="75"/>
      <c r="B79" s="67"/>
      <c r="C79" s="67"/>
      <c r="D79" s="67"/>
      <c r="E79" s="67"/>
      <c r="F79" s="67"/>
      <c r="G79" s="109" t="s">
        <v>390</v>
      </c>
      <c r="H79" s="117">
        <v>9</v>
      </c>
      <c r="I79" s="110" t="s">
        <v>395</v>
      </c>
      <c r="J79" s="98"/>
      <c r="K79" s="98"/>
      <c r="L79" s="98"/>
      <c r="M79" s="98"/>
      <c r="N79" s="98"/>
      <c r="O79" s="98"/>
      <c r="P79" s="98"/>
      <c r="Q79" s="98"/>
      <c r="R79" s="98"/>
      <c r="S79" s="98"/>
      <c r="T79" s="98"/>
      <c r="U79" s="98"/>
      <c r="V79" s="98"/>
      <c r="W79" s="98"/>
      <c r="X79" s="98"/>
      <c r="Y79" s="98"/>
      <c r="Z79" s="98"/>
      <c r="AA79" s="56"/>
    </row>
    <row r="80" spans="1:27" x14ac:dyDescent="0.2">
      <c r="A80" s="75"/>
      <c r="B80" s="67"/>
      <c r="C80" s="67"/>
      <c r="D80" s="67"/>
      <c r="E80" s="67"/>
      <c r="F80" s="67"/>
      <c r="G80" s="109" t="s">
        <v>391</v>
      </c>
      <c r="H80" s="117">
        <v>0.7</v>
      </c>
      <c r="I80" s="110" t="s">
        <v>396</v>
      </c>
      <c r="J80" s="98"/>
      <c r="K80" s="98"/>
      <c r="L80" s="98"/>
      <c r="M80" s="98"/>
      <c r="N80" s="98"/>
      <c r="O80" s="98"/>
      <c r="P80" s="98"/>
      <c r="Q80" s="98"/>
      <c r="R80" s="98"/>
      <c r="S80" s="98"/>
      <c r="T80" s="98"/>
      <c r="U80" s="98"/>
      <c r="V80" s="98"/>
      <c r="W80" s="98"/>
      <c r="X80" s="98"/>
      <c r="Y80" s="98"/>
      <c r="Z80" s="98"/>
      <c r="AA80" s="56"/>
    </row>
    <row r="81" spans="1:27" x14ac:dyDescent="0.2">
      <c r="A81" s="75"/>
      <c r="B81" s="67"/>
      <c r="C81" s="67"/>
      <c r="D81" s="67"/>
      <c r="E81" s="67"/>
      <c r="F81" s="67"/>
      <c r="G81" s="109" t="s">
        <v>392</v>
      </c>
      <c r="H81" s="117">
        <v>15.2</v>
      </c>
      <c r="I81" s="110" t="s">
        <v>397</v>
      </c>
      <c r="J81" s="98"/>
      <c r="K81" s="98"/>
      <c r="L81" s="98"/>
      <c r="M81" s="98"/>
      <c r="N81" s="98"/>
      <c r="O81" s="98"/>
      <c r="P81" s="98"/>
      <c r="Q81" s="98"/>
      <c r="R81" s="98"/>
      <c r="S81" s="98"/>
      <c r="T81" s="98"/>
      <c r="U81" s="98"/>
      <c r="V81" s="98"/>
      <c r="W81" s="98"/>
      <c r="X81" s="98"/>
      <c r="Y81" s="98"/>
      <c r="Z81" s="98"/>
      <c r="AA81" s="56"/>
    </row>
    <row r="82" spans="1:27" ht="16" thickBot="1" x14ac:dyDescent="0.25">
      <c r="A82" s="88"/>
      <c r="B82" s="83"/>
      <c r="C82" s="83"/>
      <c r="D82" s="83"/>
      <c r="E82" s="83"/>
      <c r="F82" s="83"/>
      <c r="G82" s="111" t="s">
        <v>393</v>
      </c>
      <c r="H82" s="124">
        <v>3</v>
      </c>
      <c r="I82" s="112" t="s">
        <v>10</v>
      </c>
      <c r="J82" s="98"/>
      <c r="K82" s="98"/>
      <c r="L82" s="98"/>
      <c r="M82" s="98"/>
      <c r="N82" s="98"/>
      <c r="O82" s="98"/>
      <c r="P82" s="98"/>
      <c r="Q82" s="98"/>
      <c r="R82" s="98"/>
      <c r="S82" s="98"/>
      <c r="T82" s="98"/>
      <c r="U82" s="98"/>
      <c r="V82" s="98"/>
      <c r="W82" s="98"/>
      <c r="X82" s="98"/>
      <c r="Y82" s="98"/>
      <c r="Z82" s="98"/>
      <c r="AA82" s="56"/>
    </row>
    <row r="83" spans="1:27" x14ac:dyDescent="0.2">
      <c r="A83" s="67"/>
      <c r="B83" s="67"/>
      <c r="C83" s="67"/>
      <c r="D83" s="67"/>
      <c r="E83" s="67"/>
      <c r="F83" s="67"/>
      <c r="G83" s="68"/>
      <c r="H83" s="67"/>
      <c r="I83" s="67"/>
      <c r="J83" s="67"/>
      <c r="K83" s="67"/>
      <c r="L83" s="67"/>
      <c r="M83" s="67"/>
      <c r="N83" s="67"/>
      <c r="O83" s="67"/>
      <c r="P83" s="67"/>
      <c r="Q83" s="67"/>
      <c r="R83" s="67"/>
      <c r="S83" s="67"/>
      <c r="T83" s="67"/>
      <c r="U83" s="67"/>
      <c r="V83" s="67"/>
      <c r="W83" s="67"/>
      <c r="X83" s="67"/>
      <c r="Y83" s="67"/>
      <c r="Z83" s="67"/>
      <c r="AA83" s="56"/>
    </row>
    <row r="84" spans="1:27" ht="16" thickBot="1" x14ac:dyDescent="0.25">
      <c r="A84" s="106" t="s">
        <v>398</v>
      </c>
      <c r="B84" s="67"/>
      <c r="C84" s="67"/>
      <c r="D84" s="67"/>
      <c r="E84" s="67"/>
      <c r="F84" s="67"/>
      <c r="G84" s="68"/>
      <c r="H84" s="67"/>
      <c r="I84" s="67"/>
      <c r="J84" s="67"/>
      <c r="K84" s="67"/>
      <c r="L84" s="67"/>
      <c r="M84" s="67"/>
      <c r="N84" s="67"/>
      <c r="O84" s="67"/>
      <c r="P84" s="67"/>
      <c r="Q84" s="67"/>
      <c r="R84" s="67"/>
      <c r="S84" s="67"/>
      <c r="T84" s="67"/>
      <c r="U84" s="67"/>
      <c r="V84" s="67"/>
      <c r="W84" s="67"/>
      <c r="X84" s="67"/>
      <c r="Y84" s="67"/>
      <c r="Z84" s="67"/>
      <c r="AA84" s="56"/>
    </row>
    <row r="85" spans="1:27" ht="17" x14ac:dyDescent="0.25">
      <c r="A85" s="71"/>
      <c r="B85" s="72"/>
      <c r="C85" s="72"/>
      <c r="D85" s="72"/>
      <c r="E85" s="72"/>
      <c r="F85" s="72"/>
      <c r="G85" s="93" t="s">
        <v>492</v>
      </c>
      <c r="H85" s="134">
        <f>IOUT</f>
        <v>0.01</v>
      </c>
      <c r="I85" s="74" t="s">
        <v>11</v>
      </c>
      <c r="J85" s="98"/>
      <c r="K85" s="98"/>
      <c r="L85" s="98"/>
      <c r="M85" s="98"/>
      <c r="N85" s="98"/>
      <c r="O85" s="98"/>
      <c r="P85" s="98"/>
      <c r="Q85" s="98"/>
      <c r="R85" s="98"/>
      <c r="S85" s="98"/>
      <c r="T85" s="98"/>
      <c r="U85" s="98"/>
      <c r="V85" s="98"/>
      <c r="W85" s="98"/>
      <c r="X85" s="98"/>
      <c r="Y85" s="98"/>
      <c r="Z85" s="98"/>
      <c r="AA85" s="56"/>
    </row>
    <row r="86" spans="1:27" ht="17" x14ac:dyDescent="0.25">
      <c r="A86" s="75"/>
      <c r="B86" s="67"/>
      <c r="C86" s="67"/>
      <c r="D86" s="67"/>
      <c r="E86" s="67"/>
      <c r="F86" s="67"/>
      <c r="G86" s="68" t="s">
        <v>400</v>
      </c>
      <c r="H86" s="117">
        <v>1250</v>
      </c>
      <c r="I86" s="77" t="s">
        <v>186</v>
      </c>
      <c r="J86" s="98"/>
      <c r="K86" s="98"/>
      <c r="L86" s="98"/>
      <c r="M86" s="98"/>
      <c r="N86" s="98"/>
      <c r="O86" s="98"/>
      <c r="P86" s="98"/>
      <c r="Q86" s="98"/>
      <c r="R86" s="98"/>
      <c r="S86" s="98"/>
      <c r="T86" s="98"/>
      <c r="U86" s="98"/>
      <c r="V86" s="98"/>
      <c r="W86" s="98"/>
      <c r="X86" s="98"/>
      <c r="Y86" s="98"/>
      <c r="Z86" s="98"/>
      <c r="AA86" s="56"/>
    </row>
    <row r="87" spans="1:27" ht="16" thickBot="1" x14ac:dyDescent="0.25">
      <c r="A87" s="88"/>
      <c r="B87" s="83"/>
      <c r="C87" s="83"/>
      <c r="D87" s="83"/>
      <c r="E87" s="83"/>
      <c r="F87" s="83"/>
      <c r="G87" s="91" t="s">
        <v>408</v>
      </c>
      <c r="H87" s="124">
        <v>17</v>
      </c>
      <c r="I87" s="85" t="s">
        <v>395</v>
      </c>
      <c r="J87" s="98"/>
      <c r="K87" s="98"/>
      <c r="L87" s="98"/>
      <c r="M87" s="98"/>
      <c r="N87" s="98"/>
      <c r="O87" s="98"/>
      <c r="P87" s="98"/>
      <c r="Q87" s="98"/>
      <c r="R87" s="98"/>
      <c r="S87" s="98"/>
      <c r="T87" s="98"/>
      <c r="U87" s="98"/>
      <c r="V87" s="98"/>
      <c r="W87" s="98"/>
      <c r="X87" s="98"/>
      <c r="Y87" s="98"/>
      <c r="Z87" s="98"/>
      <c r="AA87" s="56"/>
    </row>
    <row r="88" spans="1:27" x14ac:dyDescent="0.2">
      <c r="A88" s="67"/>
      <c r="B88" s="67"/>
      <c r="C88" s="67"/>
      <c r="D88" s="67"/>
      <c r="E88" s="67"/>
      <c r="F88" s="67"/>
      <c r="G88" s="68"/>
      <c r="H88" s="67"/>
      <c r="I88" s="67"/>
      <c r="J88" s="67"/>
      <c r="K88" s="67"/>
      <c r="L88" s="67"/>
      <c r="M88" s="67"/>
      <c r="N88" s="67"/>
      <c r="O88" s="67"/>
      <c r="P88" s="67"/>
      <c r="Q88" s="67"/>
      <c r="R88" s="67"/>
      <c r="S88" s="67"/>
      <c r="T88" s="67"/>
      <c r="U88" s="67"/>
      <c r="V88" s="67"/>
      <c r="W88" s="67"/>
      <c r="X88" s="67"/>
      <c r="Y88" s="67"/>
      <c r="Z88" s="67"/>
      <c r="AA88" s="56"/>
    </row>
    <row r="89" spans="1:27" x14ac:dyDescent="0.2">
      <c r="A89" s="67"/>
      <c r="B89" s="67"/>
      <c r="C89" s="67"/>
      <c r="D89" s="67"/>
      <c r="E89" s="67"/>
      <c r="F89" s="67"/>
      <c r="G89" s="68"/>
      <c r="H89" s="67"/>
      <c r="I89" s="67"/>
      <c r="J89" s="67"/>
      <c r="K89" s="67"/>
      <c r="L89" s="67"/>
      <c r="M89" s="67"/>
      <c r="N89" s="67"/>
      <c r="O89" s="67"/>
      <c r="P89" s="67"/>
      <c r="Q89" s="67"/>
      <c r="R89" s="67"/>
      <c r="S89" s="67"/>
      <c r="T89" s="67"/>
      <c r="U89" s="67"/>
      <c r="V89" s="67"/>
      <c r="W89" s="67"/>
      <c r="X89" s="67"/>
      <c r="Y89" s="67"/>
      <c r="Z89" s="67"/>
      <c r="AA89" s="56"/>
    </row>
    <row r="90" spans="1:27" x14ac:dyDescent="0.2">
      <c r="A90" s="67"/>
      <c r="B90" s="67"/>
      <c r="C90" s="67"/>
      <c r="D90" s="67"/>
      <c r="E90" s="67"/>
      <c r="F90" s="67"/>
      <c r="G90" s="68"/>
      <c r="H90" s="67"/>
      <c r="I90" s="67"/>
      <c r="J90" s="67"/>
      <c r="K90" s="67"/>
      <c r="L90" s="67"/>
      <c r="M90" s="67"/>
      <c r="N90" s="67"/>
      <c r="O90" s="67"/>
      <c r="P90" s="67"/>
      <c r="Q90" s="67"/>
      <c r="R90" s="67"/>
      <c r="S90" s="67"/>
      <c r="T90" s="67"/>
      <c r="U90" s="67"/>
      <c r="V90" s="67"/>
      <c r="W90" s="67"/>
      <c r="X90" s="67"/>
      <c r="Y90" s="67"/>
      <c r="Z90" s="67"/>
      <c r="AA90" s="56"/>
    </row>
    <row r="91" spans="1:27" x14ac:dyDescent="0.2">
      <c r="A91" s="67"/>
      <c r="B91" s="67"/>
      <c r="C91" s="67"/>
      <c r="D91" s="67"/>
      <c r="E91" s="67"/>
      <c r="F91" s="67"/>
      <c r="G91" s="68"/>
      <c r="H91" s="67"/>
      <c r="I91" s="67"/>
      <c r="J91" s="67"/>
      <c r="K91" s="67"/>
      <c r="L91" s="67"/>
      <c r="M91" s="67"/>
      <c r="N91" s="67"/>
      <c r="O91" s="67"/>
      <c r="P91" s="67"/>
      <c r="Q91" s="67"/>
      <c r="R91" s="67"/>
      <c r="S91" s="67"/>
      <c r="T91" s="67"/>
      <c r="U91" s="67"/>
      <c r="V91" s="67"/>
      <c r="W91" s="67"/>
      <c r="X91" s="67"/>
      <c r="Y91" s="67"/>
      <c r="Z91" s="67"/>
      <c r="AA91" s="56"/>
    </row>
    <row r="92" spans="1:27" x14ac:dyDescent="0.2">
      <c r="A92" s="67"/>
      <c r="B92" s="67"/>
      <c r="C92" s="67"/>
      <c r="D92" s="67"/>
      <c r="E92" s="67"/>
      <c r="F92" s="67"/>
      <c r="G92" s="68"/>
      <c r="H92" s="67"/>
      <c r="I92" s="67"/>
      <c r="J92" s="67"/>
      <c r="K92" s="67"/>
      <c r="L92" s="67"/>
      <c r="M92" s="67"/>
      <c r="N92" s="67"/>
      <c r="O92" s="67"/>
      <c r="P92" s="67"/>
      <c r="Q92" s="67"/>
      <c r="R92" s="67"/>
      <c r="S92" s="67"/>
      <c r="T92" s="67"/>
      <c r="U92" s="67"/>
      <c r="V92" s="67"/>
      <c r="W92" s="67"/>
      <c r="X92" s="67"/>
      <c r="Y92" s="67"/>
      <c r="Z92" s="67"/>
      <c r="AA92" s="56"/>
    </row>
    <row r="93" spans="1:27" x14ac:dyDescent="0.2">
      <c r="A93" s="67"/>
      <c r="B93" s="67"/>
      <c r="C93" s="67"/>
      <c r="D93" s="67"/>
      <c r="E93" s="67"/>
      <c r="F93" s="67"/>
      <c r="G93" s="68"/>
      <c r="H93" s="67"/>
      <c r="I93" s="67"/>
      <c r="J93" s="67"/>
      <c r="K93" s="67"/>
      <c r="L93" s="67"/>
      <c r="M93" s="67"/>
      <c r="N93" s="67"/>
      <c r="O93" s="67"/>
      <c r="P93" s="67"/>
      <c r="Q93" s="67"/>
      <c r="R93" s="67"/>
      <c r="S93" s="67"/>
      <c r="T93" s="67"/>
      <c r="U93" s="67"/>
      <c r="V93" s="67"/>
      <c r="W93" s="67"/>
      <c r="X93" s="67"/>
      <c r="Y93" s="67"/>
      <c r="Z93" s="67"/>
      <c r="AA93" s="56"/>
    </row>
    <row r="94" spans="1:27" x14ac:dyDescent="0.2">
      <c r="A94" s="67"/>
      <c r="B94" s="67"/>
      <c r="C94" s="67"/>
      <c r="D94" s="67"/>
      <c r="E94" s="67"/>
      <c r="F94" s="67"/>
      <c r="G94" s="68"/>
      <c r="H94" s="67"/>
      <c r="I94" s="67"/>
      <c r="J94" s="67"/>
      <c r="K94" s="67"/>
      <c r="L94" s="67"/>
      <c r="M94" s="67"/>
      <c r="N94" s="67"/>
      <c r="O94" s="67"/>
      <c r="P94" s="67"/>
      <c r="Q94" s="67"/>
      <c r="R94" s="67"/>
      <c r="S94" s="67"/>
      <c r="T94" s="67"/>
      <c r="U94" s="67"/>
      <c r="V94" s="67"/>
      <c r="W94" s="67"/>
      <c r="X94" s="67"/>
      <c r="Y94" s="67"/>
      <c r="Z94" s="67"/>
      <c r="AA94" s="56"/>
    </row>
    <row r="95" spans="1:27" x14ac:dyDescent="0.2">
      <c r="A95" s="67"/>
      <c r="B95" s="67"/>
      <c r="C95" s="67"/>
      <c r="D95" s="67"/>
      <c r="E95" s="67"/>
      <c r="F95" s="67"/>
      <c r="G95" s="68"/>
      <c r="H95" s="67"/>
      <c r="I95" s="67"/>
      <c r="J95" s="67"/>
      <c r="K95" s="67"/>
      <c r="L95" s="67"/>
      <c r="M95" s="67"/>
      <c r="N95" s="67"/>
      <c r="O95" s="67"/>
      <c r="P95" s="67"/>
      <c r="Q95" s="67"/>
      <c r="R95" s="67"/>
      <c r="S95" s="67"/>
      <c r="T95" s="67"/>
      <c r="U95" s="67"/>
      <c r="V95" s="67"/>
      <c r="W95" s="67"/>
      <c r="X95" s="67"/>
      <c r="Y95" s="67"/>
      <c r="Z95" s="67"/>
      <c r="AA95" s="56"/>
    </row>
    <row r="96" spans="1:27" x14ac:dyDescent="0.2">
      <c r="A96" s="67"/>
      <c r="B96" s="67"/>
      <c r="C96" s="67"/>
      <c r="D96" s="67"/>
      <c r="E96" s="67"/>
      <c r="F96" s="67"/>
      <c r="G96" s="68"/>
      <c r="H96" s="67"/>
      <c r="I96" s="67"/>
      <c r="J96" s="67"/>
      <c r="K96" s="67"/>
      <c r="L96" s="67"/>
      <c r="M96" s="67"/>
      <c r="N96" s="67"/>
      <c r="O96" s="67"/>
      <c r="P96" s="67"/>
      <c r="Q96" s="67"/>
      <c r="R96" s="67"/>
      <c r="S96" s="67"/>
      <c r="T96" s="67"/>
      <c r="U96" s="67"/>
      <c r="V96" s="67"/>
      <c r="W96" s="67"/>
      <c r="X96" s="67"/>
      <c r="Y96" s="67"/>
      <c r="Z96" s="67"/>
      <c r="AA96" s="56"/>
    </row>
    <row r="97" spans="1:27" x14ac:dyDescent="0.2">
      <c r="A97" s="67"/>
      <c r="B97" s="67"/>
      <c r="C97" s="67"/>
      <c r="D97" s="67"/>
      <c r="E97" s="67"/>
      <c r="F97" s="67"/>
      <c r="G97" s="68"/>
      <c r="H97" s="67"/>
      <c r="I97" s="67"/>
      <c r="J97" s="67"/>
      <c r="K97" s="67"/>
      <c r="L97" s="67"/>
      <c r="M97" s="67"/>
      <c r="N97" s="67"/>
      <c r="O97" s="67"/>
      <c r="P97" s="67"/>
      <c r="Q97" s="67"/>
      <c r="R97" s="67"/>
      <c r="S97" s="67"/>
      <c r="T97" s="67"/>
      <c r="U97" s="67"/>
      <c r="V97" s="67"/>
      <c r="W97" s="67"/>
      <c r="X97" s="67"/>
      <c r="Y97" s="67"/>
      <c r="Z97" s="67"/>
      <c r="AA97" s="56"/>
    </row>
    <row r="98" spans="1:27" x14ac:dyDescent="0.2">
      <c r="A98" s="67"/>
      <c r="B98" s="67"/>
      <c r="C98" s="67"/>
      <c r="D98" s="67"/>
      <c r="E98" s="67"/>
      <c r="F98" s="67"/>
      <c r="G98" s="68"/>
      <c r="H98" s="67"/>
      <c r="I98" s="67"/>
      <c r="J98" s="67"/>
      <c r="K98" s="67"/>
      <c r="L98" s="67"/>
      <c r="M98" s="67"/>
      <c r="N98" s="67"/>
      <c r="O98" s="67"/>
      <c r="P98" s="67"/>
      <c r="Q98" s="67"/>
      <c r="R98" s="67"/>
      <c r="S98" s="67"/>
      <c r="T98" s="67"/>
      <c r="U98" s="67"/>
      <c r="V98" s="67"/>
      <c r="W98" s="67"/>
      <c r="X98" s="67"/>
      <c r="Y98" s="67"/>
      <c r="Z98" s="67"/>
      <c r="AA98" s="56"/>
    </row>
    <row r="99" spans="1:27" x14ac:dyDescent="0.2">
      <c r="A99" s="67"/>
      <c r="B99" s="67"/>
      <c r="C99" s="67"/>
      <c r="D99" s="67"/>
      <c r="E99" s="67"/>
      <c r="F99" s="67"/>
      <c r="G99" s="68"/>
      <c r="H99" s="67"/>
      <c r="I99" s="67"/>
      <c r="J99" s="67"/>
      <c r="K99" s="67"/>
      <c r="L99" s="67"/>
      <c r="M99" s="67"/>
      <c r="N99" s="67"/>
      <c r="O99" s="67"/>
      <c r="P99" s="67"/>
      <c r="Q99" s="67"/>
      <c r="R99" s="67"/>
      <c r="S99" s="67"/>
      <c r="T99" s="67"/>
      <c r="U99" s="67"/>
      <c r="V99" s="67"/>
      <c r="W99" s="67"/>
      <c r="X99" s="67"/>
      <c r="Y99" s="67"/>
      <c r="Z99" s="67"/>
      <c r="AA99" s="56"/>
    </row>
    <row r="100" spans="1:27" x14ac:dyDescent="0.2">
      <c r="A100" s="58"/>
      <c r="B100" s="58"/>
      <c r="C100" s="58"/>
      <c r="D100" s="58"/>
      <c r="E100" s="58"/>
      <c r="F100" s="58"/>
      <c r="G100" s="59"/>
      <c r="H100" s="58"/>
      <c r="I100" s="58"/>
      <c r="J100" s="58"/>
      <c r="K100" s="58"/>
      <c r="L100" s="58"/>
      <c r="M100" s="58"/>
      <c r="N100" s="58"/>
      <c r="O100" s="58"/>
      <c r="P100" s="58"/>
      <c r="Q100" s="58"/>
      <c r="R100" s="58"/>
      <c r="S100" s="58"/>
      <c r="T100" s="58"/>
      <c r="U100" s="58"/>
      <c r="V100" s="58"/>
      <c r="W100" s="58"/>
      <c r="X100" s="58"/>
      <c r="Y100" s="58"/>
      <c r="Z100" s="58"/>
      <c r="AA100" s="56"/>
    </row>
  </sheetData>
  <sheetProtection algorithmName="SHA-512" hashValue="IUA5uLyW0mrRZkyPJKKIRFc3+5hN1b0hecgM8dzHCtjOUVEzhalBCWCXogf3HWMbmjeUOfL+5zp1szCxL2zuFA==" saltValue="VgYrN/Jn0z4UXKKRqvjtkQ==" spinCount="100000" sheet="1" objects="1" scenarios="1" selectLockedCells="1"/>
  <mergeCells count="1">
    <mergeCell ref="N3:O3"/>
  </mergeCells>
  <conditionalFormatting sqref="H7">
    <cfRule type="cellIs" dxfId="10" priority="2" operator="greaterThan">
      <formula>VIN_op_max_56</formula>
    </cfRule>
    <cfRule type="cellIs" dxfId="9" priority="17" operator="greaterThan">
      <formula>VIN_op_max</formula>
    </cfRule>
    <cfRule type="cellIs" dxfId="8" priority="18" operator="lessThan">
      <formula>VIN_op_min</formula>
    </cfRule>
  </conditionalFormatting>
  <conditionalFormatting sqref="H8">
    <cfRule type="cellIs" dxfId="7" priority="16" operator="notBetween">
      <formula>$H$7</formula>
      <formula>$H$9</formula>
    </cfRule>
  </conditionalFormatting>
  <conditionalFormatting sqref="H9">
    <cfRule type="cellIs" dxfId="6" priority="1" operator="greaterThan">
      <formula>VIN_op_max_56</formula>
    </cfRule>
    <cfRule type="cellIs" dxfId="5" priority="13" operator="greaterThan">
      <formula>VIN_op_max</formula>
    </cfRule>
    <cfRule type="cellIs" dxfId="4" priority="14" operator="lessThan">
      <formula>VIN_op_min</formula>
    </cfRule>
  </conditionalFormatting>
  <conditionalFormatting sqref="H17">
    <cfRule type="cellIs" dxfId="3" priority="6" operator="greaterThan">
      <formula>$H$16</formula>
    </cfRule>
  </conditionalFormatting>
  <conditionalFormatting sqref="H57">
    <cfRule type="expression" dxfId="1" priority="11">
      <formula>$H$8&gt;$H$9</formula>
    </cfRule>
    <cfRule type="expression" dxfId="0" priority="12">
      <formula>$H$8&lt;$H$7</formula>
    </cfRule>
  </conditionalFormatting>
  <dataValidations count="1">
    <dataValidation type="list" allowBlank="1" showInputMessage="1" showErrorMessage="1" sqref="H18" xr:uid="{B6CBC9E4-52B2-4FA8-BCFD-24B327448BB5}">
      <formula1>CondMode</formula1>
    </dataValidation>
  </dataValidations>
  <hyperlinks>
    <hyperlink ref="N3" location="About!A1" display="TERMS OF USE" xr:uid="{EE270A3B-8816-419E-84BC-D008FEAD0366}"/>
    <hyperlink ref="N3:O3" location="Licenses!A1" display="TERMS OF USE" xr:uid="{7B8CA94F-4734-4CAD-88EF-98DE4E41009B}"/>
  </hyperlinks>
  <pageMargins left="0.2" right="0.2" top="0.25" bottom="0.25" header="0" footer="0"/>
  <pageSetup paperSize="9" scale="44"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170" r:id="rId4" name="Drop Down 146">
              <controlPr defaultSize="0" print="0" autoLine="0" autoPict="0" altText="This is just there to fix the excel issue with comments and linked pictures">
                <anchor moveWithCells="1">
                  <from>
                    <xdr:col>14</xdr:col>
                    <xdr:colOff>596900</xdr:colOff>
                    <xdr:row>30</xdr:row>
                    <xdr:rowOff>88900</xdr:rowOff>
                  </from>
                  <to>
                    <xdr:col>16</xdr:col>
                    <xdr:colOff>215900</xdr:colOff>
                    <xdr:row>31</xdr:row>
                    <xdr:rowOff>114300</xdr:rowOff>
                  </to>
                </anchor>
              </controlPr>
            </control>
          </mc:Choice>
        </mc:AlternateContent>
        <mc:AlternateContent xmlns:mc="http://schemas.openxmlformats.org/markup-compatibility/2006">
          <mc:Choice Requires="x14">
            <control shapeId="1060" r:id="rId5" name="Spinner 36">
              <controlPr defaultSize="0" autoPict="0">
                <anchor moveWithCells="1" sizeWithCells="1">
                  <from>
                    <xdr:col>7</xdr:col>
                    <xdr:colOff>508000</xdr:colOff>
                    <xdr:row>56</xdr:row>
                    <xdr:rowOff>0</xdr:rowOff>
                  </from>
                  <to>
                    <xdr:col>8</xdr:col>
                    <xdr:colOff>12700</xdr:colOff>
                    <xdr:row>58</xdr:row>
                    <xdr:rowOff>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3" id="{AB53E77D-5294-4F50-832B-89A6F7F8A8A1}">
            <xm:f>NOT(Variable_Management!$K$30)</xm:f>
            <x14:dxf>
              <font>
                <color rgb="FFC00000"/>
              </font>
              <fill>
                <patternFill>
                  <bgColor theme="5" tint="0.59996337778862885"/>
                </patternFill>
              </fill>
            </x14:dxf>
          </x14:cfRule>
          <xm:sqref>H23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S256"/>
  <sheetViews>
    <sheetView zoomScale="85" zoomScaleNormal="85" workbookViewId="0">
      <pane ySplit="5" topLeftCell="A48" activePane="bottomLeft" state="frozen"/>
      <selection activeCell="N8" sqref="N8"/>
      <selection pane="bottomLeft" activeCell="B89" sqref="B89"/>
    </sheetView>
  </sheetViews>
  <sheetFormatPr baseColWidth="10" defaultColWidth="8.83203125" defaultRowHeight="15" x14ac:dyDescent="0.2"/>
  <cols>
    <col min="1" max="1" width="28.83203125" customWidth="1"/>
    <col min="2" max="2" width="19.5" customWidth="1"/>
    <col min="3" max="3" width="10.83203125" customWidth="1"/>
    <col min="4" max="4" width="10" bestFit="1" customWidth="1"/>
    <col min="5" max="5" width="18.6640625" customWidth="1"/>
    <col min="6" max="6" width="14.6640625" customWidth="1"/>
    <col min="7" max="7" width="15.1640625" customWidth="1"/>
    <col min="8" max="9" width="12.5" customWidth="1"/>
    <col min="11" max="11" width="12.83203125" bestFit="1" customWidth="1"/>
    <col min="12" max="14" width="12.33203125" bestFit="1" customWidth="1"/>
  </cols>
  <sheetData>
    <row r="1" spans="1:17" ht="28" x14ac:dyDescent="0.3">
      <c r="A1" s="229" t="s">
        <v>15</v>
      </c>
      <c r="B1" s="229"/>
      <c r="C1" s="229"/>
      <c r="D1" s="229"/>
      <c r="E1" s="229"/>
      <c r="F1" s="229"/>
      <c r="G1" s="229"/>
      <c r="H1" s="229"/>
      <c r="I1" s="229"/>
      <c r="J1" s="229"/>
    </row>
    <row r="2" spans="1:17" x14ac:dyDescent="0.2">
      <c r="A2" s="5"/>
      <c r="B2" s="5" t="s">
        <v>16</v>
      </c>
      <c r="C2" s="6"/>
      <c r="D2" s="4"/>
      <c r="E2" s="5"/>
      <c r="F2" s="5"/>
      <c r="G2" s="5"/>
      <c r="H2" s="5"/>
      <c r="I2" s="5"/>
      <c r="J2" s="5"/>
    </row>
    <row r="3" spans="1:17" x14ac:dyDescent="0.2">
      <c r="A3" s="5"/>
      <c r="B3" s="5" t="s">
        <v>17</v>
      </c>
      <c r="C3" s="7"/>
      <c r="D3" s="4"/>
      <c r="E3" s="5"/>
      <c r="F3" s="14" t="s">
        <v>63</v>
      </c>
      <c r="G3" s="15" t="s">
        <v>64</v>
      </c>
      <c r="H3" s="26" t="s">
        <v>67</v>
      </c>
      <c r="I3" s="5"/>
      <c r="J3" s="5"/>
    </row>
    <row r="4" spans="1:17" x14ac:dyDescent="0.2">
      <c r="A4" s="5"/>
      <c r="B4" s="5" t="s">
        <v>18</v>
      </c>
      <c r="C4" s="8"/>
      <c r="D4" s="4"/>
      <c r="E4" s="5"/>
      <c r="F4" s="5"/>
      <c r="G4" s="5"/>
      <c r="H4" s="5"/>
      <c r="I4" s="5"/>
      <c r="J4" s="5"/>
    </row>
    <row r="5" spans="1:17" x14ac:dyDescent="0.2">
      <c r="A5" s="9" t="s">
        <v>19</v>
      </c>
      <c r="B5" s="9" t="s">
        <v>20</v>
      </c>
      <c r="C5" s="9" t="s">
        <v>21</v>
      </c>
      <c r="D5" s="4"/>
      <c r="E5" s="230" t="s">
        <v>22</v>
      </c>
      <c r="F5" s="230"/>
      <c r="G5" s="230"/>
      <c r="H5" s="230"/>
      <c r="I5" s="5"/>
      <c r="J5" s="9" t="s">
        <v>23</v>
      </c>
      <c r="K5" s="9" t="s">
        <v>71</v>
      </c>
      <c r="L5" s="4"/>
      <c r="M5" s="4"/>
      <c r="N5" s="4"/>
      <c r="O5" s="4"/>
      <c r="P5" s="4"/>
      <c r="Q5" s="4"/>
    </row>
    <row r="6" spans="1:17" ht="16" x14ac:dyDescent="0.2">
      <c r="A6" s="10" t="s">
        <v>24</v>
      </c>
      <c r="B6" s="9"/>
      <c r="C6" s="9"/>
      <c r="D6" s="9"/>
      <c r="E6" s="5"/>
      <c r="F6" s="5"/>
      <c r="G6" s="5"/>
      <c r="H6" s="5"/>
      <c r="I6" s="5"/>
      <c r="J6" s="9"/>
      <c r="K6" s="4"/>
      <c r="L6" s="4"/>
      <c r="M6" s="4"/>
      <c r="N6" s="4"/>
      <c r="O6" s="4"/>
      <c r="P6" s="4"/>
      <c r="Q6" s="4"/>
    </row>
    <row r="7" spans="1:17" x14ac:dyDescent="0.2">
      <c r="A7" t="s">
        <v>25</v>
      </c>
      <c r="B7" s="3">
        <f>'Design Converter'!H7</f>
        <v>4.8</v>
      </c>
      <c r="C7" t="s">
        <v>10</v>
      </c>
      <c r="E7" t="s">
        <v>28</v>
      </c>
    </row>
    <row r="8" spans="1:17" x14ac:dyDescent="0.2">
      <c r="A8" t="s">
        <v>26</v>
      </c>
      <c r="B8" s="3">
        <f>'Design Converter'!H8</f>
        <v>5</v>
      </c>
      <c r="C8" t="s">
        <v>10</v>
      </c>
      <c r="E8" t="s">
        <v>29</v>
      </c>
      <c r="K8">
        <f>IF(VIN_min&lt;VIN_min,1,IF(VIN_nom&gt;VIN_max,1,0))</f>
        <v>0</v>
      </c>
    </row>
    <row r="9" spans="1:17" x14ac:dyDescent="0.2">
      <c r="A9" t="s">
        <v>27</v>
      </c>
      <c r="B9" s="3">
        <f>'Design Converter'!H9</f>
        <v>5.5</v>
      </c>
      <c r="C9" t="s">
        <v>10</v>
      </c>
      <c r="E9" t="s">
        <v>30</v>
      </c>
    </row>
    <row r="10" spans="1:17" x14ac:dyDescent="0.2">
      <c r="A10" t="s">
        <v>68</v>
      </c>
      <c r="B10" s="3">
        <f>'Design Converter'!H12*1000</f>
        <v>100000</v>
      </c>
      <c r="C10" t="s">
        <v>69</v>
      </c>
      <c r="E10" t="s">
        <v>70</v>
      </c>
    </row>
    <row r="11" spans="1:17" x14ac:dyDescent="0.2">
      <c r="A11" t="s">
        <v>73</v>
      </c>
      <c r="B11" s="18">
        <f>((2.21*10^10)/Fsw)-955</f>
        <v>220045</v>
      </c>
      <c r="C11" s="2" t="s">
        <v>36</v>
      </c>
      <c r="E11" t="s">
        <v>74</v>
      </c>
    </row>
    <row r="13" spans="1:17" x14ac:dyDescent="0.2">
      <c r="A13" t="s">
        <v>31</v>
      </c>
      <c r="B13" s="3">
        <f>'Design Converter'!H10</f>
        <v>170</v>
      </c>
      <c r="C13" t="s">
        <v>10</v>
      </c>
      <c r="E13" t="s">
        <v>32</v>
      </c>
    </row>
    <row r="14" spans="1:17" x14ac:dyDescent="0.2">
      <c r="A14" t="s">
        <v>33</v>
      </c>
      <c r="B14" s="3">
        <f>'Design Converter'!H11</f>
        <v>0.01</v>
      </c>
      <c r="C14" t="s">
        <v>11</v>
      </c>
      <c r="E14" t="s">
        <v>34</v>
      </c>
    </row>
    <row r="15" spans="1:17" x14ac:dyDescent="0.2">
      <c r="A15" t="s">
        <v>35</v>
      </c>
      <c r="B15" s="1">
        <f>VOUT/IOUT</f>
        <v>17000</v>
      </c>
      <c r="C15" s="2" t="s">
        <v>36</v>
      </c>
      <c r="E15" t="s">
        <v>42</v>
      </c>
    </row>
    <row r="16" spans="1:17" x14ac:dyDescent="0.2">
      <c r="A16" t="s">
        <v>37</v>
      </c>
      <c r="B16" s="1">
        <f>VOUT*IOUT</f>
        <v>1.7</v>
      </c>
      <c r="C16" s="2" t="s">
        <v>38</v>
      </c>
      <c r="E16" t="s">
        <v>41</v>
      </c>
    </row>
    <row r="17" spans="1:19" x14ac:dyDescent="0.2">
      <c r="A17" t="s">
        <v>39</v>
      </c>
      <c r="B17" s="11">
        <f>'Design Converter'!H14/100</f>
        <v>0.65</v>
      </c>
      <c r="E17" t="s">
        <v>40</v>
      </c>
    </row>
    <row r="19" spans="1:19" x14ac:dyDescent="0.2">
      <c r="A19" s="33" t="s">
        <v>519</v>
      </c>
    </row>
    <row r="20" spans="1:19" x14ac:dyDescent="0.2">
      <c r="A20" t="s">
        <v>43</v>
      </c>
      <c r="B20" s="1">
        <f>IF(B$36="DCM",B55,B39)</f>
        <v>0.37868559225005877</v>
      </c>
      <c r="E20" t="s">
        <v>44</v>
      </c>
    </row>
    <row r="21" spans="1:19" x14ac:dyDescent="0.2">
      <c r="A21" t="s">
        <v>45</v>
      </c>
      <c r="B21" s="12">
        <f>Constants!B20</f>
        <v>0.93</v>
      </c>
      <c r="E21" t="s">
        <v>46</v>
      </c>
      <c r="K21">
        <f>IF(((1-D_limit_nom)/Constants!B12)&lt;Fsw,1,0)</f>
        <v>0</v>
      </c>
    </row>
    <row r="23" spans="1:19" x14ac:dyDescent="0.2">
      <c r="A23" t="s">
        <v>82</v>
      </c>
      <c r="B23" s="1">
        <f>IF(B$36="DCM",B58,B42)</f>
        <v>0.37868559225005877</v>
      </c>
      <c r="E23" t="s">
        <v>506</v>
      </c>
    </row>
    <row r="24" spans="1:19" x14ac:dyDescent="0.2">
      <c r="B24" s="13">
        <f>IF(B$36="DCM",B59,B43)</f>
        <v>3.7868559225005877E-6</v>
      </c>
      <c r="C24" t="s">
        <v>54</v>
      </c>
      <c r="E24" t="s">
        <v>333</v>
      </c>
    </row>
    <row r="25" spans="1:19" x14ac:dyDescent="0.2">
      <c r="A25" t="s">
        <v>92</v>
      </c>
      <c r="B25" s="17">
        <f>IF(B$36="DCM",B60,B44)</f>
        <v>0.35416666666666669</v>
      </c>
      <c r="C25" t="s">
        <v>11</v>
      </c>
      <c r="E25" t="s">
        <v>95</v>
      </c>
      <c r="K25" t="s">
        <v>559</v>
      </c>
      <c r="L25" t="s">
        <v>560</v>
      </c>
      <c r="M25" t="s">
        <v>572</v>
      </c>
    </row>
    <row r="26" spans="1:19" x14ac:dyDescent="0.2">
      <c r="J26" t="s">
        <v>561</v>
      </c>
      <c r="K26" t="b">
        <f>Dc_CCM_VIN_min&lt;B58</f>
        <v>0</v>
      </c>
      <c r="L26" t="b">
        <f>Dc_CCM_VIN_nom&lt;Dc_DCM_VIN_nom</f>
        <v>0</v>
      </c>
      <c r="M26" t="b">
        <f>Dc_CCM_VIN_max&lt;B66</f>
        <v>0</v>
      </c>
    </row>
    <row r="27" spans="1:19" x14ac:dyDescent="0.2">
      <c r="A27" t="s">
        <v>83</v>
      </c>
      <c r="B27" s="1">
        <f>IF(B$36="DCM",B62,B46)</f>
        <v>0.36331804249169897</v>
      </c>
      <c r="E27" t="s">
        <v>507</v>
      </c>
      <c r="J27" t="s">
        <v>565</v>
      </c>
      <c r="K27" t="b">
        <f>AND(K26:M26)</f>
        <v>0</v>
      </c>
    </row>
    <row r="28" spans="1:19" x14ac:dyDescent="0.2">
      <c r="B28" s="13">
        <f>IF(B$36="DCM",B63,B47)</f>
        <v>3.6331804249169898E-6</v>
      </c>
      <c r="C28" t="s">
        <v>54</v>
      </c>
      <c r="E28" t="s">
        <v>333</v>
      </c>
      <c r="J28" t="s">
        <v>566</v>
      </c>
      <c r="K28" t="b">
        <f>NOT(OR(K26:M26))</f>
        <v>1</v>
      </c>
    </row>
    <row r="29" spans="1:19" x14ac:dyDescent="0.2">
      <c r="A29" t="s">
        <v>93</v>
      </c>
      <c r="B29" s="17">
        <f>IF(B$36="DCM",B64,B48)</f>
        <v>0.33999999999999997</v>
      </c>
      <c r="C29" t="s">
        <v>11</v>
      </c>
      <c r="E29" t="s">
        <v>96</v>
      </c>
      <c r="J29" t="s">
        <v>562</v>
      </c>
      <c r="K29" t="b">
        <f>NOT(OR(K27:K28))</f>
        <v>0</v>
      </c>
    </row>
    <row r="30" spans="1:19" x14ac:dyDescent="0.2">
      <c r="J30" t="s">
        <v>567</v>
      </c>
      <c r="K30" t="b">
        <f>IF(Dc_Mode="CCM",K27,IF(Dc_Mode="DCM",K28,K29))</f>
        <v>1</v>
      </c>
      <c r="P30" t="s">
        <v>557</v>
      </c>
      <c r="Q30" t="s">
        <v>555</v>
      </c>
      <c r="R30" t="s">
        <v>556</v>
      </c>
      <c r="S30" t="s">
        <v>558</v>
      </c>
    </row>
    <row r="31" spans="1:19" x14ac:dyDescent="0.2">
      <c r="A31" t="s">
        <v>84</v>
      </c>
      <c r="B31" s="1">
        <f>IF(B$36="DCM",B66,B50)</f>
        <v>0.32978831176758278</v>
      </c>
      <c r="E31" t="s">
        <v>508</v>
      </c>
      <c r="K31" t="s">
        <v>554</v>
      </c>
      <c r="L31" s="137">
        <f>VIN_min/(Fsw*2*IOUT)*Dc_VIN_min*(1-Dc_VIN_min)</f>
        <v>5.6467875473347438E-4</v>
      </c>
      <c r="M31" s="137">
        <f>VIN_nom/(Fsw*2*IOUT)*Dc_VIN_nom*(1-Dc_VIN_nom)</f>
        <v>5.7829510622924745E-4</v>
      </c>
      <c r="N31" s="137">
        <f>VIN_max/(Fsw*2*IOUT)*Dc_VIN_max*(1-Dc_VIN_max)</f>
        <v>6.0782694826994348E-4</v>
      </c>
      <c r="P31" s="137">
        <f>Q31*0.9</f>
        <v>5.0821087926012699E-4</v>
      </c>
      <c r="Q31" s="137">
        <f>MIN(L31:N31)</f>
        <v>5.6467875473347438E-4</v>
      </c>
      <c r="R31" s="137">
        <f>MAX(L31:N31)</f>
        <v>6.0782694826994348E-4</v>
      </c>
      <c r="S31" s="137">
        <f>R31*1.1</f>
        <v>6.6860964309693792E-4</v>
      </c>
    </row>
    <row r="32" spans="1:19" x14ac:dyDescent="0.2">
      <c r="B32" s="13">
        <f>IF(B$36="DCM",B67,B51)</f>
        <v>3.297883117675828E-6</v>
      </c>
      <c r="C32" t="s">
        <v>54</v>
      </c>
      <c r="E32" t="s">
        <v>333</v>
      </c>
    </row>
    <row r="33" spans="1:14" x14ac:dyDescent="0.2">
      <c r="A33" t="s">
        <v>94</v>
      </c>
      <c r="B33" s="17">
        <f>IF(B$36="DCM",B68,B52)</f>
        <v>0.30909090909090908</v>
      </c>
      <c r="C33" t="s">
        <v>11</v>
      </c>
      <c r="E33" t="s">
        <v>97</v>
      </c>
    </row>
    <row r="34" spans="1:14" x14ac:dyDescent="0.2">
      <c r="N34" t="s">
        <v>553</v>
      </c>
    </row>
    <row r="35" spans="1:14" x14ac:dyDescent="0.2">
      <c r="A35" t="s">
        <v>534</v>
      </c>
      <c r="B35" s="140" t="str">
        <f>IF(AND(K35&lt;Lm,L35&lt;Lm,M35&lt;Lm),"CCM",IF(AND(K35&gt;Lm,L35&gt;Lm,M35&gt;Lm),"DCM","CCM/DCM"))</f>
        <v>DCM</v>
      </c>
      <c r="E35" t="s">
        <v>517</v>
      </c>
      <c r="K35" s="137">
        <f>VIN_min/(Fsw*2*IOUT)*Dc_CCM_VIN_min*(1-Dc_CCM_VIN_min)</f>
        <v>6.5851349480968785E-5</v>
      </c>
      <c r="L35" s="137">
        <f>IF(AND(B50&lt;0.5,B42&gt;0.5),VIN_min/(Fsw*2*IOUT)*0.5*(1-0.5),VIN_min/(Fsw*2*IOUT)*Dc_CCM_VIN_nom*(1-Dc_CCM_VIN_nom))</f>
        <v>6.8512110726643604E-5</v>
      </c>
      <c r="M35" s="137">
        <f>VIN_min/(Fsw*2*IOUT)*Dc_CCM_VIN_max*(1-Dc_VIN_max)</f>
        <v>1.5564680853774016E-3</v>
      </c>
      <c r="N35" t="b">
        <f>IF(Dc_Mode="CCM",IF(Lm&lt;MAX(K35,L35,M35),TRUE,IF(Lm&gt;MIN(K35,L35,M35),TRUE,FALSE)))</f>
        <v>0</v>
      </c>
    </row>
    <row r="36" spans="1:14" x14ac:dyDescent="0.2">
      <c r="A36" t="s">
        <v>533</v>
      </c>
      <c r="B36" s="139" t="str">
        <f>'Design Converter'!H18</f>
        <v>DCM</v>
      </c>
      <c r="E36" t="s">
        <v>516</v>
      </c>
      <c r="K36" t="str">
        <f>IF(OR(B35="CCM",B35="CCM/DCM"),"CCM","DCM")</f>
        <v>DCM</v>
      </c>
      <c r="L36" t="str">
        <f>IF(B35="CCM/DCM","DCM","")</f>
        <v/>
      </c>
    </row>
    <row r="38" spans="1:14" x14ac:dyDescent="0.2">
      <c r="A38" s="33" t="s">
        <v>495</v>
      </c>
    </row>
    <row r="39" spans="1:14" x14ac:dyDescent="0.2">
      <c r="A39" t="s">
        <v>509</v>
      </c>
      <c r="B39" s="1">
        <f>1-VIN_min/VOUT</f>
        <v>0.97176470588235297</v>
      </c>
      <c r="E39" t="s">
        <v>44</v>
      </c>
    </row>
    <row r="42" spans="1:14" x14ac:dyDescent="0.2">
      <c r="A42" t="s">
        <v>510</v>
      </c>
      <c r="B42" s="1">
        <f>1-VIN_min/VOUT</f>
        <v>0.97176470588235297</v>
      </c>
      <c r="E42" t="s">
        <v>85</v>
      </c>
    </row>
    <row r="43" spans="1:14" x14ac:dyDescent="0.2">
      <c r="B43" s="13">
        <f>B42/Fsw</f>
        <v>9.7176470588235296E-6</v>
      </c>
      <c r="C43" t="s">
        <v>54</v>
      </c>
      <c r="E43" t="s">
        <v>333</v>
      </c>
    </row>
    <row r="44" spans="1:14" x14ac:dyDescent="0.2">
      <c r="A44" t="s">
        <v>511</v>
      </c>
      <c r="B44" s="17">
        <f>(VOUT*IOUT)/(VIN_min)</f>
        <v>0.35416666666666669</v>
      </c>
      <c r="C44" t="s">
        <v>11</v>
      </c>
      <c r="E44" t="s">
        <v>95</v>
      </c>
    </row>
    <row r="46" spans="1:14" x14ac:dyDescent="0.2">
      <c r="A46" t="s">
        <v>512</v>
      </c>
      <c r="B46" s="1">
        <f>1-VIN_nom/VOUT</f>
        <v>0.97058823529411764</v>
      </c>
      <c r="E46" t="s">
        <v>86</v>
      </c>
    </row>
    <row r="47" spans="1:14" x14ac:dyDescent="0.2">
      <c r="B47" s="13">
        <f>B46/Fsw</f>
        <v>9.7058823529411756E-6</v>
      </c>
      <c r="C47" t="s">
        <v>54</v>
      </c>
      <c r="E47" t="s">
        <v>333</v>
      </c>
    </row>
    <row r="48" spans="1:14" x14ac:dyDescent="0.2">
      <c r="A48" t="s">
        <v>513</v>
      </c>
      <c r="B48" s="17">
        <f>(VOUT*IOUT)/(VIN_nom)</f>
        <v>0.33999999999999997</v>
      </c>
      <c r="C48" t="s">
        <v>11</v>
      </c>
      <c r="E48" t="s">
        <v>96</v>
      </c>
    </row>
    <row r="50" spans="1:5" x14ac:dyDescent="0.2">
      <c r="A50" t="s">
        <v>514</v>
      </c>
      <c r="B50" s="1">
        <f>1-VIN_max/VOUT</f>
        <v>0.96764705882352942</v>
      </c>
      <c r="E50" t="s">
        <v>87</v>
      </c>
    </row>
    <row r="51" spans="1:5" x14ac:dyDescent="0.2">
      <c r="B51" s="13">
        <f>B50/Fsw</f>
        <v>9.6764705882352939E-6</v>
      </c>
      <c r="C51" t="s">
        <v>54</v>
      </c>
      <c r="E51" t="s">
        <v>333</v>
      </c>
    </row>
    <row r="52" spans="1:5" x14ac:dyDescent="0.2">
      <c r="A52" t="s">
        <v>515</v>
      </c>
      <c r="B52" s="17">
        <f>(VOUT*IOUT)/(VIN_max)</f>
        <v>0.30909090909090908</v>
      </c>
      <c r="C52" t="s">
        <v>11</v>
      </c>
      <c r="E52" t="s">
        <v>97</v>
      </c>
    </row>
    <row r="54" spans="1:5" x14ac:dyDescent="0.2">
      <c r="A54" s="33" t="s">
        <v>496</v>
      </c>
    </row>
    <row r="55" spans="1:5" x14ac:dyDescent="0.2">
      <c r="A55" t="s">
        <v>497</v>
      </c>
      <c r="B55" s="1">
        <f>1/VIN_min*SQRT(2*Lm*(VOUT-VIN_min)*Fsw*IOUT)</f>
        <v>0.37868559225005877</v>
      </c>
      <c r="E55" t="s">
        <v>44</v>
      </c>
    </row>
    <row r="58" spans="1:5" x14ac:dyDescent="0.2">
      <c r="A58" t="s">
        <v>501</v>
      </c>
      <c r="B58" s="1">
        <f>1/VIN_min*SQRT(2*Lm*(VOUT-VIN_min)*Fsw*IOUT)</f>
        <v>0.37868559225005877</v>
      </c>
      <c r="E58" t="s">
        <v>498</v>
      </c>
    </row>
    <row r="59" spans="1:5" x14ac:dyDescent="0.2">
      <c r="B59" s="13">
        <f>B58/Fsw</f>
        <v>3.7868559225005877E-6</v>
      </c>
      <c r="C59" t="s">
        <v>54</v>
      </c>
      <c r="E59" t="s">
        <v>333</v>
      </c>
    </row>
    <row r="60" spans="1:5" x14ac:dyDescent="0.2">
      <c r="A60" t="s">
        <v>502</v>
      </c>
      <c r="B60" s="17">
        <f>(VOUT*IOUT)/(VIN_min)</f>
        <v>0.35416666666666669</v>
      </c>
      <c r="C60" t="s">
        <v>11</v>
      </c>
      <c r="E60" t="s">
        <v>95</v>
      </c>
    </row>
    <row r="62" spans="1:5" x14ac:dyDescent="0.2">
      <c r="A62" t="s">
        <v>503</v>
      </c>
      <c r="B62" s="1">
        <f>1/VIN_nom*SQRT(2*Lm*(VOUT-VIN_nom)*Fsw*IOUT)</f>
        <v>0.36331804249169897</v>
      </c>
      <c r="E62" t="s">
        <v>499</v>
      </c>
    </row>
    <row r="63" spans="1:5" x14ac:dyDescent="0.2">
      <c r="B63" s="13">
        <f>B62/Fsw</f>
        <v>3.6331804249169898E-6</v>
      </c>
      <c r="C63" t="s">
        <v>54</v>
      </c>
      <c r="E63" t="s">
        <v>333</v>
      </c>
    </row>
    <row r="64" spans="1:5" x14ac:dyDescent="0.2">
      <c r="A64" t="s">
        <v>504</v>
      </c>
      <c r="B64" s="17">
        <f>(VOUT*IOUT)/(VIN_nom)</f>
        <v>0.33999999999999997</v>
      </c>
      <c r="C64" t="s">
        <v>11</v>
      </c>
      <c r="E64" t="s">
        <v>96</v>
      </c>
    </row>
    <row r="66" spans="1:5" x14ac:dyDescent="0.2">
      <c r="A66" t="s">
        <v>505</v>
      </c>
      <c r="B66" s="1">
        <f>1/VIN_max*SQRT(2*Lm*(VOUT-VIN_max)*Fsw*IOUT)</f>
        <v>0.32978831176758278</v>
      </c>
      <c r="E66" t="s">
        <v>500</v>
      </c>
    </row>
    <row r="67" spans="1:5" x14ac:dyDescent="0.2">
      <c r="B67" s="13">
        <f>B66/Fsw</f>
        <v>3.297883117675828E-6</v>
      </c>
      <c r="C67" t="s">
        <v>54</v>
      </c>
      <c r="E67" t="s">
        <v>333</v>
      </c>
    </row>
    <row r="68" spans="1:5" x14ac:dyDescent="0.2">
      <c r="A68" t="s">
        <v>94</v>
      </c>
      <c r="B68" s="17">
        <f>(VOUT*IOUT)/(VIN_max)</f>
        <v>0.30909090909090908</v>
      </c>
      <c r="C68" t="s">
        <v>11</v>
      </c>
      <c r="E68" t="s">
        <v>97</v>
      </c>
    </row>
    <row r="70" spans="1:5" x14ac:dyDescent="0.2">
      <c r="A70" s="19" t="s">
        <v>77</v>
      </c>
    </row>
    <row r="71" spans="1:5" x14ac:dyDescent="0.2">
      <c r="A71" t="s">
        <v>99</v>
      </c>
      <c r="B71" s="3">
        <f>'Design Converter'!H21/100</f>
        <v>0.6</v>
      </c>
      <c r="E71" t="s">
        <v>122</v>
      </c>
    </row>
    <row r="72" spans="1:5" x14ac:dyDescent="0.2">
      <c r="A72" s="22" t="s">
        <v>107</v>
      </c>
    </row>
    <row r="73" spans="1:5" x14ac:dyDescent="0.2">
      <c r="A73" t="s">
        <v>90</v>
      </c>
      <c r="B73" s="25">
        <f>(VIN_min*Dc_VIN_min)/(IL_avg_VIN_min*ILrip*Fsw)</f>
        <v>8.5538392602366219E-5</v>
      </c>
      <c r="C73" t="s">
        <v>98</v>
      </c>
      <c r="E73" t="s">
        <v>91</v>
      </c>
    </row>
    <row r="74" spans="1:5" x14ac:dyDescent="0.2">
      <c r="A74" t="s">
        <v>569</v>
      </c>
      <c r="B74" s="25">
        <f>(VIN_nom*Dc_VIN_nom)/(IL_avg_VIN_nom*ILrip*Fsw)</f>
        <v>8.9048539826396805E-5</v>
      </c>
      <c r="C74" t="s">
        <v>98</v>
      </c>
      <c r="E74" t="s">
        <v>570</v>
      </c>
    </row>
    <row r="75" spans="1:5" x14ac:dyDescent="0.2">
      <c r="A75" t="s">
        <v>568</v>
      </c>
      <c r="B75" s="25">
        <f>(VIN_max*Dc_VIN_max)/(IL_avg_VIN_max*ILrip*Fsw)</f>
        <v>9.7804866970288028E-5</v>
      </c>
      <c r="C75" t="s">
        <v>98</v>
      </c>
      <c r="E75" t="s">
        <v>571</v>
      </c>
    </row>
    <row r="76" spans="1:5" x14ac:dyDescent="0.2">
      <c r="A76" t="s">
        <v>100</v>
      </c>
      <c r="B76" s="25">
        <f>AVERAGE(B73:B75)</f>
        <v>9.0797266466350346E-5</v>
      </c>
      <c r="C76" t="s">
        <v>98</v>
      </c>
      <c r="E76" t="s">
        <v>101</v>
      </c>
    </row>
    <row r="78" spans="1:5" x14ac:dyDescent="0.2">
      <c r="A78" s="22" t="s">
        <v>108</v>
      </c>
    </row>
    <row r="79" spans="1:5" x14ac:dyDescent="0.2">
      <c r="A79" t="s">
        <v>133</v>
      </c>
      <c r="B79" s="12">
        <v>0.33</v>
      </c>
      <c r="C79" t="s">
        <v>13</v>
      </c>
      <c r="E79" t="s">
        <v>132</v>
      </c>
    </row>
    <row r="80" spans="1:5" x14ac:dyDescent="0.2">
      <c r="A80" t="s">
        <v>109</v>
      </c>
      <c r="B80" s="1">
        <f>IF(Dc_VIN_max&lt;Dc_rip_max,VOUT*(1-Dc_rip_max),VOUT*(1-Dc_VIN_max))</f>
        <v>113.89999999999999</v>
      </c>
      <c r="C80" t="s">
        <v>10</v>
      </c>
      <c r="E80" t="s">
        <v>136</v>
      </c>
    </row>
    <row r="81" spans="1:5" x14ac:dyDescent="0.2">
      <c r="A81" t="s">
        <v>110</v>
      </c>
      <c r="B81" s="16">
        <f>(VOUT*IOUT)/(VIN_33)</f>
        <v>1.492537313432836E-2</v>
      </c>
      <c r="C81" t="s">
        <v>11</v>
      </c>
      <c r="E81" t="s">
        <v>135</v>
      </c>
    </row>
    <row r="82" spans="1:5" x14ac:dyDescent="0.2">
      <c r="A82" t="s">
        <v>111</v>
      </c>
      <c r="B82" s="25">
        <f>(VIN_33*0.33)/(IIN_33*ILrip*Fsw)</f>
        <v>4.1972149999999993E-2</v>
      </c>
      <c r="C82" t="s">
        <v>98</v>
      </c>
      <c r="E82" t="s">
        <v>134</v>
      </c>
    </row>
    <row r="84" spans="1:5" x14ac:dyDescent="0.2">
      <c r="A84" t="s">
        <v>102</v>
      </c>
      <c r="B84" s="21">
        <f>'Design Converter'!H23*10^-6</f>
        <v>9.9999999999999991E-6</v>
      </c>
      <c r="C84" t="s">
        <v>98</v>
      </c>
      <c r="E84" t="s">
        <v>103</v>
      </c>
    </row>
    <row r="85" spans="1:5" x14ac:dyDescent="0.2">
      <c r="A85" t="s">
        <v>104</v>
      </c>
      <c r="B85" s="3">
        <f>'Design Converter'!H24*10^-3</f>
        <v>3.5000000000000003E-2</v>
      </c>
      <c r="C85" s="2" t="s">
        <v>36</v>
      </c>
      <c r="E85" t="s">
        <v>137</v>
      </c>
    </row>
    <row r="86" spans="1:5" x14ac:dyDescent="0.2">
      <c r="A86" t="s">
        <v>138</v>
      </c>
      <c r="B86" s="12">
        <v>0.2</v>
      </c>
      <c r="C86" s="2"/>
      <c r="E86" t="s">
        <v>139</v>
      </c>
    </row>
    <row r="88" spans="1:5" x14ac:dyDescent="0.2">
      <c r="A88" s="22" t="s">
        <v>573</v>
      </c>
      <c r="C88" s="2"/>
    </row>
    <row r="89" spans="1:5" x14ac:dyDescent="0.2">
      <c r="A89" t="s">
        <v>574</v>
      </c>
      <c r="B89" s="227">
        <f>VIN_min/(2*Fsw*IOUT)*(1-VIN_min/VOUT)*(1-(1-VIN_min/VOUT))</f>
        <v>6.5851349480968785E-5</v>
      </c>
      <c r="C89" s="2"/>
    </row>
    <row r="90" spans="1:5" x14ac:dyDescent="0.2">
      <c r="C90" s="2"/>
    </row>
    <row r="91" spans="1:5" x14ac:dyDescent="0.2">
      <c r="A91" s="22" t="s">
        <v>495</v>
      </c>
      <c r="C91" s="2"/>
    </row>
    <row r="92" spans="1:5" x14ac:dyDescent="0.2">
      <c r="A92" t="s">
        <v>115</v>
      </c>
      <c r="B92" s="16">
        <f>(VIN_min*Dc_VIN_min)/(Lm*Fsw)</f>
        <v>1.8176908428002823</v>
      </c>
      <c r="C92" t="s">
        <v>11</v>
      </c>
      <c r="E92" t="s">
        <v>116</v>
      </c>
    </row>
    <row r="93" spans="1:5" x14ac:dyDescent="0.2">
      <c r="A93" t="s">
        <v>113</v>
      </c>
      <c r="B93" s="16">
        <f>(IL_avg_VIN_min/EFF_est)+(ILrip_VINmin/2)</f>
        <v>1.4537172162719361</v>
      </c>
      <c r="C93" t="s">
        <v>11</v>
      </c>
      <c r="E93" t="s">
        <v>114</v>
      </c>
    </row>
    <row r="95" spans="1:5" x14ac:dyDescent="0.2">
      <c r="A95" t="s">
        <v>117</v>
      </c>
      <c r="B95" s="16">
        <f>(VIN_nom*Dc_VIN_nom)/(Lm*Fsw)</f>
        <v>1.8165902124584952</v>
      </c>
      <c r="C95" t="s">
        <v>11</v>
      </c>
      <c r="E95" t="s">
        <v>123</v>
      </c>
    </row>
    <row r="96" spans="1:5" x14ac:dyDescent="0.2">
      <c r="A96" t="s">
        <v>118</v>
      </c>
      <c r="B96" s="16">
        <f>(IL_avg_VIN_nom/EFF_est)+(ILrip_VINnom/2)</f>
        <v>1.4313720293061705</v>
      </c>
      <c r="C96" t="s">
        <v>11</v>
      </c>
      <c r="E96" t="s">
        <v>124</v>
      </c>
    </row>
    <row r="98" spans="1:5" x14ac:dyDescent="0.2">
      <c r="A98" t="s">
        <v>119</v>
      </c>
      <c r="B98" s="16">
        <f>(VIN_max*Dc_VIN_max)/(Lm*Fsw)</f>
        <v>1.8138357147217055</v>
      </c>
      <c r="C98" t="s">
        <v>11</v>
      </c>
      <c r="E98" t="s">
        <v>125</v>
      </c>
    </row>
    <row r="99" spans="1:5" x14ac:dyDescent="0.2">
      <c r="A99" t="s">
        <v>120</v>
      </c>
      <c r="B99" s="16">
        <f>(IL_avg_VIN_max/EFF_est)+(ILrip_VINmax/2)</f>
        <v>1.3824423328853284</v>
      </c>
      <c r="C99" t="s">
        <v>11</v>
      </c>
      <c r="E99" t="s">
        <v>126</v>
      </c>
    </row>
    <row r="100" spans="1:5" x14ac:dyDescent="0.2">
      <c r="C100" s="2"/>
    </row>
    <row r="101" spans="1:5" x14ac:dyDescent="0.2">
      <c r="A101" s="22" t="s">
        <v>496</v>
      </c>
      <c r="C101" s="2"/>
    </row>
    <row r="102" spans="1:5" x14ac:dyDescent="0.2">
      <c r="A102" t="s">
        <v>115</v>
      </c>
      <c r="B102" s="16">
        <f>(VIN_min*Dc_VIN_min)/(Lm*Fsw)</f>
        <v>1.8176908428002823</v>
      </c>
      <c r="C102" t="s">
        <v>11</v>
      </c>
      <c r="E102" t="s">
        <v>116</v>
      </c>
    </row>
    <row r="103" spans="1:5" x14ac:dyDescent="0.2">
      <c r="A103" t="s">
        <v>113</v>
      </c>
      <c r="B103" s="16">
        <f>B102</f>
        <v>1.8176908428002823</v>
      </c>
      <c r="C103" t="s">
        <v>11</v>
      </c>
      <c r="E103" t="s">
        <v>114</v>
      </c>
    </row>
    <row r="105" spans="1:5" x14ac:dyDescent="0.2">
      <c r="A105" t="s">
        <v>117</v>
      </c>
      <c r="B105" s="16">
        <f>(VIN_nom*Dc_VIN_nom)/(Lm*Fsw)</f>
        <v>1.8165902124584952</v>
      </c>
      <c r="C105" t="s">
        <v>11</v>
      </c>
      <c r="E105" t="s">
        <v>123</v>
      </c>
    </row>
    <row r="106" spans="1:5" x14ac:dyDescent="0.2">
      <c r="A106" t="s">
        <v>118</v>
      </c>
      <c r="B106" s="16">
        <f>B105</f>
        <v>1.8165902124584952</v>
      </c>
      <c r="C106" t="s">
        <v>11</v>
      </c>
      <c r="E106" t="s">
        <v>124</v>
      </c>
    </row>
    <row r="108" spans="1:5" x14ac:dyDescent="0.2">
      <c r="A108" t="s">
        <v>119</v>
      </c>
      <c r="B108" s="16">
        <f>(VIN_max*Dc_VIN_max)/(Lm*Fsw)</f>
        <v>1.8138357147217055</v>
      </c>
      <c r="C108" t="s">
        <v>11</v>
      </c>
      <c r="E108" t="s">
        <v>125</v>
      </c>
    </row>
    <row r="109" spans="1:5" x14ac:dyDescent="0.2">
      <c r="A109" t="s">
        <v>120</v>
      </c>
      <c r="B109" s="16">
        <f>B108</f>
        <v>1.8138357147217055</v>
      </c>
      <c r="C109" t="s">
        <v>11</v>
      </c>
      <c r="E109" t="s">
        <v>126</v>
      </c>
    </row>
    <row r="110" spans="1:5" x14ac:dyDescent="0.2">
      <c r="C110" s="2"/>
    </row>
    <row r="111" spans="1:5" x14ac:dyDescent="0.2">
      <c r="A111" s="22" t="s">
        <v>324</v>
      </c>
      <c r="B111" t="s">
        <v>112</v>
      </c>
    </row>
    <row r="112" spans="1:5" x14ac:dyDescent="0.2">
      <c r="A112" t="s">
        <v>115</v>
      </c>
      <c r="B112" s="16">
        <f>IF(B$36="CCM",B92,B102)</f>
        <v>1.8176908428002823</v>
      </c>
      <c r="C112" t="s">
        <v>11</v>
      </c>
      <c r="E112" t="s">
        <v>116</v>
      </c>
    </row>
    <row r="113" spans="1:13" x14ac:dyDescent="0.2">
      <c r="A113" t="s">
        <v>113</v>
      </c>
      <c r="B113" s="16">
        <f>IF(B$36="CCM",B93,B103)</f>
        <v>1.8176908428002823</v>
      </c>
      <c r="C113" t="s">
        <v>11</v>
      </c>
      <c r="E113" t="s">
        <v>114</v>
      </c>
    </row>
    <row r="115" spans="1:13" x14ac:dyDescent="0.2">
      <c r="A115" t="s">
        <v>117</v>
      </c>
      <c r="B115" s="16">
        <f>IF(B$36="CCM",B95,B105)</f>
        <v>1.8165902124584952</v>
      </c>
      <c r="C115" t="s">
        <v>11</v>
      </c>
      <c r="E115" t="s">
        <v>123</v>
      </c>
    </row>
    <row r="116" spans="1:13" x14ac:dyDescent="0.2">
      <c r="A116" t="s">
        <v>118</v>
      </c>
      <c r="B116" s="16">
        <f>IF(B$36="CCM",B96,B106)</f>
        <v>1.8165902124584952</v>
      </c>
      <c r="C116" t="s">
        <v>11</v>
      </c>
      <c r="E116" t="s">
        <v>124</v>
      </c>
    </row>
    <row r="118" spans="1:13" x14ac:dyDescent="0.2">
      <c r="A118" t="s">
        <v>119</v>
      </c>
      <c r="B118" s="16">
        <f>IF(B$36="CCM",B98,B108)</f>
        <v>1.8138357147217055</v>
      </c>
      <c r="C118" t="s">
        <v>11</v>
      </c>
      <c r="E118" t="s">
        <v>125</v>
      </c>
    </row>
    <row r="119" spans="1:13" x14ac:dyDescent="0.2">
      <c r="A119" t="s">
        <v>120</v>
      </c>
      <c r="B119" s="16">
        <f>IF(B$36="CCM",B99,B109)</f>
        <v>1.8138357147217055</v>
      </c>
      <c r="C119" t="s">
        <v>11</v>
      </c>
      <c r="E119" t="s">
        <v>126</v>
      </c>
    </row>
    <row r="121" spans="1:13" x14ac:dyDescent="0.2">
      <c r="A121" s="19" t="s">
        <v>121</v>
      </c>
    </row>
    <row r="122" spans="1:13" x14ac:dyDescent="0.2">
      <c r="A122" t="s">
        <v>128</v>
      </c>
      <c r="B122" s="3">
        <f>'Design Converter'!H28/100</f>
        <v>0.2</v>
      </c>
      <c r="E122" t="s">
        <v>129</v>
      </c>
    </row>
    <row r="123" spans="1:13" x14ac:dyDescent="0.2">
      <c r="A123" t="s">
        <v>130</v>
      </c>
      <c r="B123" s="17">
        <f>(1+Ipk_margin)*ILp_VINmin</f>
        <v>2.1812290113603385</v>
      </c>
      <c r="C123" t="s">
        <v>11</v>
      </c>
      <c r="E123" t="s">
        <v>131</v>
      </c>
    </row>
    <row r="124" spans="1:13" x14ac:dyDescent="0.2">
      <c r="B124" s="17"/>
    </row>
    <row r="125" spans="1:13" x14ac:dyDescent="0.2">
      <c r="A125" t="s">
        <v>142</v>
      </c>
      <c r="B125" s="12">
        <v>0.6</v>
      </c>
      <c r="E125" t="s">
        <v>143</v>
      </c>
      <c r="J125">
        <f>Fsw*Isl*Rsl_int*Lm</f>
        <v>3.9989999999999991E-2</v>
      </c>
    </row>
    <row r="126" spans="1:13" x14ac:dyDescent="0.2">
      <c r="J126">
        <f>Isl</f>
        <v>2.9999999999999997E-5</v>
      </c>
      <c r="K126">
        <f>Fsw</f>
        <v>100000</v>
      </c>
      <c r="L126">
        <f>Lm</f>
        <v>9.9999999999999991E-6</v>
      </c>
      <c r="M126">
        <f>Rsl_int</f>
        <v>1333</v>
      </c>
    </row>
    <row r="127" spans="1:13" x14ac:dyDescent="0.2">
      <c r="A127" t="s">
        <v>140</v>
      </c>
      <c r="B127" s="25">
        <f>(1/B125)*((Fsw*Isl*Rsl_int*Lm)/(VOUT-VIN_min))</f>
        <v>4.0345036319612587E-4</v>
      </c>
      <c r="C127" s="2" t="s">
        <v>36</v>
      </c>
      <c r="E127" t="s">
        <v>141</v>
      </c>
    </row>
    <row r="128" spans="1:13" x14ac:dyDescent="0.2">
      <c r="A128" t="s">
        <v>148</v>
      </c>
      <c r="B128" s="25">
        <f>Vcl/Ipk_selected</f>
        <v>4.5845713347464748E-2</v>
      </c>
      <c r="C128" s="2" t="s">
        <v>36</v>
      </c>
      <c r="E128" t="s">
        <v>149</v>
      </c>
    </row>
    <row r="130" spans="1:11" x14ac:dyDescent="0.2">
      <c r="A130" t="s">
        <v>155</v>
      </c>
      <c r="B130" s="12">
        <v>0.83299999999999996</v>
      </c>
      <c r="E130" t="s">
        <v>156</v>
      </c>
    </row>
    <row r="131" spans="1:11" x14ac:dyDescent="0.2">
      <c r="A131" t="s">
        <v>154</v>
      </c>
      <c r="B131" s="24">
        <f>(Lm*Fsw*(Vcl+(Dc_VIN_min*Isl*Rsl_int)))/((Dc_VIN_min*Kslope*VOUT)-(Dc_VIN_min*Kslope*VIN_min)+(Ipk_selected*Lm*Fsw))</f>
        <v>2.120791766858966E-3</v>
      </c>
      <c r="C131" s="2" t="s">
        <v>36</v>
      </c>
      <c r="E131" t="s">
        <v>165</v>
      </c>
    </row>
    <row r="132" spans="1:11" x14ac:dyDescent="0.2">
      <c r="A132" t="s">
        <v>157</v>
      </c>
      <c r="B132" s="16">
        <f>(Vcl-(Ipk_selected*Rcs_w_sl))/(Isl*Dc_VIN_min)</f>
        <v>8395.1849434763117</v>
      </c>
      <c r="C132" s="2" t="s">
        <v>36</v>
      </c>
      <c r="E132" t="s">
        <v>164</v>
      </c>
    </row>
    <row r="134" spans="1:11" x14ac:dyDescent="0.2">
      <c r="A134" t="s">
        <v>152</v>
      </c>
      <c r="B134" s="1">
        <f>IF(AND(Rcs_wo_sl&gt;Rcs_max,OR(B36="CCM",B36="CCM/DCM")),1,0)</f>
        <v>0</v>
      </c>
      <c r="E134" t="s">
        <v>153</v>
      </c>
    </row>
    <row r="135" spans="1:11" x14ac:dyDescent="0.2">
      <c r="A135" t="s">
        <v>158</v>
      </c>
      <c r="B135" s="27">
        <f>IF(B134=0,Rcs_wo_sl,Rcs_w_sl)</f>
        <v>4.5845713347464748E-2</v>
      </c>
      <c r="C135" s="2" t="s">
        <v>36</v>
      </c>
      <c r="E135" t="s">
        <v>162</v>
      </c>
    </row>
    <row r="136" spans="1:11" x14ac:dyDescent="0.2">
      <c r="A136" t="s">
        <v>159</v>
      </c>
      <c r="B136" s="1">
        <f>IF(K136&gt;Rsl_max,Rsl_max,K136)</f>
        <v>0</v>
      </c>
      <c r="C136" s="2" t="s">
        <v>36</v>
      </c>
      <c r="E136" t="s">
        <v>163</v>
      </c>
      <c r="K136">
        <f>IF(B134=0,0,B132)</f>
        <v>0</v>
      </c>
    </row>
    <row r="138" spans="1:11" x14ac:dyDescent="0.2">
      <c r="A138" t="s">
        <v>160</v>
      </c>
      <c r="B138" s="28">
        <f>'Design Converter'!H32/1000</f>
        <v>4.7E-2</v>
      </c>
      <c r="C138" s="2" t="s">
        <v>36</v>
      </c>
      <c r="E138" t="s">
        <v>167</v>
      </c>
    </row>
    <row r="139" spans="1:11" x14ac:dyDescent="0.2">
      <c r="A139" t="s">
        <v>161</v>
      </c>
      <c r="B139" s="3">
        <f>'Design Converter'!H33</f>
        <v>0</v>
      </c>
      <c r="C139" s="2" t="s">
        <v>36</v>
      </c>
      <c r="E139" t="s">
        <v>168</v>
      </c>
    </row>
    <row r="141" spans="1:11" x14ac:dyDescent="0.2">
      <c r="A141" t="s">
        <v>172</v>
      </c>
      <c r="B141" s="1">
        <f>(Isl*(Rsl_int+R_sl)*Fsw)/(((VOUT-VIN_min)/Lm)*R_cs)</f>
        <v>5.1504301684611817E-3</v>
      </c>
      <c r="C141" t="s">
        <v>180</v>
      </c>
      <c r="E141" t="s">
        <v>170</v>
      </c>
      <c r="K141">
        <f>IF(B141&lt;0.5,1,0)</f>
        <v>1</v>
      </c>
    </row>
    <row r="142" spans="1:11" x14ac:dyDescent="0.2">
      <c r="A142" t="s">
        <v>174</v>
      </c>
      <c r="B142" s="17">
        <f>(Vcl-(Isl*R_sl*Dc_VIN_min))/R_cs</f>
        <v>2.1276595744680851</v>
      </c>
      <c r="C142" t="s">
        <v>11</v>
      </c>
      <c r="E142" t="s">
        <v>176</v>
      </c>
      <c r="K142">
        <f>IF(IL_pk&lt;Ipk_selected,1,0)</f>
        <v>1</v>
      </c>
    </row>
    <row r="143" spans="1:11" x14ac:dyDescent="0.2">
      <c r="A143" t="s">
        <v>175</v>
      </c>
      <c r="B143" s="17">
        <f>(Vcl-(Isl*R_sl*Dc_VIN_max))/R_cs</f>
        <v>2.1276595744680851</v>
      </c>
      <c r="C143" t="s">
        <v>11</v>
      </c>
      <c r="E143" t="s">
        <v>177</v>
      </c>
    </row>
    <row r="144" spans="1:11" x14ac:dyDescent="0.2">
      <c r="A144" t="s">
        <v>178</v>
      </c>
      <c r="B144" s="1">
        <f>0.15</f>
        <v>0.15</v>
      </c>
      <c r="E144" t="s">
        <v>179</v>
      </c>
    </row>
    <row r="145" spans="1:5" x14ac:dyDescent="0.2">
      <c r="A145" t="s">
        <v>181</v>
      </c>
      <c r="B145" s="16">
        <f>(1+B144)*B143</f>
        <v>2.4468085106382977</v>
      </c>
      <c r="C145" t="s">
        <v>11</v>
      </c>
      <c r="E145" t="s">
        <v>182</v>
      </c>
    </row>
    <row r="147" spans="1:5" x14ac:dyDescent="0.2">
      <c r="A147" s="22" t="s">
        <v>183</v>
      </c>
    </row>
    <row r="148" spans="1:5" x14ac:dyDescent="0.2">
      <c r="A148" t="s">
        <v>184</v>
      </c>
    </row>
    <row r="150" spans="1:5" x14ac:dyDescent="0.2">
      <c r="A150" s="30" t="s">
        <v>185</v>
      </c>
    </row>
    <row r="152" spans="1:5" x14ac:dyDescent="0.2">
      <c r="A152" t="s">
        <v>190</v>
      </c>
      <c r="B152" s="31">
        <f>'Design Converter'!H38/1000</f>
        <v>0.1</v>
      </c>
      <c r="C152" t="s">
        <v>10</v>
      </c>
      <c r="E152" t="s">
        <v>189</v>
      </c>
    </row>
    <row r="153" spans="1:5" x14ac:dyDescent="0.2">
      <c r="A153" t="s">
        <v>192</v>
      </c>
      <c r="B153" s="1">
        <f>IOUT*Dc_VIN_min/(Fsw*Vout_rip_sel)</f>
        <v>3.7868559225005875E-7</v>
      </c>
      <c r="C153" t="s">
        <v>193</v>
      </c>
      <c r="E153" t="s">
        <v>194</v>
      </c>
    </row>
    <row r="154" spans="1:5" x14ac:dyDescent="0.2">
      <c r="A154" t="s">
        <v>196</v>
      </c>
      <c r="B154" s="16">
        <f>SQRT((1-Dc_VIN_min)*((IOUT^2)*(Dc_VIN_min/((1-Dc_VIN_min)^2))+((ILrip_VINmin^2)/3)))</f>
        <v>0.82724556018375084</v>
      </c>
      <c r="C154" t="s">
        <v>11</v>
      </c>
      <c r="E154" t="s">
        <v>197</v>
      </c>
    </row>
    <row r="155" spans="1:5" x14ac:dyDescent="0.2">
      <c r="A155" t="s">
        <v>202</v>
      </c>
      <c r="B155" s="3">
        <f>'Design Converter'!H41*(10^-6)</f>
        <v>1.04E-6</v>
      </c>
      <c r="C155" t="s">
        <v>193</v>
      </c>
      <c r="E155" t="s">
        <v>200</v>
      </c>
    </row>
    <row r="156" spans="1:5" x14ac:dyDescent="0.2">
      <c r="A156" t="s">
        <v>199</v>
      </c>
      <c r="B156" s="3">
        <f>'Design Converter'!H42/1000</f>
        <v>0.16</v>
      </c>
      <c r="C156" s="2" t="s">
        <v>36</v>
      </c>
      <c r="E156" t="s">
        <v>201</v>
      </c>
    </row>
    <row r="157" spans="1:5" x14ac:dyDescent="0.2">
      <c r="A157" t="s">
        <v>331</v>
      </c>
      <c r="B157">
        <f>SQRT((IOUT^2)+(IL_avg_VIN_min^2)-(2*IOUT*IL_avg_VIN_min)-(2*Dc_VIN_min*(IOUT^2))-(Dc_VIN_min*(IL_avg_VIN_min^2))+(2*Dc_VIN_min*IOUT*IL_avg_VIN_min))</f>
        <v>0.27121440689442411</v>
      </c>
      <c r="E157" s="38" t="s">
        <v>332</v>
      </c>
    </row>
    <row r="159" spans="1:5" x14ac:dyDescent="0.2">
      <c r="A159" s="30" t="s">
        <v>350</v>
      </c>
    </row>
    <row r="160" spans="1:5" x14ac:dyDescent="0.2">
      <c r="A160" t="s">
        <v>335</v>
      </c>
      <c r="B160" s="12">
        <f>Iss</f>
        <v>9.9999999999999991E-6</v>
      </c>
      <c r="C160" t="s">
        <v>11</v>
      </c>
      <c r="E160" t="s">
        <v>337</v>
      </c>
    </row>
    <row r="161" spans="1:5" x14ac:dyDescent="0.2">
      <c r="A161" t="s">
        <v>338</v>
      </c>
      <c r="B161" s="1">
        <f>Iss*VOUT*Cout/(Vref*IOUT)</f>
        <v>1.7679999999999999E-7</v>
      </c>
      <c r="C161" t="s">
        <v>193</v>
      </c>
      <c r="E161" t="s">
        <v>339</v>
      </c>
    </row>
    <row r="162" spans="1:5" x14ac:dyDescent="0.2">
      <c r="A162" t="s">
        <v>340</v>
      </c>
      <c r="B162" s="3">
        <f>'Design Converter'!H46*(10^-3)</f>
        <v>1.7000000000000001E-2</v>
      </c>
      <c r="C162" t="s">
        <v>54</v>
      </c>
      <c r="E162" t="s">
        <v>341</v>
      </c>
    </row>
    <row r="163" spans="1:5" x14ac:dyDescent="0.2">
      <c r="A163" t="s">
        <v>344</v>
      </c>
      <c r="B163" s="1">
        <f>(tss*Iss)/(Vref*(1-(VIN_min/VOUT)))</f>
        <v>1.7493946731234864E-7</v>
      </c>
      <c r="C163" t="s">
        <v>193</v>
      </c>
      <c r="E163" t="s">
        <v>345</v>
      </c>
    </row>
    <row r="165" spans="1:5" x14ac:dyDescent="0.2">
      <c r="A165" s="30" t="s">
        <v>349</v>
      </c>
    </row>
    <row r="166" spans="1:5" x14ac:dyDescent="0.2">
      <c r="A166" t="s">
        <v>351</v>
      </c>
      <c r="B166" s="3">
        <f>'Design Converter'!H50</f>
        <v>4.5</v>
      </c>
      <c r="C166" t="s">
        <v>10</v>
      </c>
      <c r="E166" t="s">
        <v>353</v>
      </c>
    </row>
    <row r="167" spans="1:5" x14ac:dyDescent="0.2">
      <c r="A167" t="s">
        <v>352</v>
      </c>
      <c r="B167" s="3">
        <f>'Design Converter'!H51</f>
        <v>4.0999999999999996</v>
      </c>
      <c r="C167" t="s">
        <v>10</v>
      </c>
      <c r="E167" t="s">
        <v>354</v>
      </c>
    </row>
    <row r="168" spans="1:5" x14ac:dyDescent="0.2">
      <c r="A168" t="s">
        <v>356</v>
      </c>
      <c r="B168" s="12">
        <f>UV_rise</f>
        <v>1.5</v>
      </c>
      <c r="C168" t="s">
        <v>10</v>
      </c>
      <c r="E168" t="s">
        <v>361</v>
      </c>
    </row>
    <row r="169" spans="1:5" x14ac:dyDescent="0.2">
      <c r="A169" t="s">
        <v>357</v>
      </c>
      <c r="B169" s="12">
        <f>UV_fall</f>
        <v>1.45</v>
      </c>
      <c r="C169" t="s">
        <v>10</v>
      </c>
      <c r="E169" t="s">
        <v>360</v>
      </c>
    </row>
    <row r="170" spans="1:5" x14ac:dyDescent="0.2">
      <c r="A170" t="s">
        <v>362</v>
      </c>
      <c r="B170" s="12">
        <f>UV_I_hyst</f>
        <v>4.9999999999999996E-6</v>
      </c>
      <c r="C170" t="s">
        <v>11</v>
      </c>
      <c r="E170" t="s">
        <v>364</v>
      </c>
    </row>
    <row r="171" spans="1:5" x14ac:dyDescent="0.2">
      <c r="A171" t="s">
        <v>365</v>
      </c>
      <c r="B171" s="18">
        <f>((Vuvlo_on*0.967)-Vuvlo_off)/(UV_I_hyst)</f>
        <v>50300.000000000015</v>
      </c>
      <c r="C171" s="2" t="s">
        <v>36</v>
      </c>
      <c r="E171" t="s">
        <v>466</v>
      </c>
    </row>
    <row r="172" spans="1:5" x14ac:dyDescent="0.2">
      <c r="A172" t="s">
        <v>365</v>
      </c>
      <c r="B172" s="3">
        <f>'Design Converter'!H53*1000</f>
        <v>50000</v>
      </c>
      <c r="C172" s="2" t="s">
        <v>36</v>
      </c>
      <c r="E172" t="s">
        <v>467</v>
      </c>
    </row>
    <row r="173" spans="1:5" x14ac:dyDescent="0.2">
      <c r="A173" t="s">
        <v>366</v>
      </c>
      <c r="B173" s="18">
        <f>UV_rise*Ruvlo_top/(Vuvlo_on-UV_rise)</f>
        <v>25000</v>
      </c>
      <c r="C173" s="2" t="s">
        <v>36</v>
      </c>
      <c r="E173" t="s">
        <v>468</v>
      </c>
    </row>
    <row r="174" spans="1:5" x14ac:dyDescent="0.2">
      <c r="A174" t="s">
        <v>367</v>
      </c>
      <c r="B174" s="17">
        <f>UV_rise*(Ruvlo_top+Ruvlo_bottom_calc)/Ruvlo_bottom_calc</f>
        <v>4.5</v>
      </c>
      <c r="E174" t="s">
        <v>369</v>
      </c>
    </row>
    <row r="175" spans="1:5" x14ac:dyDescent="0.2">
      <c r="A175" t="s">
        <v>368</v>
      </c>
      <c r="B175" s="17">
        <f>Ruvlo_top*((UV_fall/Ruvlo_top)-(UV_I_hyst)+(UV_fall/Ruvlo_bottom_calc))</f>
        <v>4.0999999999999996</v>
      </c>
      <c r="E175" t="s">
        <v>370</v>
      </c>
    </row>
    <row r="178" spans="1:5" x14ac:dyDescent="0.2">
      <c r="A178" s="30" t="s">
        <v>204</v>
      </c>
    </row>
    <row r="179" spans="1:5" x14ac:dyDescent="0.2">
      <c r="A179" s="34" t="s">
        <v>232</v>
      </c>
      <c r="B179" s="3" t="str">
        <f>'Design Converter'!H57</f>
        <v>5V</v>
      </c>
      <c r="C179" t="s">
        <v>10</v>
      </c>
      <c r="E179" t="s">
        <v>276</v>
      </c>
    </row>
    <row r="180" spans="1:5" x14ac:dyDescent="0.2">
      <c r="A180" s="34"/>
    </row>
    <row r="181" spans="1:5" x14ac:dyDescent="0.2">
      <c r="A181" s="33" t="s">
        <v>291</v>
      </c>
    </row>
    <row r="182" spans="1:5" x14ac:dyDescent="0.2">
      <c r="A182" t="s">
        <v>224</v>
      </c>
      <c r="B182" s="3">
        <f>'Design Converter'!H60*(10^3)</f>
        <v>50000</v>
      </c>
      <c r="C182" s="2" t="s">
        <v>36</v>
      </c>
      <c r="E182" t="s">
        <v>277</v>
      </c>
    </row>
    <row r="183" spans="1:5" x14ac:dyDescent="0.2">
      <c r="A183" t="s">
        <v>281</v>
      </c>
      <c r="B183" s="18">
        <f>(RFBT*Vref)/(VOUT-Vref)</f>
        <v>295.85798816568047</v>
      </c>
      <c r="C183" s="2" t="s">
        <v>36</v>
      </c>
      <c r="E183" t="s">
        <v>284</v>
      </c>
    </row>
    <row r="184" spans="1:5" x14ac:dyDescent="0.2">
      <c r="A184" t="s">
        <v>225</v>
      </c>
      <c r="B184" s="3">
        <f>'Design Converter'!H62*(10^3)</f>
        <v>300</v>
      </c>
      <c r="C184" s="2" t="s">
        <v>36</v>
      </c>
      <c r="E184" t="s">
        <v>285</v>
      </c>
    </row>
    <row r="185" spans="1:5" x14ac:dyDescent="0.2">
      <c r="A185" t="s">
        <v>286</v>
      </c>
      <c r="B185" s="1">
        <f>VOUT/(RFBB+RFBT)</f>
        <v>3.3797216699801192E-3</v>
      </c>
      <c r="C185" s="2" t="s">
        <v>11</v>
      </c>
      <c r="E185" t="s">
        <v>287</v>
      </c>
    </row>
    <row r="186" spans="1:5" x14ac:dyDescent="0.2">
      <c r="C186" s="2"/>
    </row>
    <row r="187" spans="1:5" x14ac:dyDescent="0.2">
      <c r="A187" s="33" t="s">
        <v>292</v>
      </c>
      <c r="E187" t="s">
        <v>457</v>
      </c>
    </row>
    <row r="189" spans="1:5" x14ac:dyDescent="0.2">
      <c r="A189" t="s">
        <v>470</v>
      </c>
      <c r="B189">
        <f>(Gcomp*(VIN_min/VOUT)*(VOUT/IOUT))/(2*R_cs*Acs)</f>
        <v>740.42553191489344</v>
      </c>
    </row>
    <row r="191" spans="1:5" x14ac:dyDescent="0.2">
      <c r="A191" t="s">
        <v>471</v>
      </c>
      <c r="B191" s="12">
        <f>2/(Cout*(VOUT/IOUT))</f>
        <v>113.12217194570135</v>
      </c>
      <c r="C191" t="s">
        <v>454</v>
      </c>
      <c r="E191" t="s">
        <v>453</v>
      </c>
    </row>
    <row r="192" spans="1:5" x14ac:dyDescent="0.2">
      <c r="A192" t="s">
        <v>472</v>
      </c>
      <c r="B192" s="1">
        <f>B191/(2*PI())</f>
        <v>18.003952838449699</v>
      </c>
      <c r="C192" t="s">
        <v>69</v>
      </c>
      <c r="E192" t="s">
        <v>288</v>
      </c>
    </row>
    <row r="194" spans="1:5" x14ac:dyDescent="0.2">
      <c r="A194" t="s">
        <v>473</v>
      </c>
      <c r="B194" s="12">
        <f>1/(Cout*Resr)</f>
        <v>6009615.384615384</v>
      </c>
      <c r="C194" t="s">
        <v>455</v>
      </c>
      <c r="E194" t="s">
        <v>456</v>
      </c>
    </row>
    <row r="195" spans="1:5" x14ac:dyDescent="0.2">
      <c r="A195" t="s">
        <v>474</v>
      </c>
      <c r="B195" s="1">
        <f>B194/(2*PI())</f>
        <v>956459.99454264017</v>
      </c>
      <c r="C195" t="s">
        <v>69</v>
      </c>
      <c r="E195" t="s">
        <v>290</v>
      </c>
    </row>
    <row r="197" spans="1:5" x14ac:dyDescent="0.2">
      <c r="A197" t="s">
        <v>475</v>
      </c>
      <c r="B197" s="12">
        <f>((VOUT/IOUT)*((VIN_min/VOUT)^2))/(Lm)</f>
        <v>1355294.1176470588</v>
      </c>
      <c r="E197" t="s">
        <v>452</v>
      </c>
    </row>
    <row r="198" spans="1:5" x14ac:dyDescent="0.2">
      <c r="A198" t="s">
        <v>476</v>
      </c>
      <c r="B198" s="18">
        <f>B197/(2*PI())</f>
        <v>215701.75816689816</v>
      </c>
      <c r="C198" t="s">
        <v>69</v>
      </c>
      <c r="E198" t="s">
        <v>289</v>
      </c>
    </row>
    <row r="199" spans="1:5" x14ac:dyDescent="0.2">
      <c r="B199">
        <f>Fsw/10</f>
        <v>10000</v>
      </c>
      <c r="C199" t="s">
        <v>69</v>
      </c>
      <c r="E199" t="s">
        <v>297</v>
      </c>
    </row>
    <row r="200" spans="1:5" x14ac:dyDescent="0.2">
      <c r="B200">
        <f>IF((B198/5)&lt;(B199),0,1)</f>
        <v>1</v>
      </c>
      <c r="E200" t="s">
        <v>299</v>
      </c>
    </row>
    <row r="202" spans="1:5" x14ac:dyDescent="0.2">
      <c r="A202" t="s">
        <v>477</v>
      </c>
      <c r="B202" s="1">
        <f>(Isl*(Rsl_int+R_sl)*Fsw)</f>
        <v>3999</v>
      </c>
      <c r="C202" t="s">
        <v>180</v>
      </c>
      <c r="E202" t="s">
        <v>248</v>
      </c>
    </row>
    <row r="203" spans="1:5" x14ac:dyDescent="0.2">
      <c r="A203" t="s">
        <v>478</v>
      </c>
      <c r="B203" s="1">
        <f>(R_cs*VIN_min*Acs)/Lm</f>
        <v>22560</v>
      </c>
      <c r="C203" t="s">
        <v>180</v>
      </c>
      <c r="E203" t="s">
        <v>249</v>
      </c>
    </row>
    <row r="204" spans="1:5" x14ac:dyDescent="0.2">
      <c r="B204" s="1"/>
    </row>
    <row r="205" spans="1:5" x14ac:dyDescent="0.2">
      <c r="A205" t="s">
        <v>479</v>
      </c>
      <c r="B205" s="1">
        <f>2*PI()*Fsw</f>
        <v>628318.53071795858</v>
      </c>
      <c r="C205" t="s">
        <v>251</v>
      </c>
    </row>
    <row r="206" spans="1:5" x14ac:dyDescent="0.2">
      <c r="A206" t="s">
        <v>480</v>
      </c>
      <c r="B206" s="1">
        <f>1/(PI()*(((VIN_min/VOUT)*(1+(B202/B203)))-0.5))</f>
        <v>-0.68195666086820361</v>
      </c>
    </row>
    <row r="212" spans="1:5" x14ac:dyDescent="0.2">
      <c r="A212" t="s">
        <v>293</v>
      </c>
      <c r="B212" s="17">
        <f>IF(B200=0,fz_rhp/5,Fsw/10)</f>
        <v>10000</v>
      </c>
      <c r="C212" t="s">
        <v>69</v>
      </c>
      <c r="E212" t="s">
        <v>298</v>
      </c>
    </row>
    <row r="213" spans="1:5" x14ac:dyDescent="0.2">
      <c r="A213" t="s">
        <v>295</v>
      </c>
      <c r="B213" s="3">
        <f>'Design Converter'!H66*1000</f>
        <v>5000</v>
      </c>
      <c r="C213" t="s">
        <v>69</v>
      </c>
      <c r="E213" t="s">
        <v>296</v>
      </c>
    </row>
    <row r="215" spans="1:5" x14ac:dyDescent="0.2">
      <c r="A215" t="s">
        <v>304</v>
      </c>
      <c r="B215" s="20">
        <f>Gplant_fc_dB</f>
        <v>8.5134962291570186</v>
      </c>
      <c r="C215" t="s">
        <v>275</v>
      </c>
      <c r="E215" t="s">
        <v>305</v>
      </c>
    </row>
    <row r="216" spans="1:5" x14ac:dyDescent="0.2">
      <c r="A216" t="s">
        <v>300</v>
      </c>
      <c r="B216" s="20">
        <f>10^(B215/20)</f>
        <v>2.6648625367374272</v>
      </c>
      <c r="C216" t="s">
        <v>180</v>
      </c>
      <c r="E216" t="s">
        <v>301</v>
      </c>
    </row>
    <row r="217" spans="1:5" x14ac:dyDescent="0.2">
      <c r="A217" t="s">
        <v>306</v>
      </c>
      <c r="B217" s="20">
        <f>1/B216</f>
        <v>0.37525387753181938</v>
      </c>
      <c r="C217" t="s">
        <v>180</v>
      </c>
      <c r="E217" t="s">
        <v>307</v>
      </c>
    </row>
    <row r="219" spans="1:5" x14ac:dyDescent="0.2">
      <c r="A219" t="s">
        <v>313</v>
      </c>
      <c r="B219">
        <f>fcross/10</f>
        <v>500</v>
      </c>
      <c r="C219" t="s">
        <v>69</v>
      </c>
      <c r="E219" t="s">
        <v>311</v>
      </c>
    </row>
    <row r="220" spans="1:5" x14ac:dyDescent="0.2">
      <c r="A220" t="s">
        <v>314</v>
      </c>
      <c r="B220" s="35">
        <f>SQRT(B192*fcross)</f>
        <v>300.03293851217148</v>
      </c>
      <c r="C220" t="s">
        <v>69</v>
      </c>
      <c r="E220" t="s">
        <v>312</v>
      </c>
    </row>
    <row r="221" spans="1:5" x14ac:dyDescent="0.2">
      <c r="A221" t="s">
        <v>310</v>
      </c>
      <c r="B221" s="35">
        <f>B220</f>
        <v>300.03293851217148</v>
      </c>
      <c r="C221" t="s">
        <v>69</v>
      </c>
    </row>
    <row r="223" spans="1:5" x14ac:dyDescent="0.2">
      <c r="A223" t="s">
        <v>317</v>
      </c>
      <c r="B223" s="32">
        <f>fz_rhp</f>
        <v>215701.75816689816</v>
      </c>
      <c r="C223" t="s">
        <v>69</v>
      </c>
      <c r="E223" t="s">
        <v>490</v>
      </c>
    </row>
    <row r="224" spans="1:5" x14ac:dyDescent="0.2">
      <c r="E224" t="s">
        <v>491</v>
      </c>
    </row>
    <row r="227" spans="1:5" x14ac:dyDescent="0.2">
      <c r="A227" t="s">
        <v>308</v>
      </c>
      <c r="B227" s="23">
        <f>(Gea_mid_calc*(RFBT+RFBB)/(RFBB*gm_ea))</f>
        <v>31458.783399750861</v>
      </c>
      <c r="C227" s="2" t="s">
        <v>36</v>
      </c>
      <c r="E227" t="s">
        <v>309</v>
      </c>
    </row>
    <row r="228" spans="1:5" x14ac:dyDescent="0.2">
      <c r="A228" t="s">
        <v>214</v>
      </c>
      <c r="B228" s="3">
        <f>'Design Converter'!H69*1000</f>
        <v>30000</v>
      </c>
      <c r="C228" s="2" t="s">
        <v>36</v>
      </c>
      <c r="E228" t="s">
        <v>221</v>
      </c>
    </row>
    <row r="229" spans="1:5" x14ac:dyDescent="0.2">
      <c r="A229" t="s">
        <v>315</v>
      </c>
      <c r="B229" s="36">
        <f>1/(2*PI()*fz_ea_est*Rcomp_calc)</f>
        <v>1.686200729853146E-8</v>
      </c>
      <c r="C229" s="2" t="s">
        <v>193</v>
      </c>
    </row>
    <row r="230" spans="1:5" x14ac:dyDescent="0.2">
      <c r="A230" t="s">
        <v>219</v>
      </c>
      <c r="B230" s="3">
        <f>'Design Converter'!H70*(10^-9)</f>
        <v>1.8000000000000002E-8</v>
      </c>
      <c r="C230" t="s">
        <v>193</v>
      </c>
      <c r="E230" t="s">
        <v>222</v>
      </c>
    </row>
    <row r="231" spans="1:5" x14ac:dyDescent="0.2">
      <c r="A231" t="s">
        <v>316</v>
      </c>
      <c r="B231" s="36">
        <f>(CComp_calc)/((CComp_calc*Rcomp_calc*2*PI()*fp_ea_est)-1)</f>
        <v>2.3487080215480894E-11</v>
      </c>
      <c r="C231" t="s">
        <v>193</v>
      </c>
    </row>
    <row r="232" spans="1:5" x14ac:dyDescent="0.2">
      <c r="A232" t="s">
        <v>220</v>
      </c>
      <c r="B232" s="3">
        <f>'Design Converter'!H71*(10^-12)</f>
        <v>3.3000000000000002E-11</v>
      </c>
      <c r="C232" t="s">
        <v>193</v>
      </c>
      <c r="E232" t="s">
        <v>223</v>
      </c>
    </row>
    <row r="235" spans="1:5" x14ac:dyDescent="0.2">
      <c r="A235" s="30" t="s">
        <v>379</v>
      </c>
    </row>
    <row r="236" spans="1:5" x14ac:dyDescent="0.2">
      <c r="A236" s="30" t="s">
        <v>398</v>
      </c>
    </row>
    <row r="237" spans="1:5" x14ac:dyDescent="0.2">
      <c r="A237" s="52" t="s">
        <v>461</v>
      </c>
      <c r="E237" t="s">
        <v>462</v>
      </c>
    </row>
    <row r="238" spans="1:5" x14ac:dyDescent="0.2">
      <c r="A238" t="s">
        <v>380</v>
      </c>
      <c r="B238">
        <f>'Design Converter'!H86/1000</f>
        <v>1.25</v>
      </c>
      <c r="C238" t="s">
        <v>10</v>
      </c>
      <c r="E238" t="s">
        <v>381</v>
      </c>
    </row>
    <row r="239" spans="1:5" x14ac:dyDescent="0.2">
      <c r="A239" t="s">
        <v>411</v>
      </c>
      <c r="B239">
        <f>'Design Converter'!H87*(10^-9)</f>
        <v>1.7E-8</v>
      </c>
      <c r="C239" t="s">
        <v>409</v>
      </c>
      <c r="E239" t="s">
        <v>410</v>
      </c>
    </row>
    <row r="242" spans="1:8" x14ac:dyDescent="0.2">
      <c r="A242" s="30" t="s">
        <v>401</v>
      </c>
    </row>
    <row r="243" spans="1:8" x14ac:dyDescent="0.2">
      <c r="A243" t="s">
        <v>412</v>
      </c>
      <c r="B243" s="3">
        <f>'Design Converter'!H76*(10^-3)</f>
        <v>0.11700000000000001</v>
      </c>
      <c r="C243" s="2" t="s">
        <v>36</v>
      </c>
      <c r="E243" s="44" t="s">
        <v>387</v>
      </c>
    </row>
    <row r="244" spans="1:8" x14ac:dyDescent="0.2">
      <c r="A244" t="s">
        <v>402</v>
      </c>
      <c r="B244" s="3">
        <f>'Design Converter'!H77*(10^-9)</f>
        <v>3.2000000000000002E-8</v>
      </c>
      <c r="C244" t="s">
        <v>193</v>
      </c>
      <c r="E244" s="44" t="s">
        <v>388</v>
      </c>
    </row>
    <row r="245" spans="1:8" x14ac:dyDescent="0.2">
      <c r="A245" t="s">
        <v>404</v>
      </c>
      <c r="B245" s="3">
        <f>'Design Converter'!H78*(10^-9)</f>
        <v>8.0000000000000005E-9</v>
      </c>
      <c r="C245" t="s">
        <v>193</v>
      </c>
      <c r="E245" s="44" t="s">
        <v>389</v>
      </c>
    </row>
    <row r="246" spans="1:8" x14ac:dyDescent="0.2">
      <c r="A246" t="s">
        <v>403</v>
      </c>
      <c r="B246" s="3">
        <f>'Design Converter'!H79*(10^-9)</f>
        <v>9.0000000000000012E-9</v>
      </c>
      <c r="C246" t="s">
        <v>193</v>
      </c>
      <c r="E246" s="44" t="s">
        <v>390</v>
      </c>
    </row>
    <row r="247" spans="1:8" x14ac:dyDescent="0.2">
      <c r="A247" t="s">
        <v>405</v>
      </c>
      <c r="B247" s="3">
        <f>'Design Converter'!H80</f>
        <v>0.7</v>
      </c>
      <c r="C247" s="2" t="s">
        <v>36</v>
      </c>
      <c r="E247" s="44" t="s">
        <v>391</v>
      </c>
    </row>
    <row r="248" spans="1:8" x14ac:dyDescent="0.2">
      <c r="A248" t="s">
        <v>413</v>
      </c>
      <c r="B248" s="12">
        <v>1.5</v>
      </c>
      <c r="C248" s="2"/>
      <c r="E248" s="44" t="s">
        <v>414</v>
      </c>
      <c r="H248" t="s">
        <v>423</v>
      </c>
    </row>
    <row r="249" spans="1:8" x14ac:dyDescent="0.2">
      <c r="A249" t="s">
        <v>406</v>
      </c>
      <c r="B249" s="3">
        <f>'Design Converter'!H81</f>
        <v>15.2</v>
      </c>
      <c r="C249" s="2" t="s">
        <v>397</v>
      </c>
      <c r="E249" s="44" t="s">
        <v>392</v>
      </c>
    </row>
    <row r="250" spans="1:8" x14ac:dyDescent="0.2">
      <c r="A250" t="s">
        <v>407</v>
      </c>
      <c r="B250" s="3">
        <f>'Design Converter'!H82</f>
        <v>3</v>
      </c>
      <c r="C250" s="2" t="s">
        <v>10</v>
      </c>
      <c r="E250" s="44" t="s">
        <v>393</v>
      </c>
    </row>
    <row r="251" spans="1:8" x14ac:dyDescent="0.2">
      <c r="A251" t="s">
        <v>419</v>
      </c>
      <c r="B251" s="12">
        <f>Vcc</f>
        <v>6.75</v>
      </c>
      <c r="C251" s="2" t="s">
        <v>10</v>
      </c>
      <c r="E251" s="44" t="s">
        <v>424</v>
      </c>
    </row>
    <row r="252" spans="1:8" x14ac:dyDescent="0.2">
      <c r="C252" s="2"/>
      <c r="E252" s="44"/>
    </row>
    <row r="253" spans="1:8" x14ac:dyDescent="0.2">
      <c r="C253" s="2"/>
      <c r="E253" s="44"/>
    </row>
    <row r="254" spans="1:8" x14ac:dyDescent="0.2">
      <c r="A254" t="s">
        <v>415</v>
      </c>
      <c r="B254" s="27">
        <f>Vth+(((VOUT*IOUT)/VIN_min)/gfs)</f>
        <v>3.0233004385964914</v>
      </c>
      <c r="C254" s="2" t="s">
        <v>10</v>
      </c>
      <c r="E254" s="44" t="s">
        <v>416</v>
      </c>
    </row>
    <row r="255" spans="1:8" x14ac:dyDescent="0.2">
      <c r="A255" t="s">
        <v>425</v>
      </c>
      <c r="B255" s="1">
        <f>(Qgd+(Qgs/2))*((Rgate+B248)/(Vcc-B254))</f>
        <v>7.3791835233541766E-9</v>
      </c>
      <c r="C255" s="2" t="s">
        <v>54</v>
      </c>
      <c r="E255" s="44" t="s">
        <v>417</v>
      </c>
    </row>
    <row r="256" spans="1:8" ht="16" thickBot="1" x14ac:dyDescent="0.25">
      <c r="A256" t="s">
        <v>426</v>
      </c>
      <c r="B256" s="1">
        <f>(Qgd+(Qgs/2))*((B248+Rgate)/B254)</f>
        <v>9.0960195847311645E-9</v>
      </c>
      <c r="C256" t="s">
        <v>54</v>
      </c>
      <c r="E256" s="45" t="s">
        <v>418</v>
      </c>
    </row>
  </sheetData>
  <mergeCells count="2">
    <mergeCell ref="A1:J1"/>
    <mergeCell ref="E5:H5"/>
  </mergeCells>
  <pageMargins left="0.7" right="0.7" top="0.75" bottom="0.75" header="0.3" footer="0.3"/>
  <pageSetup orientation="portrait" r:id="rId1"/>
  <drawing r:id="rId2"/>
  <legacyDrawing r:id="rId3"/>
  <oleObjects>
    <mc:AlternateContent xmlns:mc="http://schemas.openxmlformats.org/markup-compatibility/2006">
      <mc:Choice Requires="x14">
        <oleObject progId="Mathcad" shapeId="2053" r:id="rId4">
          <objectPr defaultSize="0" autoPict="0" r:id="rId5">
            <anchor moveWithCells="1">
              <from>
                <xdr:col>8</xdr:col>
                <xdr:colOff>63500</xdr:colOff>
                <xdr:row>154</xdr:row>
                <xdr:rowOff>139700</xdr:rowOff>
              </from>
              <to>
                <xdr:col>12</xdr:col>
                <xdr:colOff>393700</xdr:colOff>
                <xdr:row>157</xdr:row>
                <xdr:rowOff>25400</xdr:rowOff>
              </to>
            </anchor>
          </objectPr>
        </oleObject>
      </mc:Choice>
      <mc:Fallback>
        <oleObject progId="Mathcad" shapeId="2053" r:id="rId4"/>
      </mc:Fallback>
    </mc:AlternateContent>
  </oleObjec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T157"/>
  <sheetViews>
    <sheetView topLeftCell="R1" zoomScale="85" zoomScaleNormal="85" workbookViewId="0">
      <pane ySplit="6" topLeftCell="A135" activePane="bottomLeft" state="frozen"/>
      <selection activeCell="N8" sqref="N8"/>
      <selection pane="bottomLeft" activeCell="N8" sqref="N8"/>
    </sheetView>
  </sheetViews>
  <sheetFormatPr baseColWidth="10" defaultColWidth="8.83203125" defaultRowHeight="15" x14ac:dyDescent="0.2"/>
  <cols>
    <col min="10" max="10" width="10" bestFit="1" customWidth="1"/>
    <col min="25" max="25" width="12" bestFit="1" customWidth="1"/>
    <col min="39" max="39" width="11" bestFit="1" customWidth="1"/>
  </cols>
  <sheetData>
    <row r="1" spans="1:46" ht="28" x14ac:dyDescent="0.3">
      <c r="A1" s="229" t="s">
        <v>15</v>
      </c>
      <c r="B1" s="229"/>
      <c r="C1" s="229"/>
      <c r="D1" s="229"/>
      <c r="E1" s="229"/>
      <c r="F1" s="229"/>
      <c r="G1" s="229"/>
      <c r="H1" s="229"/>
      <c r="I1" s="229"/>
      <c r="J1" s="229"/>
      <c r="K1" s="229"/>
      <c r="L1" s="229"/>
      <c r="M1" s="229"/>
    </row>
    <row r="4" spans="1:46" ht="16" thickBot="1" x14ac:dyDescent="0.25">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row>
    <row r="5" spans="1:46" ht="32" x14ac:dyDescent="0.2">
      <c r="R5" s="234" t="s">
        <v>372</v>
      </c>
      <c r="S5" s="235"/>
      <c r="T5" s="235"/>
      <c r="U5" s="236"/>
      <c r="V5" s="234" t="s">
        <v>373</v>
      </c>
      <c r="W5" s="235"/>
      <c r="X5" s="236"/>
      <c r="Y5" s="234" t="s">
        <v>446</v>
      </c>
      <c r="Z5" s="235"/>
      <c r="AA5" s="235"/>
      <c r="AB5" s="235"/>
      <c r="AC5" s="235"/>
      <c r="AD5" s="236"/>
      <c r="AE5" s="234" t="s">
        <v>445</v>
      </c>
      <c r="AF5" s="235"/>
      <c r="AG5" s="235"/>
      <c r="AH5" s="235"/>
      <c r="AI5" s="236"/>
      <c r="AJ5" s="234" t="s">
        <v>447</v>
      </c>
      <c r="AK5" s="235"/>
      <c r="AL5" s="235"/>
      <c r="AM5" s="235"/>
      <c r="AN5" s="236"/>
      <c r="AO5" s="231" t="s">
        <v>442</v>
      </c>
      <c r="AP5" s="232"/>
      <c r="AQ5" s="233"/>
      <c r="AR5" s="49" t="s">
        <v>435</v>
      </c>
      <c r="AS5" s="50"/>
      <c r="AT5" s="51"/>
    </row>
    <row r="6" spans="1:46" ht="17" x14ac:dyDescent="0.25">
      <c r="R6" s="39" t="s">
        <v>31</v>
      </c>
      <c r="S6" s="37" t="s">
        <v>33</v>
      </c>
      <c r="T6" s="37" t="s">
        <v>327</v>
      </c>
      <c r="U6" s="40" t="s">
        <v>330</v>
      </c>
      <c r="V6" s="39" t="s">
        <v>328</v>
      </c>
      <c r="W6" s="37" t="s">
        <v>329</v>
      </c>
      <c r="X6" s="40" t="s">
        <v>377</v>
      </c>
      <c r="Y6" s="39" t="s">
        <v>374</v>
      </c>
      <c r="Z6" s="37" t="s">
        <v>376</v>
      </c>
      <c r="AA6" s="37" t="s">
        <v>375</v>
      </c>
      <c r="AB6" s="46" t="s">
        <v>383</v>
      </c>
      <c r="AC6" s="46" t="s">
        <v>384</v>
      </c>
      <c r="AD6" s="48" t="s">
        <v>433</v>
      </c>
      <c r="AE6" s="39" t="s">
        <v>427</v>
      </c>
      <c r="AF6" s="37" t="s">
        <v>428</v>
      </c>
      <c r="AG6" s="46" t="s">
        <v>430</v>
      </c>
      <c r="AH6" s="46" t="s">
        <v>429</v>
      </c>
      <c r="AI6" s="48" t="s">
        <v>431</v>
      </c>
      <c r="AJ6" s="39" t="s">
        <v>382</v>
      </c>
      <c r="AK6" s="37" t="s">
        <v>378</v>
      </c>
      <c r="AL6" s="37" t="s">
        <v>385</v>
      </c>
      <c r="AM6" s="37" t="s">
        <v>386</v>
      </c>
      <c r="AN6" s="40" t="s">
        <v>432</v>
      </c>
      <c r="AO6" s="39" t="s">
        <v>434</v>
      </c>
      <c r="AP6" s="37" t="s">
        <v>437</v>
      </c>
      <c r="AQ6" s="40" t="s">
        <v>438</v>
      </c>
      <c r="AR6" s="39" t="s">
        <v>436</v>
      </c>
      <c r="AS6" s="37" t="s">
        <v>444</v>
      </c>
      <c r="AT6" s="40" t="s">
        <v>443</v>
      </c>
    </row>
    <row r="7" spans="1:46" x14ac:dyDescent="0.2">
      <c r="Q7">
        <v>0</v>
      </c>
      <c r="R7" s="39">
        <f t="shared" ref="R7:R70" si="0">VOUT</f>
        <v>170</v>
      </c>
      <c r="S7" s="37">
        <f t="shared" ref="S7:S38" si="1">Q7*$O$12</f>
        <v>0</v>
      </c>
      <c r="T7" s="37">
        <f t="shared" ref="T7:T70" si="2">VIN_var</f>
        <v>5</v>
      </c>
      <c r="U7" s="40">
        <f t="shared" ref="U7:U38" si="3">(R7*S7)/(T7*EFF_est)</f>
        <v>0</v>
      </c>
      <c r="V7" s="39">
        <f t="shared" ref="V7:V38" si="4">IF((S7*R7/T7)&lt;((T7*(1-(T7/R7)))/(2*Lm*Fsw)),1,2)</f>
        <v>1</v>
      </c>
      <c r="W7" s="37">
        <f t="shared" ref="W7:W38" si="5">CHOOSE(V7,SQRT((2*S7*Lm*Fsw*(R7-T7))/((T7)^2)),1-(T7/R7))</f>
        <v>0</v>
      </c>
      <c r="X7" s="40">
        <f t="shared" ref="X7:X38" si="6">CHOOSE(V7,(Lm*W7*Fsw)/(R7-T7),1-W7)</f>
        <v>0</v>
      </c>
      <c r="Y7" s="39">
        <f t="shared" ref="Y7:Y38" si="7">(T7*W7)/(Lm*Fsw)</f>
        <v>0</v>
      </c>
      <c r="Z7" s="37">
        <f>CHOOSE(V7,Y7,U7+(0.5*Y7))</f>
        <v>0</v>
      </c>
      <c r="AA7" s="37">
        <f>CHOOSE(V7,Z7*SQRT((W7+X7)/3),SQRT((U7^2)+((Y7^2)/12)))</f>
        <v>0</v>
      </c>
      <c r="AB7" s="37">
        <v>0</v>
      </c>
      <c r="AC7" s="37">
        <f t="shared" ref="AC7:AC38" si="8">(AA7^2)*Rdcr</f>
        <v>0</v>
      </c>
      <c r="AD7" s="40">
        <f>AB7+AC7</f>
        <v>0</v>
      </c>
      <c r="AE7" s="39">
        <f>U7*W7</f>
        <v>0</v>
      </c>
      <c r="AF7" s="37">
        <f>CHOOSE(V7,Z7*SQRT(W7/3),SQRT(W7*((Z7^2)+((Y7^2)/3)-(Z7*Y7))))</f>
        <v>0</v>
      </c>
      <c r="AG7" s="37">
        <f t="shared" ref="AG7:AG38" si="9">(AF7^2)*RDS_on</f>
        <v>0</v>
      </c>
      <c r="AH7" s="37">
        <f t="shared" ref="AH7:AH38" si="10">((R7*U7)/2)*Fsw*(tr_sw+tf_sw)</f>
        <v>0</v>
      </c>
      <c r="AI7" s="40">
        <f>AG7+AH7</f>
        <v>0</v>
      </c>
      <c r="AJ7" s="39">
        <f>X7*U7</f>
        <v>0</v>
      </c>
      <c r="AK7" s="37">
        <f t="shared" ref="AK7:AK38" si="11">CHOOSE(V7,Z7*SQRT(X7/3),SQRT(X7*((Z7^2)+((Y7^2)/3)-(Y7*Z7))))</f>
        <v>0</v>
      </c>
      <c r="AL7" s="37">
        <f t="shared" ref="AL7:AL38" si="12">S7*Vd_rect</f>
        <v>0</v>
      </c>
      <c r="AM7" s="37">
        <f t="shared" ref="AM7:AM38" si="13">CHOOSE(V7,(R7+Vd_rect)*Qrr*Fsw,(R7+Vd_rect)*Qrr*Fsw)</f>
        <v>0.29112499999999997</v>
      </c>
      <c r="AN7" s="40">
        <f>AL7+AM7</f>
        <v>0.29112499999999997</v>
      </c>
      <c r="AO7" s="39">
        <f t="shared" ref="AO7:AO38" si="14">(AF7^2)*R_cs</f>
        <v>0</v>
      </c>
      <c r="AP7" s="37">
        <f t="shared" ref="AP7:AP38" si="15">Qg_tot*Vcc*Fsw</f>
        <v>2.1600000000000001E-2</v>
      </c>
      <c r="AQ7" s="40">
        <f t="shared" ref="AQ7:AQ38" si="16">IQ*T7</f>
        <v>2.2499999999999998E-3</v>
      </c>
      <c r="AR7" s="39">
        <f>AO7+AN7+AI7+AD7+AP7+AQ7</f>
        <v>0.31497499999999995</v>
      </c>
      <c r="AS7" s="37">
        <f>R7*S7</f>
        <v>0</v>
      </c>
      <c r="AT7" s="40">
        <f>(AS7/(AS7+AR7))*100</f>
        <v>0</v>
      </c>
    </row>
    <row r="8" spans="1:46" x14ac:dyDescent="0.2">
      <c r="M8">
        <f>Fsw</f>
        <v>100000</v>
      </c>
      <c r="Q8">
        <v>1</v>
      </c>
      <c r="R8" s="39">
        <f t="shared" si="0"/>
        <v>170</v>
      </c>
      <c r="S8" s="37">
        <f t="shared" si="1"/>
        <v>6.666666666666667E-5</v>
      </c>
      <c r="T8" s="37">
        <f t="shared" si="2"/>
        <v>5</v>
      </c>
      <c r="U8" s="40">
        <f t="shared" si="3"/>
        <v>3.4871794871794873E-3</v>
      </c>
      <c r="V8" s="39">
        <f t="shared" si="4"/>
        <v>1</v>
      </c>
      <c r="W8" s="37">
        <f t="shared" si="5"/>
        <v>2.9664793948382655E-2</v>
      </c>
      <c r="X8" s="40">
        <f t="shared" si="6"/>
        <v>1.797866299901979E-4</v>
      </c>
      <c r="Y8" s="39">
        <f t="shared" si="7"/>
        <v>0.14832396974191331</v>
      </c>
      <c r="Z8" s="37">
        <f t="shared" ref="Z8:Z15" si="17">CHOOSE(V8,Y8,U8+(0.5*Y8))</f>
        <v>0.14832396974191331</v>
      </c>
      <c r="AA8" s="37">
        <f t="shared" ref="AA8:AA15" si="18">CHOOSE(V8,Z8*SQRT((W8+X8)/3),SQRT((U8^2)+((Y8^2)/12)))</f>
        <v>1.4793926374520537E-2</v>
      </c>
      <c r="AB8" s="37">
        <v>0</v>
      </c>
      <c r="AC8" s="37">
        <f t="shared" si="8"/>
        <v>7.6601090151157038E-6</v>
      </c>
      <c r="AD8" s="40">
        <f t="shared" ref="AD8:AD71" si="19">AB8+AC8</f>
        <v>7.6601090151157038E-6</v>
      </c>
      <c r="AE8" s="39">
        <f>U8*W8</f>
        <v>1.0344646094820618E-4</v>
      </c>
      <c r="AF8" s="37">
        <f t="shared" ref="AF8:AF71" si="20">CHOOSE(V8,Z8*SQRT(W8/3),SQRT(W8*((Z8^2)+((Y8^2)/3)-(Z8*Y8))))</f>
        <v>1.474929904395933E-2</v>
      </c>
      <c r="AG8" s="37">
        <f t="shared" si="9"/>
        <v>2.5452393207712334E-5</v>
      </c>
      <c r="AH8" s="37">
        <f t="shared" si="10"/>
        <v>4.8834191776786289E-4</v>
      </c>
      <c r="AI8" s="40">
        <f t="shared" ref="AI8:AI71" si="21">AG8+AH8</f>
        <v>5.1379431097557519E-4</v>
      </c>
      <c r="AJ8" s="39">
        <f t="shared" ref="AJ8:AJ71" si="22">X8*U8</f>
        <v>6.2694824817094648E-7</v>
      </c>
      <c r="AK8" s="37">
        <f t="shared" si="11"/>
        <v>1.1482313732844897E-3</v>
      </c>
      <c r="AL8" s="37">
        <f t="shared" si="12"/>
        <v>8.3333333333333344E-5</v>
      </c>
      <c r="AM8" s="37">
        <f t="shared" si="13"/>
        <v>0.29112499999999997</v>
      </c>
      <c r="AN8" s="40">
        <f t="shared" ref="AN8:AN71" si="23">AL8+AM8</f>
        <v>0.29120833333333329</v>
      </c>
      <c r="AO8" s="39">
        <f t="shared" si="14"/>
        <v>1.0224465647542561E-5</v>
      </c>
      <c r="AP8" s="37">
        <f t="shared" si="15"/>
        <v>2.1600000000000001E-2</v>
      </c>
      <c r="AQ8" s="40">
        <f t="shared" si="16"/>
        <v>2.2499999999999998E-3</v>
      </c>
      <c r="AR8" s="39">
        <f t="shared" ref="AR8:AR71" si="24">AO8+AN8+AI8+AD8+AP8+AQ8</f>
        <v>0.31559001221897148</v>
      </c>
      <c r="AS8" s="37">
        <f t="shared" ref="AS8:AS71" si="25">R8*S8</f>
        <v>1.1333333333333334E-2</v>
      </c>
      <c r="AT8" s="40">
        <f t="shared" ref="AT8:AT71" si="26">(AS8/(AS8+AR8))*100</f>
        <v>3.4666638181457441</v>
      </c>
    </row>
    <row r="9" spans="1:46" x14ac:dyDescent="0.2">
      <c r="N9" s="37" t="s">
        <v>233</v>
      </c>
      <c r="O9" s="37">
        <f>VIN_var</f>
        <v>5</v>
      </c>
      <c r="P9" t="s">
        <v>10</v>
      </c>
      <c r="Q9">
        <v>2</v>
      </c>
      <c r="R9" s="39">
        <f t="shared" si="0"/>
        <v>170</v>
      </c>
      <c r="S9" s="37">
        <f t="shared" si="1"/>
        <v>1.3333333333333334E-4</v>
      </c>
      <c r="T9" s="37">
        <f t="shared" si="2"/>
        <v>5</v>
      </c>
      <c r="U9" s="40">
        <f t="shared" si="3"/>
        <v>6.9743589743589745E-3</v>
      </c>
      <c r="V9" s="39">
        <f t="shared" si="4"/>
        <v>1</v>
      </c>
      <c r="W9" s="37">
        <f t="shared" si="5"/>
        <v>4.1952353926806067E-2</v>
      </c>
      <c r="X9" s="40">
        <f t="shared" si="6"/>
        <v>2.5425669046549127E-4</v>
      </c>
      <c r="Y9" s="39">
        <f t="shared" si="7"/>
        <v>0.20976176963403037</v>
      </c>
      <c r="Z9" s="37">
        <f t="shared" si="17"/>
        <v>0.20976176963403037</v>
      </c>
      <c r="AA9" s="37">
        <f t="shared" si="18"/>
        <v>2.4880319311723405E-2</v>
      </c>
      <c r="AB9" s="37">
        <v>0</v>
      </c>
      <c r="AC9" s="37">
        <f t="shared" si="8"/>
        <v>2.1666060116866084E-5</v>
      </c>
      <c r="AD9" s="40">
        <f t="shared" si="19"/>
        <v>2.1666060116866084E-5</v>
      </c>
      <c r="AE9" s="39">
        <f t="shared" ref="AE9:AE72" si="27">U9*W9</f>
        <v>2.9259077610490388E-4</v>
      </c>
      <c r="AF9" s="37">
        <f t="shared" si="20"/>
        <v>2.4805265387140878E-2</v>
      </c>
      <c r="AG9" s="37">
        <f t="shared" si="9"/>
        <v>7.1990239338399258E-5</v>
      </c>
      <c r="AH9" s="37">
        <f t="shared" si="10"/>
        <v>9.7668383553572579E-4</v>
      </c>
      <c r="AI9" s="40">
        <f t="shared" si="21"/>
        <v>1.048674074874125E-3</v>
      </c>
      <c r="AJ9" s="39">
        <f t="shared" si="22"/>
        <v>1.773277430938811E-6</v>
      </c>
      <c r="AK9" s="37">
        <f t="shared" si="11"/>
        <v>1.9310872913535545E-3</v>
      </c>
      <c r="AL9" s="37">
        <f t="shared" si="12"/>
        <v>1.6666666666666669E-4</v>
      </c>
      <c r="AM9" s="37">
        <f t="shared" si="13"/>
        <v>0.29112499999999997</v>
      </c>
      <c r="AN9" s="40">
        <f t="shared" si="23"/>
        <v>0.29129166666666662</v>
      </c>
      <c r="AO9" s="39">
        <f t="shared" si="14"/>
        <v>2.8919155973544998E-5</v>
      </c>
      <c r="AP9" s="37">
        <f t="shared" si="15"/>
        <v>2.1600000000000001E-2</v>
      </c>
      <c r="AQ9" s="40">
        <f t="shared" si="16"/>
        <v>2.2499999999999998E-3</v>
      </c>
      <c r="AR9" s="39">
        <f t="shared" si="24"/>
        <v>0.31624092595763115</v>
      </c>
      <c r="AS9" s="37">
        <f t="shared" si="25"/>
        <v>2.2666666666666668E-2</v>
      </c>
      <c r="AT9" s="40">
        <f t="shared" si="26"/>
        <v>6.6881554618323982</v>
      </c>
    </row>
    <row r="10" spans="1:46" x14ac:dyDescent="0.2">
      <c r="N10" s="37"/>
      <c r="O10" s="37"/>
      <c r="Q10">
        <v>3</v>
      </c>
      <c r="R10" s="39">
        <f t="shared" si="0"/>
        <v>170</v>
      </c>
      <c r="S10" s="37">
        <f t="shared" si="1"/>
        <v>2.0000000000000001E-4</v>
      </c>
      <c r="T10" s="37">
        <f t="shared" si="2"/>
        <v>5</v>
      </c>
      <c r="U10" s="40">
        <f t="shared" si="3"/>
        <v>1.0461538461538463E-2</v>
      </c>
      <c r="V10" s="39">
        <f t="shared" si="4"/>
        <v>1</v>
      </c>
      <c r="W10" s="37">
        <f t="shared" si="5"/>
        <v>5.1380930314660518E-2</v>
      </c>
      <c r="X10" s="40">
        <f t="shared" si="6"/>
        <v>3.1139957766460914E-4</v>
      </c>
      <c r="Y10" s="39">
        <f t="shared" si="7"/>
        <v>0.25690465157330267</v>
      </c>
      <c r="Z10" s="37">
        <f t="shared" si="17"/>
        <v>0.25690465157330267</v>
      </c>
      <c r="AA10" s="37">
        <f t="shared" si="18"/>
        <v>3.3722859570788973E-2</v>
      </c>
      <c r="AB10" s="37">
        <v>0</v>
      </c>
      <c r="AC10" s="37">
        <f t="shared" si="8"/>
        <v>3.9803094017090376E-5</v>
      </c>
      <c r="AD10" s="40">
        <f t="shared" si="19"/>
        <v>3.9803094017090376E-5</v>
      </c>
      <c r="AE10" s="39">
        <f t="shared" si="27"/>
        <v>5.3752357867644859E-4</v>
      </c>
      <c r="AF10" s="37">
        <f t="shared" si="20"/>
        <v>3.3621131255841645E-2</v>
      </c>
      <c r="AG10" s="37">
        <f t="shared" si="9"/>
        <v>1.3225451462993624E-4</v>
      </c>
      <c r="AH10" s="37">
        <f t="shared" si="10"/>
        <v>1.465025753303589E-3</v>
      </c>
      <c r="AI10" s="40">
        <f t="shared" si="21"/>
        <v>1.5972802679335252E-3</v>
      </c>
      <c r="AJ10" s="39">
        <f t="shared" si="22"/>
        <v>3.2577186586451425E-6</v>
      </c>
      <c r="AK10" s="37">
        <f t="shared" si="11"/>
        <v>2.61740151841887E-3</v>
      </c>
      <c r="AL10" s="37">
        <f t="shared" si="12"/>
        <v>2.5000000000000001E-4</v>
      </c>
      <c r="AM10" s="37">
        <f t="shared" si="13"/>
        <v>0.29112499999999997</v>
      </c>
      <c r="AN10" s="40">
        <f t="shared" si="23"/>
        <v>0.29137499999999994</v>
      </c>
      <c r="AO10" s="39">
        <f t="shared" si="14"/>
        <v>5.3127881945359003E-5</v>
      </c>
      <c r="AP10" s="37">
        <f t="shared" si="15"/>
        <v>2.1600000000000001E-2</v>
      </c>
      <c r="AQ10" s="40">
        <f t="shared" si="16"/>
        <v>2.2499999999999998E-3</v>
      </c>
      <c r="AR10" s="39">
        <f t="shared" si="24"/>
        <v>0.31691521124389588</v>
      </c>
      <c r="AS10" s="37">
        <f t="shared" si="25"/>
        <v>3.4000000000000002E-2</v>
      </c>
      <c r="AT10" s="40">
        <f t="shared" si="26"/>
        <v>9.6889501824328299</v>
      </c>
    </row>
    <row r="11" spans="1:46" x14ac:dyDescent="0.2">
      <c r="N11" s="37" t="s">
        <v>325</v>
      </c>
      <c r="O11" s="37">
        <v>150</v>
      </c>
      <c r="Q11">
        <v>4</v>
      </c>
      <c r="R11" s="39">
        <f t="shared" si="0"/>
        <v>170</v>
      </c>
      <c r="S11" s="37">
        <f t="shared" si="1"/>
        <v>2.6666666666666668E-4</v>
      </c>
      <c r="T11" s="37">
        <f t="shared" si="2"/>
        <v>5</v>
      </c>
      <c r="U11" s="40">
        <f t="shared" si="3"/>
        <v>1.3948717948717949E-2</v>
      </c>
      <c r="V11" s="39">
        <f t="shared" si="4"/>
        <v>1</v>
      </c>
      <c r="W11" s="37">
        <f t="shared" si="5"/>
        <v>5.9329587896765311E-2</v>
      </c>
      <c r="X11" s="40">
        <f t="shared" si="6"/>
        <v>3.5957325998039579E-4</v>
      </c>
      <c r="Y11" s="39">
        <f t="shared" si="7"/>
        <v>0.29664793948382662</v>
      </c>
      <c r="Z11" s="37">
        <f t="shared" si="17"/>
        <v>0.29664793948382662</v>
      </c>
      <c r="AA11" s="37">
        <f t="shared" si="18"/>
        <v>4.1843542639191961E-2</v>
      </c>
      <c r="AB11" s="37">
        <v>0</v>
      </c>
      <c r="AC11" s="37">
        <f t="shared" si="8"/>
        <v>6.1280872120925657E-5</v>
      </c>
      <c r="AD11" s="40">
        <f t="shared" si="19"/>
        <v>6.1280872120925657E-5</v>
      </c>
      <c r="AE11" s="39">
        <f t="shared" si="27"/>
        <v>8.2757168758564948E-4</v>
      </c>
      <c r="AF11" s="37">
        <f t="shared" si="20"/>
        <v>4.1717317486927613E-2</v>
      </c>
      <c r="AG11" s="37">
        <f t="shared" si="9"/>
        <v>2.0361914566169862E-4</v>
      </c>
      <c r="AH11" s="37">
        <f t="shared" si="10"/>
        <v>1.9533676710714516E-3</v>
      </c>
      <c r="AI11" s="40">
        <f t="shared" si="21"/>
        <v>2.1569868167331504E-3</v>
      </c>
      <c r="AJ11" s="39">
        <f t="shared" si="22"/>
        <v>5.0155859853675718E-6</v>
      </c>
      <c r="AK11" s="37">
        <f t="shared" si="11"/>
        <v>3.2476887616824188E-3</v>
      </c>
      <c r="AL11" s="37">
        <f t="shared" si="12"/>
        <v>3.3333333333333338E-4</v>
      </c>
      <c r="AM11" s="37">
        <f t="shared" si="13"/>
        <v>0.29112499999999997</v>
      </c>
      <c r="AN11" s="40">
        <f t="shared" si="23"/>
        <v>0.29145833333333332</v>
      </c>
      <c r="AO11" s="39">
        <f t="shared" si="14"/>
        <v>8.1795725180340472E-5</v>
      </c>
      <c r="AP11" s="37">
        <f t="shared" si="15"/>
        <v>2.1600000000000001E-2</v>
      </c>
      <c r="AQ11" s="40">
        <f t="shared" si="16"/>
        <v>2.2499999999999998E-3</v>
      </c>
      <c r="AR11" s="39">
        <f t="shared" si="24"/>
        <v>0.31760839674736774</v>
      </c>
      <c r="AS11" s="37">
        <f t="shared" si="25"/>
        <v>4.5333333333333337E-2</v>
      </c>
      <c r="AT11" s="40">
        <f t="shared" si="26"/>
        <v>12.490526598650794</v>
      </c>
    </row>
    <row r="12" spans="1:46" x14ac:dyDescent="0.2">
      <c r="N12" s="37" t="s">
        <v>326</v>
      </c>
      <c r="O12" s="37">
        <f>IOUT/(O11)</f>
        <v>6.666666666666667E-5</v>
      </c>
      <c r="Q12">
        <v>5</v>
      </c>
      <c r="R12" s="39">
        <f t="shared" si="0"/>
        <v>170</v>
      </c>
      <c r="S12" s="37">
        <f t="shared" si="1"/>
        <v>3.3333333333333338E-4</v>
      </c>
      <c r="T12" s="37">
        <f t="shared" si="2"/>
        <v>5</v>
      </c>
      <c r="U12" s="40">
        <f t="shared" si="3"/>
        <v>1.7435897435897438E-2</v>
      </c>
      <c r="V12" s="39">
        <f t="shared" si="4"/>
        <v>1</v>
      </c>
      <c r="W12" s="37">
        <f t="shared" si="5"/>
        <v>6.6332495807107997E-2</v>
      </c>
      <c r="X12" s="40">
        <f t="shared" si="6"/>
        <v>4.0201512610368482E-4</v>
      </c>
      <c r="Y12" s="39">
        <f t="shared" si="7"/>
        <v>0.33166247903554003</v>
      </c>
      <c r="Z12" s="37">
        <f t="shared" si="17"/>
        <v>0.33166247903554003</v>
      </c>
      <c r="AA12" s="37">
        <f t="shared" si="18"/>
        <v>4.946647417747798E-2</v>
      </c>
      <c r="AB12" s="37">
        <v>0</v>
      </c>
      <c r="AC12" s="37">
        <f t="shared" si="8"/>
        <v>8.5642622364288365E-5</v>
      </c>
      <c r="AD12" s="40">
        <f t="shared" si="19"/>
        <v>8.5642622364288365E-5</v>
      </c>
      <c r="AE12" s="39">
        <f t="shared" si="27"/>
        <v>1.1565665935598319E-3</v>
      </c>
      <c r="AF12" s="37">
        <f t="shared" si="20"/>
        <v>4.9317253704229048E-2</v>
      </c>
      <c r="AG12" s="37">
        <f t="shared" si="9"/>
        <v>2.8456640701249341E-4</v>
      </c>
      <c r="AH12" s="37">
        <f t="shared" si="10"/>
        <v>2.4417095888393152E-3</v>
      </c>
      <c r="AI12" s="40">
        <f t="shared" si="21"/>
        <v>2.7262759958518088E-3</v>
      </c>
      <c r="AJ12" s="39">
        <f t="shared" si="22"/>
        <v>7.0094945064232231E-6</v>
      </c>
      <c r="AK12" s="37">
        <f t="shared" si="11"/>
        <v>3.8393429937688271E-3</v>
      </c>
      <c r="AL12" s="37">
        <f t="shared" si="12"/>
        <v>4.1666666666666675E-4</v>
      </c>
      <c r="AM12" s="37">
        <f t="shared" si="13"/>
        <v>0.29112499999999997</v>
      </c>
      <c r="AN12" s="40">
        <f t="shared" si="23"/>
        <v>0.29154166666666664</v>
      </c>
      <c r="AO12" s="39">
        <f t="shared" si="14"/>
        <v>1.143130011075828E-4</v>
      </c>
      <c r="AP12" s="37">
        <f t="shared" si="15"/>
        <v>2.1600000000000001E-2</v>
      </c>
      <c r="AQ12" s="40">
        <f t="shared" si="16"/>
        <v>2.2499999999999998E-3</v>
      </c>
      <c r="AR12" s="39">
        <f t="shared" si="24"/>
        <v>0.31831789828599028</v>
      </c>
      <c r="AS12" s="37">
        <f t="shared" si="25"/>
        <v>5.6666666666666671E-2</v>
      </c>
      <c r="AT12" s="40">
        <f t="shared" si="26"/>
        <v>15.111733111953827</v>
      </c>
    </row>
    <row r="13" spans="1:46" x14ac:dyDescent="0.2">
      <c r="Q13">
        <v>6</v>
      </c>
      <c r="R13" s="39">
        <f t="shared" si="0"/>
        <v>170</v>
      </c>
      <c r="S13" s="37">
        <f t="shared" si="1"/>
        <v>4.0000000000000002E-4</v>
      </c>
      <c r="T13" s="37">
        <f t="shared" si="2"/>
        <v>5</v>
      </c>
      <c r="U13" s="40">
        <f t="shared" si="3"/>
        <v>2.0923076923076926E-2</v>
      </c>
      <c r="V13" s="39">
        <f t="shared" si="4"/>
        <v>1</v>
      </c>
      <c r="W13" s="37">
        <f t="shared" si="5"/>
        <v>7.2663608498339805E-2</v>
      </c>
      <c r="X13" s="40">
        <f t="shared" si="6"/>
        <v>4.4038550605054419E-4</v>
      </c>
      <c r="Y13" s="39">
        <f t="shared" si="7"/>
        <v>0.36331804249169908</v>
      </c>
      <c r="Z13" s="37">
        <f t="shared" si="17"/>
        <v>0.36331804249169908</v>
      </c>
      <c r="AA13" s="37">
        <f t="shared" si="18"/>
        <v>5.6714863450361738E-2</v>
      </c>
      <c r="AB13" s="37">
        <v>0</v>
      </c>
      <c r="AC13" s="37">
        <f t="shared" si="8"/>
        <v>1.1258015076676123E-4</v>
      </c>
      <c r="AD13" s="40">
        <f t="shared" si="19"/>
        <v>1.1258015076676123E-4</v>
      </c>
      <c r="AE13" s="39">
        <f t="shared" si="27"/>
        <v>1.5203462701191099E-3</v>
      </c>
      <c r="AF13" s="37">
        <f t="shared" si="20"/>
        <v>5.6543777499623714E-2</v>
      </c>
      <c r="AG13" s="37">
        <f t="shared" si="9"/>
        <v>3.7407225654945353E-4</v>
      </c>
      <c r="AH13" s="37">
        <f t="shared" si="10"/>
        <v>2.930051506607178E-3</v>
      </c>
      <c r="AI13" s="40">
        <f t="shared" si="21"/>
        <v>3.3041237631566316E-3</v>
      </c>
      <c r="AJ13" s="39">
        <f t="shared" si="22"/>
        <v>9.2142198189036955E-6</v>
      </c>
      <c r="AK13" s="37">
        <f t="shared" si="11"/>
        <v>4.4019271082361136E-3</v>
      </c>
      <c r="AL13" s="37">
        <f t="shared" si="12"/>
        <v>5.0000000000000001E-4</v>
      </c>
      <c r="AM13" s="37">
        <f t="shared" si="13"/>
        <v>0.29112499999999997</v>
      </c>
      <c r="AN13" s="40">
        <f t="shared" si="23"/>
        <v>0.29162499999999997</v>
      </c>
      <c r="AO13" s="39">
        <f t="shared" si="14"/>
        <v>1.502683423745668E-4</v>
      </c>
      <c r="AP13" s="37">
        <f t="shared" si="15"/>
        <v>2.1600000000000001E-2</v>
      </c>
      <c r="AQ13" s="40">
        <f t="shared" si="16"/>
        <v>2.2499999999999998E-3</v>
      </c>
      <c r="AR13" s="39">
        <f t="shared" si="24"/>
        <v>0.31904197225629793</v>
      </c>
      <c r="AS13" s="37">
        <f t="shared" si="25"/>
        <v>6.8000000000000005E-2</v>
      </c>
      <c r="AT13" s="40">
        <f t="shared" si="26"/>
        <v>17.569153961155052</v>
      </c>
    </row>
    <row r="14" spans="1:46" x14ac:dyDescent="0.2">
      <c r="Q14">
        <v>7</v>
      </c>
      <c r="R14" s="39">
        <f t="shared" si="0"/>
        <v>170</v>
      </c>
      <c r="S14" s="37">
        <f t="shared" si="1"/>
        <v>4.6666666666666666E-4</v>
      </c>
      <c r="T14" s="37">
        <f t="shared" si="2"/>
        <v>5</v>
      </c>
      <c r="U14" s="40">
        <f t="shared" si="3"/>
        <v>2.441025641025641E-2</v>
      </c>
      <c r="V14" s="39">
        <f t="shared" si="4"/>
        <v>1</v>
      </c>
      <c r="W14" s="37">
        <f t="shared" si="5"/>
        <v>7.8485667481394322E-2</v>
      </c>
      <c r="X14" s="40">
        <f t="shared" si="6"/>
        <v>4.7567071200845033E-4</v>
      </c>
      <c r="Y14" s="39">
        <f t="shared" si="7"/>
        <v>0.39242833740697164</v>
      </c>
      <c r="Z14" s="37">
        <f t="shared" si="17"/>
        <v>0.39242833740697164</v>
      </c>
      <c r="AA14" s="37">
        <f t="shared" si="18"/>
        <v>6.3665914694819303E-2</v>
      </c>
      <c r="AB14" s="37">
        <v>0</v>
      </c>
      <c r="AC14" s="37">
        <f t="shared" si="8"/>
        <v>1.4186720428748033E-4</v>
      </c>
      <c r="AD14" s="40">
        <f t="shared" si="19"/>
        <v>1.4186720428748033E-4</v>
      </c>
      <c r="AE14" s="39">
        <f t="shared" si="27"/>
        <v>1.9158552677509589E-3</v>
      </c>
      <c r="AF14" s="37">
        <f t="shared" si="20"/>
        <v>6.347386021593121E-2</v>
      </c>
      <c r="AG14" s="37">
        <f t="shared" si="9"/>
        <v>4.7138491889325428E-4</v>
      </c>
      <c r="AH14" s="37">
        <f t="shared" si="10"/>
        <v>3.4183934243750404E-3</v>
      </c>
      <c r="AI14" s="40">
        <f t="shared" si="21"/>
        <v>3.8897783432682949E-3</v>
      </c>
      <c r="AJ14" s="39">
        <f t="shared" si="22"/>
        <v>1.1611244046975506E-5</v>
      </c>
      <c r="AK14" s="37">
        <f t="shared" si="11"/>
        <v>4.9414333159958539E-3</v>
      </c>
      <c r="AL14" s="37">
        <f t="shared" si="12"/>
        <v>5.8333333333333327E-4</v>
      </c>
      <c r="AM14" s="37">
        <f t="shared" si="13"/>
        <v>0.29112499999999997</v>
      </c>
      <c r="AN14" s="40">
        <f t="shared" si="23"/>
        <v>0.29170833333333329</v>
      </c>
      <c r="AO14" s="39">
        <f t="shared" si="14"/>
        <v>1.8935975374344402E-4</v>
      </c>
      <c r="AP14" s="37">
        <f t="shared" si="15"/>
        <v>2.1600000000000001E-2</v>
      </c>
      <c r="AQ14" s="40">
        <f t="shared" si="16"/>
        <v>2.2499999999999998E-3</v>
      </c>
      <c r="AR14" s="39">
        <f t="shared" si="24"/>
        <v>0.31977933863463254</v>
      </c>
      <c r="AS14" s="37">
        <f t="shared" si="25"/>
        <v>7.9333333333333339E-2</v>
      </c>
      <c r="AT14" s="40">
        <f t="shared" si="26"/>
        <v>19.87742783063047</v>
      </c>
    </row>
    <row r="15" spans="1:46" x14ac:dyDescent="0.2">
      <c r="O15">
        <f>0.205*2.5/(Lm*Fsw)</f>
        <v>0.51250000000000007</v>
      </c>
      <c r="Q15">
        <v>8</v>
      </c>
      <c r="R15" s="39">
        <f t="shared" si="0"/>
        <v>170</v>
      </c>
      <c r="S15" s="37">
        <f t="shared" si="1"/>
        <v>5.3333333333333336E-4</v>
      </c>
      <c r="T15" s="37">
        <f t="shared" si="2"/>
        <v>5</v>
      </c>
      <c r="U15" s="40">
        <f t="shared" si="3"/>
        <v>2.7897435897435898E-2</v>
      </c>
      <c r="V15" s="39">
        <f t="shared" si="4"/>
        <v>1</v>
      </c>
      <c r="W15" s="37">
        <f t="shared" si="5"/>
        <v>8.3904707853612134E-2</v>
      </c>
      <c r="X15" s="40">
        <f t="shared" si="6"/>
        <v>5.0851338093098255E-4</v>
      </c>
      <c r="Y15" s="39">
        <f t="shared" si="7"/>
        <v>0.41952353926806074</v>
      </c>
      <c r="Z15" s="37">
        <f t="shared" si="17"/>
        <v>0.41952353926806074</v>
      </c>
      <c r="AA15" s="37">
        <f t="shared" si="18"/>
        <v>7.0372170013624932E-2</v>
      </c>
      <c r="AB15" s="37">
        <v>0</v>
      </c>
      <c r="AC15" s="37">
        <f t="shared" si="8"/>
        <v>1.7332848093492865E-4</v>
      </c>
      <c r="AD15" s="40">
        <f t="shared" si="19"/>
        <v>1.7332848093492865E-4</v>
      </c>
      <c r="AE15" s="39">
        <f t="shared" si="27"/>
        <v>2.3407262088392311E-3</v>
      </c>
      <c r="AF15" s="37">
        <f t="shared" si="20"/>
        <v>7.0159885457517071E-2</v>
      </c>
      <c r="AG15" s="37">
        <f t="shared" si="9"/>
        <v>5.7592191470719417E-4</v>
      </c>
      <c r="AH15" s="37">
        <f t="shared" si="10"/>
        <v>3.9067353421429031E-3</v>
      </c>
      <c r="AI15" s="40">
        <f t="shared" si="21"/>
        <v>4.4826572568500977E-3</v>
      </c>
      <c r="AJ15" s="39">
        <f t="shared" si="22"/>
        <v>1.4186219447510488E-5</v>
      </c>
      <c r="AK15" s="37">
        <f t="shared" si="11"/>
        <v>5.461939675117042E-3</v>
      </c>
      <c r="AL15" s="37">
        <f t="shared" si="12"/>
        <v>6.6666666666666675E-4</v>
      </c>
      <c r="AM15" s="37">
        <f t="shared" si="13"/>
        <v>0.29112499999999997</v>
      </c>
      <c r="AN15" s="40">
        <f t="shared" si="23"/>
        <v>0.29179166666666662</v>
      </c>
      <c r="AO15" s="39">
        <f t="shared" si="14"/>
        <v>2.3135324778836001E-4</v>
      </c>
      <c r="AP15" s="37">
        <f t="shared" si="15"/>
        <v>2.1600000000000001E-2</v>
      </c>
      <c r="AQ15" s="40">
        <f t="shared" si="16"/>
        <v>2.2499999999999998E-3</v>
      </c>
      <c r="AR15" s="39">
        <f t="shared" si="24"/>
        <v>0.32052900565223996</v>
      </c>
      <c r="AS15" s="37">
        <f t="shared" si="25"/>
        <v>9.0666666666666673E-2</v>
      </c>
      <c r="AT15" s="40">
        <f t="shared" si="26"/>
        <v>22.049518701244818</v>
      </c>
    </row>
    <row r="16" spans="1:46" x14ac:dyDescent="0.2">
      <c r="Q16">
        <v>9</v>
      </c>
      <c r="R16" s="39">
        <f t="shared" si="0"/>
        <v>170</v>
      </c>
      <c r="S16" s="37">
        <f t="shared" si="1"/>
        <v>6.0000000000000006E-4</v>
      </c>
      <c r="T16" s="37">
        <f t="shared" si="2"/>
        <v>5</v>
      </c>
      <c r="U16" s="40">
        <f t="shared" si="3"/>
        <v>3.1384615384615386E-2</v>
      </c>
      <c r="V16" s="39">
        <f t="shared" si="4"/>
        <v>1</v>
      </c>
      <c r="W16" s="37">
        <f t="shared" si="5"/>
        <v>8.8994381845147949E-2</v>
      </c>
      <c r="X16" s="40">
        <f t="shared" si="6"/>
        <v>5.3935988997059364E-4</v>
      </c>
      <c r="Y16" s="39">
        <f t="shared" si="7"/>
        <v>0.44497190922573981</v>
      </c>
      <c r="Z16" s="37">
        <f t="shared" ref="Z16:Z79" si="28">CHOOSE(V16,Y16,U16+(0.5*Y16))</f>
        <v>0.44497190922573981</v>
      </c>
      <c r="AA16" s="37">
        <f t="shared" ref="AA16:AA79" si="29">CHOOSE(V16,Z16*SQRT((W16+X16)/3),SQRT((U16^2)+((Y16^2)/12)))</f>
        <v>7.6871496372308404E-2</v>
      </c>
      <c r="AB16" s="37">
        <v>0</v>
      </c>
      <c r="AC16" s="37">
        <f t="shared" si="8"/>
        <v>2.0682294340812387E-4</v>
      </c>
      <c r="AD16" s="40">
        <f t="shared" si="19"/>
        <v>2.0682294340812387E-4</v>
      </c>
      <c r="AE16" s="39">
        <f t="shared" si="27"/>
        <v>2.7930544456015666E-3</v>
      </c>
      <c r="AF16" s="37">
        <f t="shared" si="20"/>
        <v>7.6639605960493851E-2</v>
      </c>
      <c r="AG16" s="37">
        <f t="shared" si="9"/>
        <v>6.8721461660823247E-4</v>
      </c>
      <c r="AH16" s="37">
        <f t="shared" si="10"/>
        <v>4.3950772599107672E-3</v>
      </c>
      <c r="AI16" s="40">
        <f t="shared" si="21"/>
        <v>5.0822918765189998E-3</v>
      </c>
      <c r="AJ16" s="39">
        <f t="shared" si="22"/>
        <v>1.6927602700615556E-5</v>
      </c>
      <c r="AK16" s="37">
        <f t="shared" si="11"/>
        <v>5.9663852321199633E-3</v>
      </c>
      <c r="AL16" s="37">
        <f t="shared" si="12"/>
        <v>7.5000000000000002E-4</v>
      </c>
      <c r="AM16" s="37">
        <f t="shared" si="13"/>
        <v>0.29112499999999997</v>
      </c>
      <c r="AN16" s="40">
        <f t="shared" si="23"/>
        <v>0.29187499999999994</v>
      </c>
      <c r="AO16" s="39">
        <f t="shared" si="14"/>
        <v>2.7606057248364893E-4</v>
      </c>
      <c r="AP16" s="37">
        <f t="shared" si="15"/>
        <v>2.1600000000000001E-2</v>
      </c>
      <c r="AQ16" s="40">
        <f t="shared" si="16"/>
        <v>2.2499999999999998E-3</v>
      </c>
      <c r="AR16" s="39">
        <f t="shared" si="24"/>
        <v>0.32129017539241067</v>
      </c>
      <c r="AS16" s="37">
        <f t="shared" si="25"/>
        <v>0.10200000000000001</v>
      </c>
      <c r="AT16" s="40">
        <f t="shared" si="26"/>
        <v>24.096944821703229</v>
      </c>
    </row>
    <row r="17" spans="17:46" x14ac:dyDescent="0.2">
      <c r="Q17">
        <v>10</v>
      </c>
      <c r="R17" s="39">
        <f t="shared" si="0"/>
        <v>170</v>
      </c>
      <c r="S17" s="37">
        <f t="shared" si="1"/>
        <v>6.6666666666666675E-4</v>
      </c>
      <c r="T17" s="37">
        <f t="shared" si="2"/>
        <v>5</v>
      </c>
      <c r="U17" s="40">
        <f t="shared" si="3"/>
        <v>3.4871794871794877E-2</v>
      </c>
      <c r="V17" s="39">
        <f t="shared" si="4"/>
        <v>1</v>
      </c>
      <c r="W17" s="37">
        <f t="shared" si="5"/>
        <v>9.3808315196468595E-2</v>
      </c>
      <c r="X17" s="40">
        <f t="shared" si="6"/>
        <v>5.6853524361496111E-4</v>
      </c>
      <c r="Y17" s="39">
        <f t="shared" si="7"/>
        <v>0.46904157598234303</v>
      </c>
      <c r="Z17" s="37">
        <f t="shared" si="28"/>
        <v>0.46904157598234303</v>
      </c>
      <c r="AA17" s="37">
        <f t="shared" si="29"/>
        <v>8.3192361622163341E-2</v>
      </c>
      <c r="AB17" s="37">
        <v>0</v>
      </c>
      <c r="AC17" s="37">
        <f t="shared" si="8"/>
        <v>2.4223391612954788E-4</v>
      </c>
      <c r="AD17" s="40">
        <f t="shared" si="19"/>
        <v>2.4223391612954788E-4</v>
      </c>
      <c r="AE17" s="39">
        <f t="shared" si="27"/>
        <v>3.2712643247999312E-3</v>
      </c>
      <c r="AF17" s="37">
        <f t="shared" si="20"/>
        <v>8.2941403700088373E-2</v>
      </c>
      <c r="AG17" s="37">
        <f t="shared" si="9"/>
        <v>8.0487534438570098E-4</v>
      </c>
      <c r="AH17" s="37">
        <f t="shared" si="10"/>
        <v>4.8834191776786304E-3</v>
      </c>
      <c r="AI17" s="40">
        <f t="shared" si="21"/>
        <v>5.688294522064331E-3</v>
      </c>
      <c r="AJ17" s="39">
        <f t="shared" si="22"/>
        <v>1.9825844392726853E-5</v>
      </c>
      <c r="AK17" s="37">
        <f t="shared" si="11"/>
        <v>6.4569795207793422E-3</v>
      </c>
      <c r="AL17" s="37">
        <f t="shared" si="12"/>
        <v>8.333333333333335E-4</v>
      </c>
      <c r="AM17" s="37">
        <f t="shared" si="13"/>
        <v>0.29112499999999997</v>
      </c>
      <c r="AN17" s="40">
        <f t="shared" si="23"/>
        <v>0.29195833333333332</v>
      </c>
      <c r="AO17" s="39">
        <f t="shared" si="14"/>
        <v>3.233259930438286E-4</v>
      </c>
      <c r="AP17" s="37">
        <f t="shared" si="15"/>
        <v>2.1600000000000001E-2</v>
      </c>
      <c r="AQ17" s="40">
        <f t="shared" si="16"/>
        <v>2.2499999999999998E-3</v>
      </c>
      <c r="AR17" s="39">
        <f t="shared" si="24"/>
        <v>0.32206218776457102</v>
      </c>
      <c r="AS17" s="37">
        <f t="shared" si="25"/>
        <v>0.11333333333333334</v>
      </c>
      <c r="AT17" s="40">
        <f t="shared" si="26"/>
        <v>26.029972253170897</v>
      </c>
    </row>
    <row r="18" spans="17:46" x14ac:dyDescent="0.2">
      <c r="Q18">
        <v>11</v>
      </c>
      <c r="R18" s="39">
        <f t="shared" si="0"/>
        <v>170</v>
      </c>
      <c r="S18" s="37">
        <f t="shared" si="1"/>
        <v>7.3333333333333334E-4</v>
      </c>
      <c r="T18" s="37">
        <f t="shared" si="2"/>
        <v>5</v>
      </c>
      <c r="U18" s="40">
        <f t="shared" si="3"/>
        <v>3.8358974358974354E-2</v>
      </c>
      <c r="V18" s="39">
        <f t="shared" si="4"/>
        <v>1</v>
      </c>
      <c r="W18" s="37">
        <f t="shared" si="5"/>
        <v>9.8386991009990737E-2</v>
      </c>
      <c r="X18" s="40">
        <f t="shared" si="6"/>
        <v>5.9628479399994379E-4</v>
      </c>
      <c r="Y18" s="39">
        <f t="shared" si="7"/>
        <v>0.49193495504995371</v>
      </c>
      <c r="Z18" s="37">
        <f t="shared" si="28"/>
        <v>0.49193495504995371</v>
      </c>
      <c r="AA18" s="37">
        <f t="shared" si="29"/>
        <v>8.9356873909371096E-2</v>
      </c>
      <c r="AB18" s="37">
        <v>0</v>
      </c>
      <c r="AC18" s="37">
        <f t="shared" si="8"/>
        <v>2.7946278201993358E-4</v>
      </c>
      <c r="AD18" s="40">
        <f t="shared" si="19"/>
        <v>2.7946278201993358E-4</v>
      </c>
      <c r="AE18" s="39">
        <f t="shared" si="27"/>
        <v>3.7740240654088749E-3</v>
      </c>
      <c r="AF18" s="37">
        <f t="shared" si="20"/>
        <v>8.9087320131089651E-2</v>
      </c>
      <c r="AG18" s="37">
        <f t="shared" si="9"/>
        <v>9.2857642115229248E-4</v>
      </c>
      <c r="AH18" s="37">
        <f t="shared" si="10"/>
        <v>5.3717610954464911E-3</v>
      </c>
      <c r="AI18" s="40">
        <f t="shared" si="21"/>
        <v>6.3003375165987833E-3</v>
      </c>
      <c r="AJ18" s="39">
        <f t="shared" si="22"/>
        <v>2.287287312369015E-5</v>
      </c>
      <c r="AK18" s="37">
        <f t="shared" si="11"/>
        <v>6.935438466023288E-3</v>
      </c>
      <c r="AL18" s="37">
        <f t="shared" si="12"/>
        <v>9.1666666666666665E-4</v>
      </c>
      <c r="AM18" s="37">
        <f t="shared" si="13"/>
        <v>0.29112499999999997</v>
      </c>
      <c r="AN18" s="40">
        <f t="shared" si="23"/>
        <v>0.29204166666666664</v>
      </c>
      <c r="AO18" s="39">
        <f t="shared" si="14"/>
        <v>3.7301787858254483E-4</v>
      </c>
      <c r="AP18" s="37">
        <f t="shared" si="15"/>
        <v>2.1600000000000001E-2</v>
      </c>
      <c r="AQ18" s="40">
        <f t="shared" si="16"/>
        <v>2.2499999999999998E-3</v>
      </c>
      <c r="AR18" s="39">
        <f t="shared" si="24"/>
        <v>0.32284448484386796</v>
      </c>
      <c r="AS18" s="37">
        <f t="shared" si="25"/>
        <v>0.12466666666666666</v>
      </c>
      <c r="AT18" s="40">
        <f t="shared" si="26"/>
        <v>27.857778794084858</v>
      </c>
    </row>
    <row r="19" spans="17:46" x14ac:dyDescent="0.2">
      <c r="Q19">
        <v>12</v>
      </c>
      <c r="R19" s="39">
        <f t="shared" si="0"/>
        <v>170</v>
      </c>
      <c r="S19" s="37">
        <f t="shared" si="1"/>
        <v>8.0000000000000004E-4</v>
      </c>
      <c r="T19" s="37">
        <f t="shared" si="2"/>
        <v>5</v>
      </c>
      <c r="U19" s="40">
        <f t="shared" si="3"/>
        <v>4.1846153846153852E-2</v>
      </c>
      <c r="V19" s="39">
        <f t="shared" si="4"/>
        <v>1</v>
      </c>
      <c r="W19" s="37">
        <f t="shared" si="5"/>
        <v>0.10276186062932104</v>
      </c>
      <c r="X19" s="40">
        <f t="shared" si="6"/>
        <v>6.2279915532921829E-4</v>
      </c>
      <c r="Y19" s="39">
        <f t="shared" si="7"/>
        <v>0.51380930314660533</v>
      </c>
      <c r="Z19" s="37">
        <f t="shared" si="28"/>
        <v>0.51380930314660533</v>
      </c>
      <c r="AA19" s="37">
        <f t="shared" si="29"/>
        <v>9.53826507340262E-2</v>
      </c>
      <c r="AB19" s="37">
        <v>0</v>
      </c>
      <c r="AC19" s="37">
        <f t="shared" si="8"/>
        <v>3.1842475213672306E-4</v>
      </c>
      <c r="AD19" s="40">
        <f t="shared" si="19"/>
        <v>3.1842475213672306E-4</v>
      </c>
      <c r="AE19" s="39">
        <f t="shared" si="27"/>
        <v>4.3001886294115887E-3</v>
      </c>
      <c r="AF19" s="37">
        <f t="shared" si="20"/>
        <v>9.5094919608674458E-2</v>
      </c>
      <c r="AG19" s="37">
        <f t="shared" si="9"/>
        <v>1.0580361170394901E-3</v>
      </c>
      <c r="AH19" s="37">
        <f t="shared" si="10"/>
        <v>5.860103013214356E-3</v>
      </c>
      <c r="AI19" s="40">
        <f t="shared" si="21"/>
        <v>6.9181391302538461E-3</v>
      </c>
      <c r="AJ19" s="39">
        <f t="shared" si="22"/>
        <v>2.606174926916114E-5</v>
      </c>
      <c r="AK19" s="37">
        <f t="shared" si="11"/>
        <v>7.4031294510477968E-3</v>
      </c>
      <c r="AL19" s="37">
        <f t="shared" si="12"/>
        <v>1E-3</v>
      </c>
      <c r="AM19" s="37">
        <f t="shared" si="13"/>
        <v>0.29112499999999997</v>
      </c>
      <c r="AN19" s="40">
        <f t="shared" si="23"/>
        <v>0.29212499999999997</v>
      </c>
      <c r="AO19" s="39">
        <f t="shared" si="14"/>
        <v>4.2502305556287208E-4</v>
      </c>
      <c r="AP19" s="37">
        <f t="shared" si="15"/>
        <v>2.1600000000000001E-2</v>
      </c>
      <c r="AQ19" s="40">
        <f t="shared" si="16"/>
        <v>2.2499999999999998E-3</v>
      </c>
      <c r="AR19" s="39">
        <f t="shared" si="24"/>
        <v>0.32363658693795339</v>
      </c>
      <c r="AS19" s="37">
        <f t="shared" si="25"/>
        <v>0.13600000000000001</v>
      </c>
      <c r="AT19" s="40">
        <f t="shared" si="26"/>
        <v>29.588593220138659</v>
      </c>
    </row>
    <row r="20" spans="17:46" x14ac:dyDescent="0.2">
      <c r="Q20">
        <v>13</v>
      </c>
      <c r="R20" s="39">
        <f t="shared" si="0"/>
        <v>170</v>
      </c>
      <c r="S20" s="37">
        <f t="shared" si="1"/>
        <v>8.6666666666666674E-4</v>
      </c>
      <c r="T20" s="37">
        <f t="shared" si="2"/>
        <v>5</v>
      </c>
      <c r="U20" s="40">
        <f t="shared" si="3"/>
        <v>4.5333333333333337E-2</v>
      </c>
      <c r="V20" s="39">
        <f t="shared" si="4"/>
        <v>1</v>
      </c>
      <c r="W20" s="37">
        <f t="shared" si="5"/>
        <v>0.1069579356569675</v>
      </c>
      <c r="X20" s="40">
        <f t="shared" si="6"/>
        <v>6.4822991307253029E-4</v>
      </c>
      <c r="Y20" s="39">
        <f t="shared" si="7"/>
        <v>0.53478967828483759</v>
      </c>
      <c r="Z20" s="37">
        <f t="shared" si="28"/>
        <v>0.53478967828483759</v>
      </c>
      <c r="AA20" s="37">
        <f t="shared" si="29"/>
        <v>0.10128402860772515</v>
      </c>
      <c r="AB20" s="37">
        <v>0</v>
      </c>
      <c r="AC20" s="37">
        <f t="shared" si="8"/>
        <v>3.5904590578536707E-4</v>
      </c>
      <c r="AD20" s="40">
        <f t="shared" si="19"/>
        <v>3.5904590578536707E-4</v>
      </c>
      <c r="AE20" s="39">
        <f t="shared" si="27"/>
        <v>4.8487597497825271E-3</v>
      </c>
      <c r="AF20" s="37">
        <f t="shared" si="20"/>
        <v>0.10097849539694531</v>
      </c>
      <c r="AG20" s="37">
        <f t="shared" si="9"/>
        <v>1.1930088143178158E-3</v>
      </c>
      <c r="AH20" s="37">
        <f t="shared" si="10"/>
        <v>6.3484449309822184E-3</v>
      </c>
      <c r="AI20" s="40">
        <f t="shared" si="21"/>
        <v>7.5414537453000344E-3</v>
      </c>
      <c r="AJ20" s="39">
        <f t="shared" si="22"/>
        <v>2.9386422725954707E-5</v>
      </c>
      <c r="AK20" s="37">
        <f t="shared" si="11"/>
        <v>7.8611652049541125E-3</v>
      </c>
      <c r="AL20" s="37">
        <f t="shared" si="12"/>
        <v>1.0833333333333335E-3</v>
      </c>
      <c r="AM20" s="37">
        <f t="shared" si="13"/>
        <v>0.29112499999999997</v>
      </c>
      <c r="AN20" s="40">
        <f t="shared" si="23"/>
        <v>0.29220833333333329</v>
      </c>
      <c r="AO20" s="39">
        <f t="shared" si="14"/>
        <v>4.7924285703365255E-4</v>
      </c>
      <c r="AP20" s="37">
        <f t="shared" si="15"/>
        <v>2.1600000000000001E-2</v>
      </c>
      <c r="AQ20" s="40">
        <f t="shared" si="16"/>
        <v>2.2499999999999998E-3</v>
      </c>
      <c r="AR20" s="39">
        <f t="shared" si="24"/>
        <v>0.32443807584145234</v>
      </c>
      <c r="AS20" s="37">
        <f t="shared" si="25"/>
        <v>0.14733333333333334</v>
      </c>
      <c r="AT20" s="40">
        <f t="shared" si="26"/>
        <v>31.229813945496666</v>
      </c>
    </row>
    <row r="21" spans="17:46" x14ac:dyDescent="0.2">
      <c r="Q21">
        <v>14</v>
      </c>
      <c r="R21" s="39">
        <f t="shared" si="0"/>
        <v>170</v>
      </c>
      <c r="S21" s="37">
        <f t="shared" si="1"/>
        <v>9.3333333333333332E-4</v>
      </c>
      <c r="T21" s="37">
        <f t="shared" si="2"/>
        <v>5</v>
      </c>
      <c r="U21" s="40">
        <f t="shared" si="3"/>
        <v>4.8820512820512821E-2</v>
      </c>
      <c r="V21" s="39">
        <f t="shared" si="4"/>
        <v>1</v>
      </c>
      <c r="W21" s="37">
        <f t="shared" si="5"/>
        <v>0.11099549540409286</v>
      </c>
      <c r="X21" s="40">
        <f t="shared" si="6"/>
        <v>6.7269997214601724E-4</v>
      </c>
      <c r="Y21" s="39">
        <f t="shared" si="7"/>
        <v>0.5549774770204644</v>
      </c>
      <c r="Z21" s="37">
        <f t="shared" si="28"/>
        <v>0.5549774770204644</v>
      </c>
      <c r="AA21" s="37">
        <f t="shared" si="29"/>
        <v>0.10707287888144471</v>
      </c>
      <c r="AB21" s="37">
        <v>0</v>
      </c>
      <c r="AC21" s="37">
        <f t="shared" si="8"/>
        <v>4.0126104871861853E-4</v>
      </c>
      <c r="AD21" s="40">
        <f t="shared" si="19"/>
        <v>4.0126104871861853E-4</v>
      </c>
      <c r="AE21" s="39">
        <f t="shared" si="27"/>
        <v>5.4188570063946869E-3</v>
      </c>
      <c r="AF21" s="37">
        <f t="shared" si="20"/>
        <v>0.10674988303578388</v>
      </c>
      <c r="AG21" s="37">
        <f t="shared" si="9"/>
        <v>1.3332778907939641E-3</v>
      </c>
      <c r="AH21" s="37">
        <f t="shared" si="10"/>
        <v>6.8367868487500807E-3</v>
      </c>
      <c r="AI21" s="40">
        <f t="shared" si="21"/>
        <v>8.1700647395440452E-3</v>
      </c>
      <c r="AJ21" s="39">
        <f t="shared" si="22"/>
        <v>3.2841557614513252E-5</v>
      </c>
      <c r="AK21" s="37">
        <f t="shared" si="11"/>
        <v>8.3104671232723821E-3</v>
      </c>
      <c r="AL21" s="37">
        <f t="shared" si="12"/>
        <v>1.1666666666666665E-3</v>
      </c>
      <c r="AM21" s="37">
        <f t="shared" si="13"/>
        <v>0.29112499999999997</v>
      </c>
      <c r="AN21" s="40">
        <f t="shared" si="23"/>
        <v>0.29229166666666662</v>
      </c>
      <c r="AO21" s="39">
        <f t="shared" si="14"/>
        <v>5.3559026382321638E-4</v>
      </c>
      <c r="AP21" s="37">
        <f t="shared" si="15"/>
        <v>2.1600000000000001E-2</v>
      </c>
      <c r="AQ21" s="40">
        <f t="shared" si="16"/>
        <v>2.2499999999999998E-3</v>
      </c>
      <c r="AR21" s="39">
        <f t="shared" si="24"/>
        <v>0.32524858271875251</v>
      </c>
      <c r="AS21" s="37">
        <f t="shared" si="25"/>
        <v>0.15866666666666668</v>
      </c>
      <c r="AT21" s="40">
        <f t="shared" si="26"/>
        <v>32.788110494177673</v>
      </c>
    </row>
    <row r="22" spans="17:46" x14ac:dyDescent="0.2">
      <c r="Q22">
        <v>15</v>
      </c>
      <c r="R22" s="39">
        <f t="shared" si="0"/>
        <v>170</v>
      </c>
      <c r="S22" s="37">
        <f t="shared" si="1"/>
        <v>1E-3</v>
      </c>
      <c r="T22" s="37">
        <f t="shared" si="2"/>
        <v>5</v>
      </c>
      <c r="U22" s="40">
        <f t="shared" si="3"/>
        <v>5.2307692307692312E-2</v>
      </c>
      <c r="V22" s="39">
        <f t="shared" si="4"/>
        <v>1</v>
      </c>
      <c r="W22" s="37">
        <f t="shared" si="5"/>
        <v>0.11489125293076057</v>
      </c>
      <c r="X22" s="40">
        <f t="shared" si="6"/>
        <v>6.9631062382279117E-4</v>
      </c>
      <c r="Y22" s="39">
        <f t="shared" si="7"/>
        <v>0.57445626465380295</v>
      </c>
      <c r="Z22" s="37">
        <f t="shared" si="28"/>
        <v>0.57445626465380295</v>
      </c>
      <c r="AA22" s="37">
        <f t="shared" si="29"/>
        <v>0.11275917697023233</v>
      </c>
      <c r="AB22" s="37">
        <v>0</v>
      </c>
      <c r="AC22" s="37">
        <f t="shared" si="8"/>
        <v>4.4501211968514613E-4</v>
      </c>
      <c r="AD22" s="40">
        <f t="shared" si="19"/>
        <v>4.4501211968514613E-4</v>
      </c>
      <c r="AE22" s="39">
        <f t="shared" si="27"/>
        <v>6.009696307147476E-3</v>
      </c>
      <c r="AF22" s="37">
        <f t="shared" si="20"/>
        <v>0.11241902784841926</v>
      </c>
      <c r="AG22" s="37">
        <f t="shared" si="9"/>
        <v>1.4786504252188887E-3</v>
      </c>
      <c r="AH22" s="37">
        <f t="shared" si="10"/>
        <v>7.3251287665179439E-3</v>
      </c>
      <c r="AI22" s="40">
        <f t="shared" si="21"/>
        <v>8.8037791917368324E-3</v>
      </c>
      <c r="AJ22" s="39">
        <f t="shared" si="22"/>
        <v>3.6422401861499851E-5</v>
      </c>
      <c r="AK22" s="37">
        <f t="shared" si="11"/>
        <v>8.7518094483659235E-3</v>
      </c>
      <c r="AL22" s="37">
        <f t="shared" si="12"/>
        <v>1.25E-3</v>
      </c>
      <c r="AM22" s="37">
        <f t="shared" si="13"/>
        <v>0.29112499999999997</v>
      </c>
      <c r="AN22" s="40">
        <f t="shared" si="23"/>
        <v>0.29237499999999994</v>
      </c>
      <c r="AO22" s="39">
        <f t="shared" si="14"/>
        <v>5.9398777765203221E-4</v>
      </c>
      <c r="AP22" s="37">
        <f t="shared" si="15"/>
        <v>2.1600000000000001E-2</v>
      </c>
      <c r="AQ22" s="40">
        <f t="shared" si="16"/>
        <v>2.2499999999999998E-3</v>
      </c>
      <c r="AR22" s="39">
        <f t="shared" si="24"/>
        <v>0.32606777908907397</v>
      </c>
      <c r="AS22" s="37">
        <f t="shared" si="25"/>
        <v>0.17</v>
      </c>
      <c r="AT22" s="40">
        <f t="shared" si="26"/>
        <v>34.269510572158083</v>
      </c>
    </row>
    <row r="23" spans="17:46" x14ac:dyDescent="0.2">
      <c r="Q23">
        <v>16</v>
      </c>
      <c r="R23" s="39">
        <f t="shared" si="0"/>
        <v>170</v>
      </c>
      <c r="S23" s="37">
        <f t="shared" si="1"/>
        <v>1.0666666666666667E-3</v>
      </c>
      <c r="T23" s="37">
        <f t="shared" si="2"/>
        <v>5</v>
      </c>
      <c r="U23" s="40">
        <f t="shared" si="3"/>
        <v>5.5794871794871796E-2</v>
      </c>
      <c r="V23" s="39">
        <f t="shared" si="4"/>
        <v>1</v>
      </c>
      <c r="W23" s="37">
        <f t="shared" si="5"/>
        <v>0.11865917579353062</v>
      </c>
      <c r="X23" s="40">
        <f t="shared" si="6"/>
        <v>7.1914651996079159E-4</v>
      </c>
      <c r="Y23" s="39">
        <f t="shared" si="7"/>
        <v>0.59329587896765323</v>
      </c>
      <c r="Z23" s="37">
        <f t="shared" si="28"/>
        <v>0.59329587896765323</v>
      </c>
      <c r="AA23" s="37">
        <f t="shared" si="29"/>
        <v>0.11835141099616429</v>
      </c>
      <c r="AB23" s="37">
        <v>0</v>
      </c>
      <c r="AC23" s="37">
        <f t="shared" si="8"/>
        <v>4.9024697696740504E-4</v>
      </c>
      <c r="AD23" s="40">
        <f t="shared" si="19"/>
        <v>4.9024697696740504E-4</v>
      </c>
      <c r="AE23" s="39">
        <f t="shared" si="27"/>
        <v>6.6205735006851958E-3</v>
      </c>
      <c r="AF23" s="37">
        <f t="shared" si="20"/>
        <v>0.11799439235167464</v>
      </c>
      <c r="AG23" s="37">
        <f t="shared" si="9"/>
        <v>1.6289531652935894E-3</v>
      </c>
      <c r="AH23" s="37">
        <f t="shared" si="10"/>
        <v>7.8134706842858063E-3</v>
      </c>
      <c r="AI23" s="40">
        <f t="shared" si="21"/>
        <v>9.4424238495793948E-3</v>
      </c>
      <c r="AJ23" s="39">
        <f t="shared" si="22"/>
        <v>4.0124687882940575E-5</v>
      </c>
      <c r="AK23" s="37">
        <f t="shared" si="11"/>
        <v>9.1858509862759175E-3</v>
      </c>
      <c r="AL23" s="37">
        <f t="shared" si="12"/>
        <v>1.3333333333333335E-3</v>
      </c>
      <c r="AM23" s="37">
        <f t="shared" si="13"/>
        <v>0.29112499999999997</v>
      </c>
      <c r="AN23" s="40">
        <f t="shared" si="23"/>
        <v>0.29245833333333332</v>
      </c>
      <c r="AO23" s="39">
        <f t="shared" si="14"/>
        <v>6.5436580144272389E-4</v>
      </c>
      <c r="AP23" s="37">
        <f t="shared" si="15"/>
        <v>2.1600000000000001E-2</v>
      </c>
      <c r="AQ23" s="40">
        <f t="shared" si="16"/>
        <v>2.2499999999999998E-3</v>
      </c>
      <c r="AR23" s="39">
        <f t="shared" si="24"/>
        <v>0.32689536996132285</v>
      </c>
      <c r="AS23" s="37">
        <f t="shared" si="25"/>
        <v>0.18133333333333335</v>
      </c>
      <c r="AT23" s="40">
        <f t="shared" si="26"/>
        <v>35.67947503905571</v>
      </c>
    </row>
    <row r="24" spans="17:46" x14ac:dyDescent="0.2">
      <c r="Q24">
        <v>17</v>
      </c>
      <c r="R24" s="39">
        <f t="shared" si="0"/>
        <v>170</v>
      </c>
      <c r="S24" s="37">
        <f t="shared" si="1"/>
        <v>1.1333333333333334E-3</v>
      </c>
      <c r="T24" s="37">
        <f t="shared" si="2"/>
        <v>5</v>
      </c>
      <c r="U24" s="40">
        <f t="shared" si="3"/>
        <v>5.9282051282051287E-2</v>
      </c>
      <c r="V24" s="39">
        <f t="shared" si="4"/>
        <v>1</v>
      </c>
      <c r="W24" s="37">
        <f t="shared" si="5"/>
        <v>0.12231107881136524</v>
      </c>
      <c r="X24" s="40">
        <f t="shared" si="6"/>
        <v>7.4127926552342558E-4</v>
      </c>
      <c r="Y24" s="39">
        <f t="shared" si="7"/>
        <v>0.61155539405682635</v>
      </c>
      <c r="Z24" s="37">
        <f t="shared" si="28"/>
        <v>0.61155539405682635</v>
      </c>
      <c r="AA24" s="37">
        <f t="shared" si="29"/>
        <v>0.12385688235588199</v>
      </c>
      <c r="AB24" s="37">
        <v>0</v>
      </c>
      <c r="AC24" s="37">
        <f t="shared" si="8"/>
        <v>5.3691845574215782E-4</v>
      </c>
      <c r="AD24" s="40">
        <f t="shared" si="19"/>
        <v>5.3691845574215782E-4</v>
      </c>
      <c r="AE24" s="39">
        <f t="shared" si="27"/>
        <v>7.2508516464583712E-3</v>
      </c>
      <c r="AF24" s="37">
        <f t="shared" si="20"/>
        <v>0.12348325591681195</v>
      </c>
      <c r="AG24" s="37">
        <f t="shared" si="9"/>
        <v>1.7840293955425741E-3</v>
      </c>
      <c r="AH24" s="37">
        <f t="shared" si="10"/>
        <v>8.3018126020536695E-3</v>
      </c>
      <c r="AI24" s="40">
        <f t="shared" si="21"/>
        <v>1.0085841997596243E-2</v>
      </c>
      <c r="AJ24" s="39">
        <f t="shared" si="22"/>
        <v>4.394455543308103E-5</v>
      </c>
      <c r="AK24" s="37">
        <f t="shared" si="11"/>
        <v>9.6131584352865222E-3</v>
      </c>
      <c r="AL24" s="37">
        <f t="shared" si="12"/>
        <v>1.4166666666666668E-3</v>
      </c>
      <c r="AM24" s="37">
        <f t="shared" si="13"/>
        <v>0.29112499999999997</v>
      </c>
      <c r="AN24" s="40">
        <f t="shared" si="23"/>
        <v>0.29254166666666664</v>
      </c>
      <c r="AO24" s="39">
        <f t="shared" si="14"/>
        <v>7.1666138111539299E-4</v>
      </c>
      <c r="AP24" s="37">
        <f t="shared" si="15"/>
        <v>2.1600000000000001E-2</v>
      </c>
      <c r="AQ24" s="40">
        <f t="shared" si="16"/>
        <v>2.2499999999999998E-3</v>
      </c>
      <c r="AR24" s="39">
        <f t="shared" si="24"/>
        <v>0.32773108850112043</v>
      </c>
      <c r="AS24" s="37">
        <f t="shared" si="25"/>
        <v>0.19266666666666668</v>
      </c>
      <c r="AT24" s="40">
        <f t="shared" si="26"/>
        <v>37.022962676798429</v>
      </c>
    </row>
    <row r="25" spans="17:46" x14ac:dyDescent="0.2">
      <c r="Q25">
        <v>18</v>
      </c>
      <c r="R25" s="39">
        <f t="shared" si="0"/>
        <v>170</v>
      </c>
      <c r="S25" s="37">
        <f t="shared" si="1"/>
        <v>1.2000000000000001E-3</v>
      </c>
      <c r="T25" s="37">
        <f t="shared" si="2"/>
        <v>5</v>
      </c>
      <c r="U25" s="40">
        <f t="shared" si="3"/>
        <v>6.2769230769230772E-2</v>
      </c>
      <c r="V25" s="39">
        <f t="shared" si="4"/>
        <v>1</v>
      </c>
      <c r="W25" s="37">
        <f t="shared" si="5"/>
        <v>0.12585706178041819</v>
      </c>
      <c r="X25" s="40">
        <f t="shared" si="6"/>
        <v>7.6277007139647387E-4</v>
      </c>
      <c r="Y25" s="39">
        <f t="shared" si="7"/>
        <v>0.62928530890209111</v>
      </c>
      <c r="Z25" s="37">
        <f t="shared" si="28"/>
        <v>0.62928530890209111</v>
      </c>
      <c r="AA25" s="37">
        <f t="shared" si="29"/>
        <v>0.12928193146932615</v>
      </c>
      <c r="AB25" s="37">
        <v>0</v>
      </c>
      <c r="AC25" s="37">
        <f t="shared" si="8"/>
        <v>5.8498362315538403E-4</v>
      </c>
      <c r="AD25" s="40">
        <f t="shared" si="19"/>
        <v>5.8498362315538403E-4</v>
      </c>
      <c r="AE25" s="39">
        <f t="shared" si="27"/>
        <v>7.8999509548324034E-3</v>
      </c>
      <c r="AF25" s="37">
        <f t="shared" si="20"/>
        <v>0.12889193983727304</v>
      </c>
      <c r="AG25" s="37">
        <f t="shared" si="9"/>
        <v>1.94373646213678E-3</v>
      </c>
      <c r="AH25" s="37">
        <f t="shared" si="10"/>
        <v>8.7901545198215345E-3</v>
      </c>
      <c r="AI25" s="40">
        <f t="shared" si="21"/>
        <v>1.0733890981958314E-2</v>
      </c>
      <c r="AJ25" s="39">
        <f t="shared" si="22"/>
        <v>4.7878490635347899E-5</v>
      </c>
      <c r="AK25" s="37">
        <f t="shared" si="11"/>
        <v>1.0034223907424759E-2</v>
      </c>
      <c r="AL25" s="37">
        <f t="shared" si="12"/>
        <v>1.5E-3</v>
      </c>
      <c r="AM25" s="37">
        <f t="shared" si="13"/>
        <v>0.29112499999999997</v>
      </c>
      <c r="AN25" s="40">
        <f t="shared" si="23"/>
        <v>0.29262499999999997</v>
      </c>
      <c r="AO25" s="39">
        <f t="shared" si="14"/>
        <v>7.80817211285715E-4</v>
      </c>
      <c r="AP25" s="37">
        <f t="shared" si="15"/>
        <v>2.1600000000000001E-2</v>
      </c>
      <c r="AQ25" s="40">
        <f t="shared" si="16"/>
        <v>2.2499999999999998E-3</v>
      </c>
      <c r="AR25" s="39">
        <f t="shared" si="24"/>
        <v>0.32857469181639937</v>
      </c>
      <c r="AS25" s="37">
        <f t="shared" si="25"/>
        <v>0.20400000000000001</v>
      </c>
      <c r="AT25" s="40">
        <f t="shared" si="26"/>
        <v>38.304486325521317</v>
      </c>
    </row>
    <row r="26" spans="17:46" x14ac:dyDescent="0.2">
      <c r="Q26">
        <v>19</v>
      </c>
      <c r="R26" s="39">
        <f t="shared" si="0"/>
        <v>170</v>
      </c>
      <c r="S26" s="37">
        <f t="shared" si="1"/>
        <v>1.2666666666666668E-3</v>
      </c>
      <c r="T26" s="37">
        <f t="shared" si="2"/>
        <v>5</v>
      </c>
      <c r="U26" s="40">
        <f t="shared" si="3"/>
        <v>6.6256410256410256E-2</v>
      </c>
      <c r="V26" s="39">
        <f t="shared" si="4"/>
        <v>1</v>
      </c>
      <c r="W26" s="37">
        <f t="shared" si="5"/>
        <v>0.12930583900195691</v>
      </c>
      <c r="X26" s="40">
        <f t="shared" si="6"/>
        <v>7.8367175152701163E-4</v>
      </c>
      <c r="Y26" s="39">
        <f t="shared" si="7"/>
        <v>0.64652919500978467</v>
      </c>
      <c r="Z26" s="37">
        <f t="shared" si="28"/>
        <v>0.64652919500978467</v>
      </c>
      <c r="AA26" s="37">
        <f t="shared" si="29"/>
        <v>0.13463211045283899</v>
      </c>
      <c r="AB26" s="37">
        <v>0</v>
      </c>
      <c r="AC26" s="37">
        <f t="shared" si="8"/>
        <v>6.3440318077449039E-4</v>
      </c>
      <c r="AD26" s="40">
        <f t="shared" si="19"/>
        <v>6.3440318077449039E-4</v>
      </c>
      <c r="AE26" s="39">
        <f t="shared" si="27"/>
        <v>8.5673407174629915E-3</v>
      </c>
      <c r="AF26" s="37">
        <f t="shared" si="20"/>
        <v>0.13422597948089635</v>
      </c>
      <c r="AG26" s="37">
        <f t="shared" si="9"/>
        <v>2.107943787409903E-3</v>
      </c>
      <c r="AH26" s="37">
        <f t="shared" si="10"/>
        <v>9.2784964375893959E-3</v>
      </c>
      <c r="AI26" s="40">
        <f t="shared" si="21"/>
        <v>1.1386440224999298E-2</v>
      </c>
      <c r="AJ26" s="39">
        <f t="shared" si="22"/>
        <v>5.1923277075533284E-5</v>
      </c>
      <c r="AK26" s="37">
        <f t="shared" si="11"/>
        <v>1.0449478330492404E-2</v>
      </c>
      <c r="AL26" s="37">
        <f t="shared" si="12"/>
        <v>1.5833333333333335E-3</v>
      </c>
      <c r="AM26" s="37">
        <f t="shared" si="13"/>
        <v>0.29112499999999997</v>
      </c>
      <c r="AN26" s="40">
        <f t="shared" si="23"/>
        <v>0.29270833333333329</v>
      </c>
      <c r="AO26" s="39">
        <f t="shared" si="14"/>
        <v>8.4678083767748239E-4</v>
      </c>
      <c r="AP26" s="37">
        <f t="shared" si="15"/>
        <v>2.1600000000000001E-2</v>
      </c>
      <c r="AQ26" s="40">
        <f t="shared" si="16"/>
        <v>2.2499999999999998E-3</v>
      </c>
      <c r="AR26" s="39">
        <f t="shared" si="24"/>
        <v>0.32942595757678456</v>
      </c>
      <c r="AS26" s="37">
        <f t="shared" si="25"/>
        <v>0.21533333333333335</v>
      </c>
      <c r="AT26" s="40">
        <f t="shared" si="26"/>
        <v>39.528161690199077</v>
      </c>
    </row>
    <row r="27" spans="17:46" x14ac:dyDescent="0.2">
      <c r="Q27">
        <v>20</v>
      </c>
      <c r="R27" s="39">
        <f t="shared" si="0"/>
        <v>170</v>
      </c>
      <c r="S27" s="37">
        <f t="shared" si="1"/>
        <v>1.3333333333333335E-3</v>
      </c>
      <c r="T27" s="37">
        <f t="shared" si="2"/>
        <v>5</v>
      </c>
      <c r="U27" s="40">
        <f t="shared" si="3"/>
        <v>6.9743589743589754E-2</v>
      </c>
      <c r="V27" s="39">
        <f t="shared" si="4"/>
        <v>1</v>
      </c>
      <c r="W27" s="37">
        <f t="shared" si="5"/>
        <v>0.13266499161421599</v>
      </c>
      <c r="X27" s="40">
        <f t="shared" si="6"/>
        <v>8.0403025220736964E-4</v>
      </c>
      <c r="Y27" s="39">
        <f t="shared" si="7"/>
        <v>0.66332495807108005</v>
      </c>
      <c r="Z27" s="37">
        <f t="shared" si="28"/>
        <v>0.66332495807108005</v>
      </c>
      <c r="AA27" s="37">
        <f t="shared" si="29"/>
        <v>0.1399123173291357</v>
      </c>
      <c r="AB27" s="37">
        <v>0</v>
      </c>
      <c r="AC27" s="37">
        <f t="shared" si="8"/>
        <v>6.8514097891430681E-4</v>
      </c>
      <c r="AD27" s="40">
        <f t="shared" si="19"/>
        <v>6.8514097891430681E-4</v>
      </c>
      <c r="AE27" s="39">
        <f t="shared" si="27"/>
        <v>9.2525327484786549E-3</v>
      </c>
      <c r="AF27" s="37">
        <f t="shared" si="20"/>
        <v>0.13949025809503096</v>
      </c>
      <c r="AG27" s="37">
        <f t="shared" si="9"/>
        <v>2.2765312560999473E-3</v>
      </c>
      <c r="AH27" s="37">
        <f t="shared" si="10"/>
        <v>9.7668383553572609E-3</v>
      </c>
      <c r="AI27" s="40">
        <f t="shared" si="21"/>
        <v>1.2043369611457208E-2</v>
      </c>
      <c r="AJ27" s="39">
        <f t="shared" si="22"/>
        <v>5.6075956051385785E-5</v>
      </c>
      <c r="AK27" s="37">
        <f t="shared" si="11"/>
        <v>1.0859301864779992E-2</v>
      </c>
      <c r="AL27" s="37">
        <f t="shared" si="12"/>
        <v>1.666666666666667E-3</v>
      </c>
      <c r="AM27" s="37">
        <f t="shared" si="13"/>
        <v>0.29112499999999997</v>
      </c>
      <c r="AN27" s="40">
        <f t="shared" si="23"/>
        <v>0.29279166666666662</v>
      </c>
      <c r="AO27" s="39">
        <f t="shared" si="14"/>
        <v>9.1450400886066243E-4</v>
      </c>
      <c r="AP27" s="37">
        <f t="shared" si="15"/>
        <v>2.1600000000000001E-2</v>
      </c>
      <c r="AQ27" s="40">
        <f t="shared" si="16"/>
        <v>2.2499999999999998E-3</v>
      </c>
      <c r="AR27" s="39">
        <f t="shared" si="24"/>
        <v>0.33028468126589877</v>
      </c>
      <c r="AS27" s="37">
        <f t="shared" si="25"/>
        <v>0.22666666666666668</v>
      </c>
      <c r="AT27" s="40">
        <f t="shared" si="26"/>
        <v>40.697749903661432</v>
      </c>
    </row>
    <row r="28" spans="17:46" x14ac:dyDescent="0.2">
      <c r="Q28">
        <v>21</v>
      </c>
      <c r="R28" s="39">
        <f t="shared" si="0"/>
        <v>170</v>
      </c>
      <c r="S28" s="37">
        <f t="shared" si="1"/>
        <v>1.4E-3</v>
      </c>
      <c r="T28" s="37">
        <f t="shared" si="2"/>
        <v>5</v>
      </c>
      <c r="U28" s="40">
        <f t="shared" si="3"/>
        <v>7.3230769230769224E-2</v>
      </c>
      <c r="V28" s="39">
        <f t="shared" si="4"/>
        <v>1</v>
      </c>
      <c r="W28" s="37">
        <f t="shared" si="5"/>
        <v>0.13594116374373141</v>
      </c>
      <c r="X28" s="40">
        <f t="shared" si="6"/>
        <v>8.2388584087109942E-4</v>
      </c>
      <c r="Y28" s="39">
        <f t="shared" si="7"/>
        <v>0.67970581871865721</v>
      </c>
      <c r="Z28" s="37">
        <f t="shared" si="28"/>
        <v>0.67970581871865721</v>
      </c>
      <c r="AA28" s="37">
        <f t="shared" si="29"/>
        <v>0.1451269018343215</v>
      </c>
      <c r="AB28" s="37">
        <v>0</v>
      </c>
      <c r="AC28" s="37">
        <f t="shared" si="8"/>
        <v>7.371636172610077E-4</v>
      </c>
      <c r="AD28" s="40">
        <f t="shared" si="19"/>
        <v>7.371636172610077E-4</v>
      </c>
      <c r="AE28" s="39">
        <f t="shared" si="27"/>
        <v>9.9550759910794068E-3</v>
      </c>
      <c r="AF28" s="37">
        <f t="shared" si="20"/>
        <v>0.14468911229437634</v>
      </c>
      <c r="AG28" s="37">
        <f t="shared" si="9"/>
        <v>2.4493878883345538E-3</v>
      </c>
      <c r="AH28" s="37">
        <f t="shared" si="10"/>
        <v>1.0255180273125119E-2</v>
      </c>
      <c r="AI28" s="40">
        <f t="shared" si="21"/>
        <v>1.2704568161459673E-2</v>
      </c>
      <c r="AJ28" s="39">
        <f t="shared" si="22"/>
        <v>6.0333793885329735E-5</v>
      </c>
      <c r="AK28" s="37">
        <f t="shared" si="11"/>
        <v>1.1264032115284E-2</v>
      </c>
      <c r="AL28" s="37">
        <f t="shared" si="12"/>
        <v>1.75E-3</v>
      </c>
      <c r="AM28" s="37">
        <f t="shared" si="13"/>
        <v>0.29112499999999997</v>
      </c>
      <c r="AN28" s="40">
        <f t="shared" si="23"/>
        <v>0.29287499999999994</v>
      </c>
      <c r="AO28" s="39">
        <f t="shared" si="14"/>
        <v>9.8394214317712838E-4</v>
      </c>
      <c r="AP28" s="37">
        <f t="shared" si="15"/>
        <v>2.1600000000000001E-2</v>
      </c>
      <c r="AQ28" s="40">
        <f t="shared" si="16"/>
        <v>2.2499999999999998E-3</v>
      </c>
      <c r="AR28" s="39">
        <f t="shared" si="24"/>
        <v>0.33115067392189773</v>
      </c>
      <c r="AS28" s="37">
        <f t="shared" si="25"/>
        <v>0.23799999999999999</v>
      </c>
      <c r="AT28" s="40">
        <f t="shared" si="26"/>
        <v>41.816694753252598</v>
      </c>
    </row>
    <row r="29" spans="17:46" x14ac:dyDescent="0.2">
      <c r="Q29">
        <v>22</v>
      </c>
      <c r="R29" s="39">
        <f t="shared" si="0"/>
        <v>170</v>
      </c>
      <c r="S29" s="37">
        <f t="shared" si="1"/>
        <v>1.4666666666666667E-3</v>
      </c>
      <c r="T29" s="37">
        <f t="shared" si="2"/>
        <v>5</v>
      </c>
      <c r="U29" s="40">
        <f t="shared" si="3"/>
        <v>7.6717948717948709E-2</v>
      </c>
      <c r="V29" s="39">
        <f t="shared" si="4"/>
        <v>1</v>
      </c>
      <c r="W29" s="37">
        <f t="shared" si="5"/>
        <v>0.1391402170474087</v>
      </c>
      <c r="X29" s="40">
        <f t="shared" si="6"/>
        <v>8.4327404271156766E-4</v>
      </c>
      <c r="Y29" s="39">
        <f t="shared" si="7"/>
        <v>0.69570108523704366</v>
      </c>
      <c r="Z29" s="37">
        <f t="shared" si="28"/>
        <v>0.69570108523704366</v>
      </c>
      <c r="AA29" s="37">
        <f t="shared" si="29"/>
        <v>0.15027974989733675</v>
      </c>
      <c r="AB29" s="37">
        <v>0</v>
      </c>
      <c r="AC29" s="37">
        <f t="shared" si="8"/>
        <v>7.9044011302221312E-4</v>
      </c>
      <c r="AD29" s="40">
        <f t="shared" si="19"/>
        <v>7.9044011302221312E-4</v>
      </c>
      <c r="AE29" s="39">
        <f t="shared" si="27"/>
        <v>1.0674552036047353E-2</v>
      </c>
      <c r="AF29" s="37">
        <f t="shared" si="20"/>
        <v>0.14982641628558679</v>
      </c>
      <c r="AG29" s="37">
        <f t="shared" si="9"/>
        <v>2.6264107369868882E-3</v>
      </c>
      <c r="AH29" s="37">
        <f t="shared" si="10"/>
        <v>1.0743522190892982E-2</v>
      </c>
      <c r="AI29" s="40">
        <f t="shared" si="21"/>
        <v>1.3369932927879871E-2</v>
      </c>
      <c r="AJ29" s="39">
        <f t="shared" si="22"/>
        <v>6.4694254763923337E-5</v>
      </c>
      <c r="AK29" s="37">
        <f t="shared" si="11"/>
        <v>1.1663970688583413E-2</v>
      </c>
      <c r="AL29" s="37">
        <f t="shared" si="12"/>
        <v>1.8333333333333333E-3</v>
      </c>
      <c r="AM29" s="37">
        <f t="shared" si="13"/>
        <v>0.29112499999999997</v>
      </c>
      <c r="AN29" s="40">
        <f t="shared" si="23"/>
        <v>0.29295833333333332</v>
      </c>
      <c r="AO29" s="39">
        <f t="shared" si="14"/>
        <v>1.0550538857981516E-3</v>
      </c>
      <c r="AP29" s="37">
        <f t="shared" si="15"/>
        <v>2.1600000000000001E-2</v>
      </c>
      <c r="AQ29" s="40">
        <f t="shared" si="16"/>
        <v>2.2499999999999998E-3</v>
      </c>
      <c r="AR29" s="39">
        <f t="shared" si="24"/>
        <v>0.3320237602600335</v>
      </c>
      <c r="AS29" s="37">
        <f t="shared" si="25"/>
        <v>0.24933333333333332</v>
      </c>
      <c r="AT29" s="40">
        <f t="shared" si="26"/>
        <v>42.888155331898432</v>
      </c>
    </row>
    <row r="30" spans="17:46" x14ac:dyDescent="0.2">
      <c r="Q30">
        <v>23</v>
      </c>
      <c r="R30" s="39">
        <f t="shared" si="0"/>
        <v>170</v>
      </c>
      <c r="S30" s="37">
        <f t="shared" si="1"/>
        <v>1.5333333333333334E-3</v>
      </c>
      <c r="T30" s="37">
        <f t="shared" si="2"/>
        <v>5</v>
      </c>
      <c r="U30" s="40">
        <f t="shared" si="3"/>
        <v>8.0205128205128207E-2</v>
      </c>
      <c r="V30" s="39">
        <f t="shared" si="4"/>
        <v>1</v>
      </c>
      <c r="W30" s="37">
        <f t="shared" si="5"/>
        <v>0.14226735395022991</v>
      </c>
      <c r="X30" s="40">
        <f t="shared" si="6"/>
        <v>8.6222638757715094E-4</v>
      </c>
      <c r="Y30" s="39">
        <f t="shared" si="7"/>
        <v>0.71133676975114968</v>
      </c>
      <c r="Z30" s="37">
        <f t="shared" si="28"/>
        <v>0.71133676975114968</v>
      </c>
      <c r="AA30" s="37">
        <f t="shared" si="29"/>
        <v>0.15537435186341664</v>
      </c>
      <c r="AB30" s="37">
        <v>0</v>
      </c>
      <c r="AC30" s="37">
        <f t="shared" si="8"/>
        <v>8.449416225941881E-4</v>
      </c>
      <c r="AD30" s="40">
        <f t="shared" si="19"/>
        <v>8.449416225941881E-4</v>
      </c>
      <c r="AE30" s="39">
        <f t="shared" si="27"/>
        <v>1.1410571362982543E-2</v>
      </c>
      <c r="AF30" s="37">
        <f t="shared" si="20"/>
        <v>0.15490564988492872</v>
      </c>
      <c r="AG30" s="37">
        <f t="shared" si="9"/>
        <v>2.8075039628538381E-3</v>
      </c>
      <c r="AH30" s="37">
        <f t="shared" si="10"/>
        <v>1.1231864108660847E-2</v>
      </c>
      <c r="AI30" s="40">
        <f t="shared" si="21"/>
        <v>1.4039368071514685E-2</v>
      </c>
      <c r="AJ30" s="39">
        <f t="shared" si="22"/>
        <v>6.9154977957469951E-5</v>
      </c>
      <c r="AK30" s="37">
        <f t="shared" si="11"/>
        <v>1.2059388488007156E-2</v>
      </c>
      <c r="AL30" s="37">
        <f t="shared" si="12"/>
        <v>1.9166666666666668E-3</v>
      </c>
      <c r="AM30" s="37">
        <f t="shared" si="13"/>
        <v>0.29112499999999997</v>
      </c>
      <c r="AN30" s="40">
        <f t="shared" si="23"/>
        <v>0.29304166666666664</v>
      </c>
      <c r="AO30" s="39">
        <f t="shared" si="14"/>
        <v>1.1278007372147896E-3</v>
      </c>
      <c r="AP30" s="37">
        <f t="shared" si="15"/>
        <v>2.1600000000000001E-2</v>
      </c>
      <c r="AQ30" s="40">
        <f t="shared" si="16"/>
        <v>2.2499999999999998E-3</v>
      </c>
      <c r="AR30" s="39">
        <f t="shared" si="24"/>
        <v>0.33290377709799029</v>
      </c>
      <c r="AS30" s="37">
        <f t="shared" si="25"/>
        <v>0.26066666666666666</v>
      </c>
      <c r="AT30" s="40">
        <f t="shared" si="26"/>
        <v>43.915034753653885</v>
      </c>
    </row>
    <row r="31" spans="17:46" x14ac:dyDescent="0.2">
      <c r="Q31">
        <v>24</v>
      </c>
      <c r="R31" s="39">
        <f t="shared" si="0"/>
        <v>170</v>
      </c>
      <c r="S31" s="37">
        <f t="shared" si="1"/>
        <v>1.6000000000000001E-3</v>
      </c>
      <c r="T31" s="37">
        <f t="shared" si="2"/>
        <v>5</v>
      </c>
      <c r="U31" s="40">
        <f t="shared" si="3"/>
        <v>8.3692307692307705E-2</v>
      </c>
      <c r="V31" s="39">
        <f t="shared" si="4"/>
        <v>1</v>
      </c>
      <c r="W31" s="37">
        <f t="shared" si="5"/>
        <v>0.14532721699667961</v>
      </c>
      <c r="X31" s="40">
        <f t="shared" si="6"/>
        <v>8.8077101210108839E-4</v>
      </c>
      <c r="Y31" s="39">
        <f t="shared" si="7"/>
        <v>0.72663608498339816</v>
      </c>
      <c r="Z31" s="37">
        <f t="shared" si="28"/>
        <v>0.72663608498339816</v>
      </c>
      <c r="AA31" s="37">
        <f t="shared" si="29"/>
        <v>0.16041385815927942</v>
      </c>
      <c r="AB31" s="37">
        <v>0</v>
      </c>
      <c r="AC31" s="37">
        <f t="shared" si="8"/>
        <v>9.006412061340896E-4</v>
      </c>
      <c r="AD31" s="40">
        <f t="shared" si="19"/>
        <v>9.006412061340896E-4</v>
      </c>
      <c r="AE31" s="39">
        <f t="shared" si="27"/>
        <v>1.2162770160952879E-2</v>
      </c>
      <c r="AF31" s="37">
        <f t="shared" si="20"/>
        <v>0.15992995401554902</v>
      </c>
      <c r="AG31" s="37">
        <f t="shared" si="9"/>
        <v>2.9925780523956283E-3</v>
      </c>
      <c r="AH31" s="37">
        <f t="shared" si="10"/>
        <v>1.1720206026428712E-2</v>
      </c>
      <c r="AI31" s="40">
        <f t="shared" si="21"/>
        <v>1.4712784078824341E-2</v>
      </c>
      <c r="AJ31" s="39">
        <f t="shared" si="22"/>
        <v>7.3713758551229564E-5</v>
      </c>
      <c r="AK31" s="37">
        <f t="shared" si="11"/>
        <v>1.2450530034090582E-2</v>
      </c>
      <c r="AL31" s="37">
        <f t="shared" si="12"/>
        <v>2E-3</v>
      </c>
      <c r="AM31" s="37">
        <f t="shared" si="13"/>
        <v>0.29112499999999997</v>
      </c>
      <c r="AN31" s="40">
        <f t="shared" si="23"/>
        <v>0.29312499999999997</v>
      </c>
      <c r="AO31" s="39">
        <f t="shared" si="14"/>
        <v>1.2021467389965344E-3</v>
      </c>
      <c r="AP31" s="37">
        <f t="shared" si="15"/>
        <v>2.1600000000000001E-2</v>
      </c>
      <c r="AQ31" s="40">
        <f t="shared" si="16"/>
        <v>2.2499999999999998E-3</v>
      </c>
      <c r="AR31" s="39">
        <f t="shared" si="24"/>
        <v>0.3337905720239549</v>
      </c>
      <c r="AS31" s="37">
        <f t="shared" si="25"/>
        <v>0.27200000000000002</v>
      </c>
      <c r="AT31" s="40">
        <f t="shared" si="26"/>
        <v>44.900005474044299</v>
      </c>
    </row>
    <row r="32" spans="17:46" x14ac:dyDescent="0.2">
      <c r="Q32">
        <v>25</v>
      </c>
      <c r="R32" s="39">
        <f t="shared" si="0"/>
        <v>170</v>
      </c>
      <c r="S32" s="37">
        <f t="shared" si="1"/>
        <v>1.6666666666666668E-3</v>
      </c>
      <c r="T32" s="37">
        <f t="shared" si="2"/>
        <v>5</v>
      </c>
      <c r="U32" s="40">
        <f t="shared" si="3"/>
        <v>8.7179487179487175E-2</v>
      </c>
      <c r="V32" s="39">
        <f t="shared" si="4"/>
        <v>1</v>
      </c>
      <c r="W32" s="37">
        <f t="shared" si="5"/>
        <v>0.14832396974191325</v>
      </c>
      <c r="X32" s="40">
        <f t="shared" si="6"/>
        <v>8.9893314995098921E-4</v>
      </c>
      <c r="Y32" s="39">
        <f t="shared" si="7"/>
        <v>0.74161984870956632</v>
      </c>
      <c r="Z32" s="37">
        <f t="shared" si="28"/>
        <v>0.74161984870956632</v>
      </c>
      <c r="AA32" s="37">
        <f t="shared" si="29"/>
        <v>0.16540112513777461</v>
      </c>
      <c r="AB32" s="37">
        <v>0</v>
      </c>
      <c r="AC32" s="37">
        <f t="shared" si="8"/>
        <v>9.5751362688946222E-4</v>
      </c>
      <c r="AD32" s="40">
        <f t="shared" si="19"/>
        <v>9.5751362688946222E-4</v>
      </c>
      <c r="AE32" s="39">
        <f t="shared" si="27"/>
        <v>1.293080761852577E-2</v>
      </c>
      <c r="AF32" s="37">
        <f t="shared" si="20"/>
        <v>0.16490217641382854</v>
      </c>
      <c r="AG32" s="37">
        <f t="shared" si="9"/>
        <v>3.1815491509640391E-3</v>
      </c>
      <c r="AH32" s="37">
        <f t="shared" si="10"/>
        <v>1.2208547944196572E-2</v>
      </c>
      <c r="AI32" s="40">
        <f t="shared" si="21"/>
        <v>1.539009709516061E-2</v>
      </c>
      <c r="AJ32" s="39">
        <f t="shared" si="22"/>
        <v>7.8368531021368281E-5</v>
      </c>
      <c r="AK32" s="37">
        <f t="shared" si="11"/>
        <v>1.2837617022810272E-2</v>
      </c>
      <c r="AL32" s="37">
        <f t="shared" si="12"/>
        <v>2.0833333333333333E-3</v>
      </c>
      <c r="AM32" s="37">
        <f t="shared" si="13"/>
        <v>0.29112499999999997</v>
      </c>
      <c r="AN32" s="40">
        <f t="shared" si="23"/>
        <v>0.29320833333333329</v>
      </c>
      <c r="AO32" s="39">
        <f t="shared" si="14"/>
        <v>1.2780582059428191E-3</v>
      </c>
      <c r="AP32" s="37">
        <f t="shared" si="15"/>
        <v>2.1600000000000001E-2</v>
      </c>
      <c r="AQ32" s="40">
        <f t="shared" si="16"/>
        <v>2.2499999999999998E-3</v>
      </c>
      <c r="AR32" s="39">
        <f t="shared" si="24"/>
        <v>0.33468400226132616</v>
      </c>
      <c r="AS32" s="37">
        <f t="shared" si="25"/>
        <v>0.28333333333333333</v>
      </c>
      <c r="AT32" s="40">
        <f t="shared" si="26"/>
        <v>45.845531672782052</v>
      </c>
    </row>
    <row r="33" spans="17:46" x14ac:dyDescent="0.2">
      <c r="Q33">
        <v>26</v>
      </c>
      <c r="R33" s="39">
        <f t="shared" si="0"/>
        <v>170</v>
      </c>
      <c r="S33" s="37">
        <f t="shared" si="1"/>
        <v>1.7333333333333335E-3</v>
      </c>
      <c r="T33" s="37">
        <f t="shared" si="2"/>
        <v>5</v>
      </c>
      <c r="U33" s="40">
        <f t="shared" si="3"/>
        <v>9.0666666666666673E-2</v>
      </c>
      <c r="V33" s="39">
        <f t="shared" si="4"/>
        <v>1</v>
      </c>
      <c r="W33" s="37">
        <f t="shared" si="5"/>
        <v>0.15126136320951228</v>
      </c>
      <c r="X33" s="40">
        <f t="shared" si="6"/>
        <v>9.1673553460310474E-4</v>
      </c>
      <c r="Y33" s="39">
        <f t="shared" si="7"/>
        <v>0.75630681604756156</v>
      </c>
      <c r="Z33" s="37">
        <f t="shared" si="28"/>
        <v>0.75630681604756156</v>
      </c>
      <c r="AA33" s="37">
        <f t="shared" si="29"/>
        <v>0.17033875315738148</v>
      </c>
      <c r="AB33" s="37">
        <v>0</v>
      </c>
      <c r="AC33" s="37">
        <f t="shared" si="8"/>
        <v>1.0155351789523971E-3</v>
      </c>
      <c r="AD33" s="40">
        <f t="shared" si="19"/>
        <v>1.0155351789523971E-3</v>
      </c>
      <c r="AE33" s="39">
        <f t="shared" si="27"/>
        <v>1.3714363597662448E-2</v>
      </c>
      <c r="AF33" s="37">
        <f t="shared" si="20"/>
        <v>0.16982490959401003</v>
      </c>
      <c r="AG33" s="37">
        <f t="shared" si="9"/>
        <v>3.3743384904778009E-3</v>
      </c>
      <c r="AH33" s="37">
        <f t="shared" si="10"/>
        <v>1.2696889861964437E-2</v>
      </c>
      <c r="AI33" s="40">
        <f t="shared" si="21"/>
        <v>1.6071228352442238E-2</v>
      </c>
      <c r="AJ33" s="39">
        <f t="shared" si="22"/>
        <v>8.3117355137348169E-5</v>
      </c>
      <c r="AK33" s="37">
        <f t="shared" si="11"/>
        <v>1.3220851281126289E-2</v>
      </c>
      <c r="AL33" s="37">
        <f t="shared" si="12"/>
        <v>2.166666666666667E-3</v>
      </c>
      <c r="AM33" s="37">
        <f t="shared" si="13"/>
        <v>0.29112499999999997</v>
      </c>
      <c r="AN33" s="40">
        <f t="shared" si="23"/>
        <v>0.29329166666666662</v>
      </c>
      <c r="AO33" s="39">
        <f t="shared" si="14"/>
        <v>1.3555034961748431E-3</v>
      </c>
      <c r="AP33" s="37">
        <f t="shared" si="15"/>
        <v>2.1600000000000001E-2</v>
      </c>
      <c r="AQ33" s="40">
        <f t="shared" si="16"/>
        <v>2.2499999999999998E-3</v>
      </c>
      <c r="AR33" s="39">
        <f t="shared" si="24"/>
        <v>0.33558393369423611</v>
      </c>
      <c r="AS33" s="37">
        <f t="shared" si="25"/>
        <v>0.29466666666666669</v>
      </c>
      <c r="AT33" s="40">
        <f t="shared" si="26"/>
        <v>46.753889087599539</v>
      </c>
    </row>
    <row r="34" spans="17:46" x14ac:dyDescent="0.2">
      <c r="Q34">
        <v>27</v>
      </c>
      <c r="R34" s="39">
        <f t="shared" si="0"/>
        <v>170</v>
      </c>
      <c r="S34" s="37">
        <f t="shared" si="1"/>
        <v>1.8000000000000002E-3</v>
      </c>
      <c r="T34" s="37">
        <f t="shared" si="2"/>
        <v>5</v>
      </c>
      <c r="U34" s="40">
        <f t="shared" si="3"/>
        <v>9.4153846153846171E-2</v>
      </c>
      <c r="V34" s="39">
        <f t="shared" si="4"/>
        <v>1</v>
      </c>
      <c r="W34" s="37">
        <f t="shared" si="5"/>
        <v>0.15414279094398156</v>
      </c>
      <c r="X34" s="40">
        <f t="shared" si="6"/>
        <v>9.3419873299382743E-4</v>
      </c>
      <c r="Y34" s="39">
        <f t="shared" si="7"/>
        <v>0.77071395471990789</v>
      </c>
      <c r="Z34" s="37">
        <f t="shared" si="28"/>
        <v>0.77071395471990789</v>
      </c>
      <c r="AA34" s="37">
        <f t="shared" si="29"/>
        <v>0.17522911845935063</v>
      </c>
      <c r="AB34" s="37">
        <v>0</v>
      </c>
      <c r="AC34" s="37">
        <f t="shared" si="8"/>
        <v>1.0746835384614398E-3</v>
      </c>
      <c r="AD34" s="40">
        <f t="shared" si="19"/>
        <v>1.0746835384614398E-3</v>
      </c>
      <c r="AE34" s="39">
        <f t="shared" si="27"/>
        <v>1.4513136624264112E-2</v>
      </c>
      <c r="AF34" s="37">
        <f t="shared" si="20"/>
        <v>0.17470052262917921</v>
      </c>
      <c r="AG34" s="37">
        <f t="shared" si="9"/>
        <v>3.5708718950082778E-3</v>
      </c>
      <c r="AH34" s="37">
        <f t="shared" si="10"/>
        <v>1.3185231779732302E-2</v>
      </c>
      <c r="AI34" s="40">
        <f t="shared" si="21"/>
        <v>1.6756103674740581E-2</v>
      </c>
      <c r="AJ34" s="39">
        <f t="shared" si="22"/>
        <v>8.7958403783418851E-5</v>
      </c>
      <c r="AK34" s="37">
        <f t="shared" si="11"/>
        <v>1.3600417241128227E-2</v>
      </c>
      <c r="AL34" s="37">
        <f t="shared" si="12"/>
        <v>2.2500000000000003E-3</v>
      </c>
      <c r="AM34" s="37">
        <f t="shared" si="13"/>
        <v>0.29112499999999997</v>
      </c>
      <c r="AN34" s="40">
        <f t="shared" si="23"/>
        <v>0.29337499999999994</v>
      </c>
      <c r="AO34" s="39">
        <f t="shared" si="14"/>
        <v>1.4344528125246926E-3</v>
      </c>
      <c r="AP34" s="37">
        <f t="shared" si="15"/>
        <v>2.1600000000000001E-2</v>
      </c>
      <c r="AQ34" s="40">
        <f t="shared" si="16"/>
        <v>2.2499999999999998E-3</v>
      </c>
      <c r="AR34" s="39">
        <f t="shared" si="24"/>
        <v>0.33649024002572664</v>
      </c>
      <c r="AS34" s="37">
        <f t="shared" si="25"/>
        <v>0.30600000000000005</v>
      </c>
      <c r="AT34" s="40">
        <f t="shared" si="26"/>
        <v>47.627182630470337</v>
      </c>
    </row>
    <row r="35" spans="17:46" x14ac:dyDescent="0.2">
      <c r="Q35">
        <v>28</v>
      </c>
      <c r="R35" s="39">
        <f t="shared" si="0"/>
        <v>170</v>
      </c>
      <c r="S35" s="37">
        <f t="shared" si="1"/>
        <v>1.8666666666666666E-3</v>
      </c>
      <c r="T35" s="37">
        <f t="shared" si="2"/>
        <v>5</v>
      </c>
      <c r="U35" s="40">
        <f t="shared" si="3"/>
        <v>9.7641025641025642E-2</v>
      </c>
      <c r="V35" s="39">
        <f t="shared" si="4"/>
        <v>1</v>
      </c>
      <c r="W35" s="37">
        <f t="shared" si="5"/>
        <v>0.15697133496278864</v>
      </c>
      <c r="X35" s="40">
        <f t="shared" si="6"/>
        <v>9.5134142401690066E-4</v>
      </c>
      <c r="Y35" s="39">
        <f t="shared" si="7"/>
        <v>0.78485667481394328</v>
      </c>
      <c r="Z35" s="37">
        <f t="shared" si="28"/>
        <v>0.78485667481394328</v>
      </c>
      <c r="AA35" s="37">
        <f t="shared" si="29"/>
        <v>0.18007440004460398</v>
      </c>
      <c r="AB35" s="37">
        <v>0</v>
      </c>
      <c r="AC35" s="37">
        <f t="shared" si="8"/>
        <v>1.1349376342998426E-3</v>
      </c>
      <c r="AD35" s="40">
        <f t="shared" si="19"/>
        <v>1.1349376342998426E-3</v>
      </c>
      <c r="AE35" s="39">
        <f t="shared" si="27"/>
        <v>1.5326842142007671E-2</v>
      </c>
      <c r="AF35" s="37">
        <f t="shared" si="20"/>
        <v>0.17953118794708789</v>
      </c>
      <c r="AG35" s="37">
        <f t="shared" si="9"/>
        <v>3.7710793511460342E-3</v>
      </c>
      <c r="AH35" s="37">
        <f t="shared" si="10"/>
        <v>1.3673573697500161E-2</v>
      </c>
      <c r="AI35" s="40">
        <f t="shared" si="21"/>
        <v>1.7444653048646196E-2</v>
      </c>
      <c r="AJ35" s="39">
        <f t="shared" si="22"/>
        <v>9.2889952375804045E-5</v>
      </c>
      <c r="AK35" s="37">
        <f t="shared" si="11"/>
        <v>1.3976484026087184E-2</v>
      </c>
      <c r="AL35" s="37">
        <f t="shared" si="12"/>
        <v>2.3333333333333331E-3</v>
      </c>
      <c r="AM35" s="37">
        <f t="shared" si="13"/>
        <v>0.29112499999999997</v>
      </c>
      <c r="AN35" s="40">
        <f t="shared" si="23"/>
        <v>0.29345833333333332</v>
      </c>
      <c r="AO35" s="39">
        <f t="shared" si="14"/>
        <v>1.5148780299475521E-3</v>
      </c>
      <c r="AP35" s="37">
        <f t="shared" si="15"/>
        <v>2.1600000000000001E-2</v>
      </c>
      <c r="AQ35" s="40">
        <f t="shared" si="16"/>
        <v>2.2499999999999998E-3</v>
      </c>
      <c r="AR35" s="39">
        <f t="shared" si="24"/>
        <v>0.33740280204622686</v>
      </c>
      <c r="AS35" s="37">
        <f t="shared" si="25"/>
        <v>0.31733333333333336</v>
      </c>
      <c r="AT35" s="40">
        <f t="shared" si="26"/>
        <v>48.467362069357996</v>
      </c>
    </row>
    <row r="36" spans="17:46" x14ac:dyDescent="0.2">
      <c r="Q36">
        <v>29</v>
      </c>
      <c r="R36" s="39">
        <f t="shared" si="0"/>
        <v>170</v>
      </c>
      <c r="S36" s="37">
        <f t="shared" si="1"/>
        <v>1.9333333333333333E-3</v>
      </c>
      <c r="T36" s="37">
        <f t="shared" si="2"/>
        <v>5</v>
      </c>
      <c r="U36" s="40">
        <f t="shared" si="3"/>
        <v>0.10112820512820513</v>
      </c>
      <c r="V36" s="39">
        <f t="shared" si="4"/>
        <v>1</v>
      </c>
      <c r="W36" s="37">
        <f t="shared" si="5"/>
        <v>0.15974980438172687</v>
      </c>
      <c r="X36" s="40">
        <f t="shared" si="6"/>
        <v>9.6818063261652646E-4</v>
      </c>
      <c r="Y36" s="39">
        <f t="shared" si="7"/>
        <v>0.7987490219086345</v>
      </c>
      <c r="Z36" s="37">
        <f t="shared" si="28"/>
        <v>0.7987490219086345</v>
      </c>
      <c r="AA36" s="37">
        <f t="shared" si="29"/>
        <v>0.18487660248496487</v>
      </c>
      <c r="AB36" s="37">
        <v>0</v>
      </c>
      <c r="AC36" s="37">
        <f t="shared" si="8"/>
        <v>1.1962775351234303E-3</v>
      </c>
      <c r="AD36" s="40">
        <f t="shared" si="19"/>
        <v>1.1962775351234303E-3</v>
      </c>
      <c r="AE36" s="39">
        <f t="shared" si="27"/>
        <v>1.6155210986705918E-2</v>
      </c>
      <c r="AF36" s="37">
        <f t="shared" si="20"/>
        <v>0.18431890407257182</v>
      </c>
      <c r="AG36" s="37">
        <f t="shared" si="9"/>
        <v>3.97489463262613E-3</v>
      </c>
      <c r="AH36" s="37">
        <f t="shared" si="10"/>
        <v>1.4161915615268025E-2</v>
      </c>
      <c r="AI36" s="40">
        <f t="shared" si="21"/>
        <v>1.8136810247894153E-2</v>
      </c>
      <c r="AJ36" s="39">
        <f t="shared" si="22"/>
        <v>9.7910369616399488E-5</v>
      </c>
      <c r="AK36" s="37">
        <f t="shared" si="11"/>
        <v>1.434920722095062E-2</v>
      </c>
      <c r="AL36" s="37">
        <f t="shared" si="12"/>
        <v>2.4166666666666668E-3</v>
      </c>
      <c r="AM36" s="37">
        <f t="shared" si="13"/>
        <v>0.29112499999999997</v>
      </c>
      <c r="AN36" s="40">
        <f t="shared" si="23"/>
        <v>0.29354166666666665</v>
      </c>
      <c r="AO36" s="39">
        <f t="shared" si="14"/>
        <v>1.5967525447301545E-3</v>
      </c>
      <c r="AP36" s="37">
        <f t="shared" si="15"/>
        <v>2.1600000000000001E-2</v>
      </c>
      <c r="AQ36" s="40">
        <f t="shared" si="16"/>
        <v>2.2499999999999998E-3</v>
      </c>
      <c r="AR36" s="39">
        <f t="shared" si="24"/>
        <v>0.33832150699441432</v>
      </c>
      <c r="AS36" s="37">
        <f t="shared" si="25"/>
        <v>0.32866666666666666</v>
      </c>
      <c r="AT36" s="40">
        <f t="shared" si="26"/>
        <v>49.276236018192613</v>
      </c>
    </row>
    <row r="37" spans="17:46" x14ac:dyDescent="0.2">
      <c r="Q37">
        <v>30</v>
      </c>
      <c r="R37" s="39">
        <f t="shared" si="0"/>
        <v>170</v>
      </c>
      <c r="S37" s="37">
        <f t="shared" si="1"/>
        <v>2E-3</v>
      </c>
      <c r="T37" s="37">
        <f t="shared" si="2"/>
        <v>5</v>
      </c>
      <c r="U37" s="40">
        <f t="shared" si="3"/>
        <v>0.10461538461538462</v>
      </c>
      <c r="V37" s="39">
        <f t="shared" si="4"/>
        <v>1</v>
      </c>
      <c r="W37" s="37">
        <f t="shared" si="5"/>
        <v>0.16248076809271919</v>
      </c>
      <c r="X37" s="40">
        <f t="shared" si="6"/>
        <v>9.8473192783466151E-4</v>
      </c>
      <c r="Y37" s="39">
        <f t="shared" si="7"/>
        <v>0.81240384046359604</v>
      </c>
      <c r="Z37" s="37">
        <f t="shared" si="28"/>
        <v>0.81240384046359604</v>
      </c>
      <c r="AA37" s="37">
        <f t="shared" si="29"/>
        <v>0.1896375754024551</v>
      </c>
      <c r="AB37" s="37">
        <v>0</v>
      </c>
      <c r="AC37" s="37">
        <f t="shared" si="8"/>
        <v>1.2586843501582645E-3</v>
      </c>
      <c r="AD37" s="40">
        <f t="shared" si="19"/>
        <v>1.2586843501582645E-3</v>
      </c>
      <c r="AE37" s="39">
        <f t="shared" si="27"/>
        <v>1.6997988046622933E-2</v>
      </c>
      <c r="AF37" s="37">
        <f t="shared" si="20"/>
        <v>0.1890655150480865</v>
      </c>
      <c r="AG37" s="37">
        <f t="shared" si="9"/>
        <v>4.1822549707065922E-3</v>
      </c>
      <c r="AH37" s="37">
        <f t="shared" si="10"/>
        <v>1.4650257533035888E-2</v>
      </c>
      <c r="AI37" s="40">
        <f t="shared" si="21"/>
        <v>1.8832512503742481E-2</v>
      </c>
      <c r="AJ37" s="39">
        <f t="shared" si="22"/>
        <v>1.0301810937347228E-4</v>
      </c>
      <c r="AK37" s="37">
        <f t="shared" si="11"/>
        <v>1.4718730384228985E-2</v>
      </c>
      <c r="AL37" s="37">
        <f t="shared" si="12"/>
        <v>2.5000000000000001E-3</v>
      </c>
      <c r="AM37" s="37">
        <f t="shared" si="13"/>
        <v>0.29112499999999997</v>
      </c>
      <c r="AN37" s="40">
        <f t="shared" si="23"/>
        <v>0.29362499999999997</v>
      </c>
      <c r="AO37" s="39">
        <f t="shared" si="14"/>
        <v>1.6800511420787163E-3</v>
      </c>
      <c r="AP37" s="37">
        <f t="shared" si="15"/>
        <v>2.1600000000000001E-2</v>
      </c>
      <c r="AQ37" s="40">
        <f t="shared" si="16"/>
        <v>2.2499999999999998E-3</v>
      </c>
      <c r="AR37" s="39">
        <f t="shared" si="24"/>
        <v>0.33924624799597936</v>
      </c>
      <c r="AS37" s="37">
        <f t="shared" si="25"/>
        <v>0.34</v>
      </c>
      <c r="AT37" s="40">
        <f t="shared" si="26"/>
        <v>50.055484443693622</v>
      </c>
    </row>
    <row r="38" spans="17:46" x14ac:dyDescent="0.2">
      <c r="Q38">
        <v>31</v>
      </c>
      <c r="R38" s="39">
        <f t="shared" si="0"/>
        <v>170</v>
      </c>
      <c r="S38" s="37">
        <f t="shared" si="1"/>
        <v>2.0666666666666667E-3</v>
      </c>
      <c r="T38" s="37">
        <f t="shared" si="2"/>
        <v>5</v>
      </c>
      <c r="U38" s="40">
        <f t="shared" si="3"/>
        <v>0.10810256410256411</v>
      </c>
      <c r="V38" s="39">
        <f t="shared" si="4"/>
        <v>1</v>
      </c>
      <c r="W38" s="37">
        <f t="shared" si="5"/>
        <v>0.16516658257650063</v>
      </c>
      <c r="X38" s="40">
        <f t="shared" si="6"/>
        <v>1.0010095913727309E-3</v>
      </c>
      <c r="Y38" s="39">
        <f t="shared" si="7"/>
        <v>0.82583291288250327</v>
      </c>
      <c r="Z38" s="37">
        <f t="shared" si="28"/>
        <v>0.82583291288250327</v>
      </c>
      <c r="AA38" s="37">
        <f t="shared" si="29"/>
        <v>0.19435903019797293</v>
      </c>
      <c r="AB38" s="37">
        <v>0</v>
      </c>
      <c r="AC38" s="37">
        <f t="shared" si="8"/>
        <v>1.3221401416823797E-3</v>
      </c>
      <c r="AD38" s="40">
        <f t="shared" si="19"/>
        <v>1.3221401416823797E-3</v>
      </c>
      <c r="AE38" s="39">
        <f t="shared" si="27"/>
        <v>1.7854931080577608E-2</v>
      </c>
      <c r="AF38" s="37">
        <f t="shared" si="20"/>
        <v>0.19377272711192139</v>
      </c>
      <c r="AG38" s="37">
        <f t="shared" si="9"/>
        <v>4.3931007633697654E-3</v>
      </c>
      <c r="AH38" s="37">
        <f t="shared" si="10"/>
        <v>1.5138599450803749E-2</v>
      </c>
      <c r="AI38" s="40">
        <f t="shared" si="21"/>
        <v>1.9531700214173515E-2</v>
      </c>
      <c r="AJ38" s="39">
        <f t="shared" si="22"/>
        <v>1.0821170351865215E-4</v>
      </c>
      <c r="AK38" s="37">
        <f t="shared" si="11"/>
        <v>1.508518634639297E-2</v>
      </c>
      <c r="AL38" s="37">
        <f t="shared" si="12"/>
        <v>2.5833333333333333E-3</v>
      </c>
      <c r="AM38" s="37">
        <f t="shared" si="13"/>
        <v>0.29112499999999997</v>
      </c>
      <c r="AN38" s="40">
        <f t="shared" si="23"/>
        <v>0.29370833333333329</v>
      </c>
      <c r="AO38" s="39">
        <f t="shared" si="14"/>
        <v>1.7647498793023843E-3</v>
      </c>
      <c r="AP38" s="37">
        <f t="shared" si="15"/>
        <v>2.1600000000000001E-2</v>
      </c>
      <c r="AQ38" s="40">
        <f t="shared" si="16"/>
        <v>2.2499999999999998E-3</v>
      </c>
      <c r="AR38" s="39">
        <f t="shared" si="24"/>
        <v>0.3401769235684915</v>
      </c>
      <c r="AS38" s="37">
        <f t="shared" si="25"/>
        <v>0.35133333333333333</v>
      </c>
      <c r="AT38" s="40">
        <f t="shared" si="26"/>
        <v>50.806669868848076</v>
      </c>
    </row>
    <row r="39" spans="17:46" x14ac:dyDescent="0.2">
      <c r="Q39">
        <v>32</v>
      </c>
      <c r="R39" s="39">
        <f t="shared" si="0"/>
        <v>170</v>
      </c>
      <c r="S39" s="37">
        <f t="shared" ref="S39:S70" si="30">Q39*$O$12</f>
        <v>2.1333333333333334E-3</v>
      </c>
      <c r="T39" s="37">
        <f t="shared" si="2"/>
        <v>5</v>
      </c>
      <c r="U39" s="40">
        <f t="shared" ref="U39:U70" si="31">(R39*S39)/(T39*EFF_est)</f>
        <v>0.11158974358974359</v>
      </c>
      <c r="V39" s="39">
        <f t="shared" ref="V39:V70" si="32">IF((S39*R39/T39)&lt;((T39*(1-(T39/R39)))/(2*Lm*Fsw)),1,2)</f>
        <v>1</v>
      </c>
      <c r="W39" s="37">
        <f t="shared" ref="W39:W70" si="33">CHOOSE(V39,SQRT((2*S39*Lm*Fsw*(R39-T39))/((T39)^2)),1-(T39/R39))</f>
        <v>0.16780941570722427</v>
      </c>
      <c r="X39" s="40">
        <f t="shared" ref="X39:X70" si="34">CHOOSE(V39,(Lm*W39*Fsw)/(R39-T39),1-W39)</f>
        <v>1.0170267618619651E-3</v>
      </c>
      <c r="Y39" s="39">
        <f t="shared" ref="Y39:Y70" si="35">(T39*W39)/(Lm*Fsw)</f>
        <v>0.83904707853612148</v>
      </c>
      <c r="Z39" s="37">
        <f t="shared" si="28"/>
        <v>0.83904707853612148</v>
      </c>
      <c r="AA39" s="37">
        <f t="shared" si="29"/>
        <v>0.19904255449378724</v>
      </c>
      <c r="AB39" s="37">
        <v>0</v>
      </c>
      <c r="AC39" s="37">
        <f t="shared" ref="AC39:AC70" si="36">(AA39^2)*Rdcr</f>
        <v>1.3866278474794294E-3</v>
      </c>
      <c r="AD39" s="40">
        <f t="shared" si="19"/>
        <v>1.3866278474794294E-3</v>
      </c>
      <c r="AE39" s="39">
        <f t="shared" si="27"/>
        <v>1.8725809670713849E-2</v>
      </c>
      <c r="AF39" s="37">
        <f t="shared" si="20"/>
        <v>0.19844212309712703</v>
      </c>
      <c r="AG39" s="37">
        <f t="shared" ref="AG39:AG70" si="37">(AF39^2)*RDS_on</f>
        <v>4.6073753176575525E-3</v>
      </c>
      <c r="AH39" s="37">
        <f t="shared" ref="AH39:AH70" si="38">((R39*U39)/2)*Fsw*(tr_sw+tf_sw)</f>
        <v>1.5626941368571613E-2</v>
      </c>
      <c r="AI39" s="40">
        <f t="shared" si="21"/>
        <v>2.0234316686229166E-2</v>
      </c>
      <c r="AJ39" s="39">
        <f t="shared" si="22"/>
        <v>1.134897555800839E-4</v>
      </c>
      <c r="AK39" s="37">
        <f t="shared" ref="AK39:AK70" si="39">CHOOSE(V39,Z39*SQRT(X39/3),SQRT(X39*((Z39^2)+((Y39^2)/3)-(Y39*Z39))))</f>
        <v>1.5448698330828436E-2</v>
      </c>
      <c r="AL39" s="37">
        <f t="shared" ref="AL39:AL70" si="40">S39*Vd_rect</f>
        <v>2.666666666666667E-3</v>
      </c>
      <c r="AM39" s="37">
        <f t="shared" ref="AM39:AM70" si="41">CHOOSE(V39,(R39+Vd_rect)*Qrr*Fsw,(R39+Vd_rect)*Qrr*Fsw)</f>
        <v>0.29112499999999997</v>
      </c>
      <c r="AN39" s="40">
        <f t="shared" si="23"/>
        <v>0.29379166666666662</v>
      </c>
      <c r="AO39" s="39">
        <f t="shared" ref="AO39:AO70" si="42">(AF39^2)*R_cs</f>
        <v>1.8508259823068799E-3</v>
      </c>
      <c r="AP39" s="37">
        <f t="shared" ref="AP39:AP70" si="43">Qg_tot*Vcc*Fsw</f>
        <v>2.1600000000000001E-2</v>
      </c>
      <c r="AQ39" s="40">
        <f t="shared" ref="AQ39:AQ70" si="44">IQ*T39</f>
        <v>2.2499999999999998E-3</v>
      </c>
      <c r="AR39" s="39">
        <f t="shared" si="24"/>
        <v>0.34111343718268211</v>
      </c>
      <c r="AS39" s="37">
        <f t="shared" si="25"/>
        <v>0.36266666666666669</v>
      </c>
      <c r="AT39" s="40">
        <f t="shared" si="26"/>
        <v>51.531247428429609</v>
      </c>
    </row>
    <row r="40" spans="17:46" x14ac:dyDescent="0.2">
      <c r="Q40">
        <v>33</v>
      </c>
      <c r="R40" s="39">
        <f t="shared" si="0"/>
        <v>170</v>
      </c>
      <c r="S40" s="37">
        <f t="shared" si="30"/>
        <v>2.2000000000000001E-3</v>
      </c>
      <c r="T40" s="37">
        <f t="shared" si="2"/>
        <v>5</v>
      </c>
      <c r="U40" s="40">
        <f t="shared" si="31"/>
        <v>0.11507692307692308</v>
      </c>
      <c r="V40" s="39">
        <f t="shared" si="32"/>
        <v>1</v>
      </c>
      <c r="W40" s="37">
        <f t="shared" si="33"/>
        <v>0.17041126723312633</v>
      </c>
      <c r="X40" s="40">
        <f t="shared" si="34"/>
        <v>1.0327955589886442E-3</v>
      </c>
      <c r="Y40" s="39">
        <f t="shared" si="35"/>
        <v>0.85205633616563181</v>
      </c>
      <c r="Z40" s="37">
        <f t="shared" si="28"/>
        <v>0.85205633616563181</v>
      </c>
      <c r="AA40" s="37">
        <f t="shared" si="29"/>
        <v>0.2036896246638297</v>
      </c>
      <c r="AB40" s="37">
        <v>0</v>
      </c>
      <c r="AC40" s="37">
        <f t="shared" si="36"/>
        <v>1.4521312118492139E-3</v>
      </c>
      <c r="AD40" s="40">
        <f t="shared" si="19"/>
        <v>1.4521312118492139E-3</v>
      </c>
      <c r="AE40" s="39">
        <f t="shared" si="27"/>
        <v>1.9610404290827461E-2</v>
      </c>
      <c r="AF40" s="37">
        <f t="shared" si="20"/>
        <v>0.20307517492400831</v>
      </c>
      <c r="AG40" s="37">
        <f t="shared" si="37"/>
        <v>4.8250246204387393E-3</v>
      </c>
      <c r="AH40" s="37">
        <f t="shared" si="38"/>
        <v>1.6115283286339478E-2</v>
      </c>
      <c r="AI40" s="40">
        <f t="shared" si="21"/>
        <v>2.0940307906778217E-2</v>
      </c>
      <c r="AJ40" s="39">
        <f t="shared" si="22"/>
        <v>1.1885093509592398E-4</v>
      </c>
      <c r="AK40" s="37">
        <f t="shared" si="39"/>
        <v>1.5809380926375703E-2</v>
      </c>
      <c r="AL40" s="37">
        <f t="shared" si="40"/>
        <v>2.7500000000000003E-3</v>
      </c>
      <c r="AM40" s="37">
        <f t="shared" si="41"/>
        <v>0.29112499999999997</v>
      </c>
      <c r="AN40" s="40">
        <f t="shared" si="23"/>
        <v>0.29387499999999994</v>
      </c>
      <c r="AO40" s="39">
        <f t="shared" si="42"/>
        <v>1.938257753509579E-3</v>
      </c>
      <c r="AP40" s="37">
        <f t="shared" si="43"/>
        <v>2.1600000000000001E-2</v>
      </c>
      <c r="AQ40" s="40">
        <f t="shared" si="44"/>
        <v>2.2499999999999998E-3</v>
      </c>
      <c r="AR40" s="39">
        <f t="shared" si="24"/>
        <v>0.34205569687213694</v>
      </c>
      <c r="AS40" s="37">
        <f t="shared" si="25"/>
        <v>0.374</v>
      </c>
      <c r="AT40" s="40">
        <f t="shared" si="26"/>
        <v>52.230573911177693</v>
      </c>
    </row>
    <row r="41" spans="17:46" x14ac:dyDescent="0.2">
      <c r="Q41">
        <v>34</v>
      </c>
      <c r="R41" s="39">
        <f t="shared" si="0"/>
        <v>170</v>
      </c>
      <c r="S41" s="37">
        <f t="shared" si="30"/>
        <v>2.2666666666666668E-3</v>
      </c>
      <c r="T41" s="37">
        <f t="shared" si="2"/>
        <v>5</v>
      </c>
      <c r="U41" s="40">
        <f t="shared" si="31"/>
        <v>0.11856410256410257</v>
      </c>
      <c r="V41" s="39">
        <f t="shared" si="32"/>
        <v>1</v>
      </c>
      <c r="W41" s="37">
        <f t="shared" si="33"/>
        <v>0.17297398648351722</v>
      </c>
      <c r="X41" s="40">
        <f t="shared" si="34"/>
        <v>1.0483271908091952E-3</v>
      </c>
      <c r="Y41" s="39">
        <f t="shared" si="35"/>
        <v>0.86486993241758625</v>
      </c>
      <c r="Z41" s="37">
        <f t="shared" si="28"/>
        <v>0.86486993241758625</v>
      </c>
      <c r="AA41" s="37">
        <f t="shared" si="29"/>
        <v>0.20830161675512443</v>
      </c>
      <c r="AB41" s="37">
        <v>0</v>
      </c>
      <c r="AC41" s="37">
        <f t="shared" si="36"/>
        <v>1.5186347239979558E-3</v>
      </c>
      <c r="AD41" s="40">
        <f t="shared" si="19"/>
        <v>1.5186347239979558E-3</v>
      </c>
      <c r="AE41" s="39">
        <f t="shared" si="27"/>
        <v>2.0508505474353428E-2</v>
      </c>
      <c r="AF41" s="37">
        <f t="shared" si="20"/>
        <v>0.20767325448860841</v>
      </c>
      <c r="AG41" s="37">
        <f t="shared" si="37"/>
        <v>5.0459971336971662E-3</v>
      </c>
      <c r="AH41" s="37">
        <f t="shared" si="38"/>
        <v>1.6603625204107339E-2</v>
      </c>
      <c r="AI41" s="40">
        <f t="shared" si="21"/>
        <v>2.1649622337804507E-2</v>
      </c>
      <c r="AJ41" s="39">
        <f t="shared" si="22"/>
        <v>1.2429397257183894E-4</v>
      </c>
      <c r="AK41" s="37">
        <f t="shared" si="39"/>
        <v>1.6167340934996888E-2</v>
      </c>
      <c r="AL41" s="37">
        <f t="shared" si="40"/>
        <v>2.8333333333333335E-3</v>
      </c>
      <c r="AM41" s="37">
        <f t="shared" si="41"/>
        <v>0.29112499999999997</v>
      </c>
      <c r="AN41" s="40">
        <f t="shared" si="23"/>
        <v>0.29395833333333332</v>
      </c>
      <c r="AO41" s="39">
        <f t="shared" si="42"/>
        <v>2.0270244896048446E-3</v>
      </c>
      <c r="AP41" s="37">
        <f t="shared" si="43"/>
        <v>2.1600000000000001E-2</v>
      </c>
      <c r="AQ41" s="40">
        <f t="shared" si="44"/>
        <v>2.2499999999999998E-3</v>
      </c>
      <c r="AR41" s="39">
        <f t="shared" si="24"/>
        <v>0.34300361488474057</v>
      </c>
      <c r="AS41" s="37">
        <f t="shared" si="25"/>
        <v>0.38533333333333336</v>
      </c>
      <c r="AT41" s="40">
        <f t="shared" si="26"/>
        <v>52.90591590555411</v>
      </c>
    </row>
    <row r="42" spans="17:46" x14ac:dyDescent="0.2">
      <c r="Q42">
        <v>35</v>
      </c>
      <c r="R42" s="39">
        <f t="shared" si="0"/>
        <v>170</v>
      </c>
      <c r="S42" s="37">
        <f t="shared" si="30"/>
        <v>2.3333333333333335E-3</v>
      </c>
      <c r="T42" s="37">
        <f t="shared" si="2"/>
        <v>5</v>
      </c>
      <c r="U42" s="40">
        <f t="shared" si="31"/>
        <v>0.12205128205128207</v>
      </c>
      <c r="V42" s="39">
        <f t="shared" si="32"/>
        <v>1</v>
      </c>
      <c r="W42" s="37">
        <f t="shared" si="33"/>
        <v>0.17549928774784243</v>
      </c>
      <c r="X42" s="40">
        <f t="shared" si="34"/>
        <v>1.0636320469566206E-3</v>
      </c>
      <c r="Y42" s="39">
        <f t="shared" si="35"/>
        <v>0.87749643873921224</v>
      </c>
      <c r="Z42" s="37">
        <f t="shared" si="28"/>
        <v>0.87749643873921224</v>
      </c>
      <c r="AA42" s="37">
        <f t="shared" si="29"/>
        <v>0.21287981604808168</v>
      </c>
      <c r="AB42" s="37">
        <v>0</v>
      </c>
      <c r="AC42" s="37">
        <f t="shared" si="36"/>
        <v>1.5861235628232785E-3</v>
      </c>
      <c r="AD42" s="40">
        <f t="shared" si="19"/>
        <v>1.5861235628232785E-3</v>
      </c>
      <c r="AE42" s="39">
        <f t="shared" si="27"/>
        <v>2.1419913068711029E-2</v>
      </c>
      <c r="AF42" s="37">
        <f t="shared" si="20"/>
        <v>0.21223764319416311</v>
      </c>
      <c r="AG42" s="37">
        <f t="shared" si="37"/>
        <v>5.2702436110677086E-3</v>
      </c>
      <c r="AH42" s="37">
        <f t="shared" si="38"/>
        <v>1.7091967121875204E-2</v>
      </c>
      <c r="AI42" s="40">
        <f t="shared" si="21"/>
        <v>2.2362210732942912E-2</v>
      </c>
      <c r="AJ42" s="39">
        <f t="shared" si="22"/>
        <v>1.29817654961885E-4</v>
      </c>
      <c r="AK42" s="37">
        <f t="shared" si="39"/>
        <v>1.6522678113798601E-2</v>
      </c>
      <c r="AL42" s="37">
        <f t="shared" si="40"/>
        <v>2.9166666666666668E-3</v>
      </c>
      <c r="AM42" s="37">
        <f t="shared" si="41"/>
        <v>0.29112499999999997</v>
      </c>
      <c r="AN42" s="40">
        <f t="shared" si="23"/>
        <v>0.29404166666666665</v>
      </c>
      <c r="AO42" s="39">
        <f t="shared" si="42"/>
        <v>2.1171064078648058E-3</v>
      </c>
      <c r="AP42" s="37">
        <f t="shared" si="43"/>
        <v>2.1600000000000001E-2</v>
      </c>
      <c r="AQ42" s="40">
        <f t="shared" si="44"/>
        <v>2.2499999999999998E-3</v>
      </c>
      <c r="AR42" s="39">
        <f t="shared" si="24"/>
        <v>0.34395710737029767</v>
      </c>
      <c r="AS42" s="37">
        <f t="shared" si="25"/>
        <v>0.39666666666666672</v>
      </c>
      <c r="AT42" s="40">
        <f t="shared" si="26"/>
        <v>53.558457150859596</v>
      </c>
    </row>
    <row r="43" spans="17:46" x14ac:dyDescent="0.2">
      <c r="Q43">
        <v>36</v>
      </c>
      <c r="R43" s="39">
        <f t="shared" si="0"/>
        <v>170</v>
      </c>
      <c r="S43" s="37">
        <f t="shared" si="30"/>
        <v>2.4000000000000002E-3</v>
      </c>
      <c r="T43" s="37">
        <f t="shared" si="2"/>
        <v>5</v>
      </c>
      <c r="U43" s="40">
        <f t="shared" si="31"/>
        <v>0.12553846153846154</v>
      </c>
      <c r="V43" s="39">
        <f t="shared" si="32"/>
        <v>1</v>
      </c>
      <c r="W43" s="37">
        <f t="shared" si="33"/>
        <v>0.1779887636902959</v>
      </c>
      <c r="X43" s="40">
        <f t="shared" si="34"/>
        <v>1.0787197799411873E-3</v>
      </c>
      <c r="Y43" s="39">
        <f t="shared" si="35"/>
        <v>0.88994381845147963</v>
      </c>
      <c r="Z43" s="37">
        <f t="shared" si="28"/>
        <v>0.88994381845147963</v>
      </c>
      <c r="AA43" s="37">
        <f t="shared" si="29"/>
        <v>0.21742542545926546</v>
      </c>
      <c r="AB43" s="37">
        <v>0</v>
      </c>
      <c r="AC43" s="37">
        <f t="shared" si="36"/>
        <v>1.6545835472649912E-3</v>
      </c>
      <c r="AD43" s="40">
        <f t="shared" si="19"/>
        <v>1.6545835472649912E-3</v>
      </c>
      <c r="AE43" s="39">
        <f t="shared" si="27"/>
        <v>2.2344435564812533E-2</v>
      </c>
      <c r="AF43" s="37">
        <f t="shared" si="20"/>
        <v>0.21676954032852061</v>
      </c>
      <c r="AG43" s="37">
        <f t="shared" si="37"/>
        <v>5.4977169328658607E-3</v>
      </c>
      <c r="AH43" s="37">
        <f t="shared" si="38"/>
        <v>1.7580309039643069E-2</v>
      </c>
      <c r="AI43" s="40">
        <f t="shared" si="21"/>
        <v>2.307802597250893E-2</v>
      </c>
      <c r="AJ43" s="39">
        <f t="shared" si="22"/>
        <v>1.3542082160492445E-4</v>
      </c>
      <c r="AK43" s="37">
        <f t="shared" si="39"/>
        <v>1.6875485827213196E-2</v>
      </c>
      <c r="AL43" s="37">
        <f t="shared" si="40"/>
        <v>3.0000000000000001E-3</v>
      </c>
      <c r="AM43" s="37">
        <f t="shared" si="41"/>
        <v>0.29112499999999997</v>
      </c>
      <c r="AN43" s="40">
        <f t="shared" si="23"/>
        <v>0.29412499999999997</v>
      </c>
      <c r="AO43" s="39">
        <f t="shared" si="42"/>
        <v>2.2084845798691919E-3</v>
      </c>
      <c r="AP43" s="37">
        <f t="shared" si="43"/>
        <v>2.1600000000000001E-2</v>
      </c>
      <c r="AQ43" s="40">
        <f t="shared" si="44"/>
        <v>2.2499999999999998E-3</v>
      </c>
      <c r="AR43" s="39">
        <f t="shared" si="24"/>
        <v>0.34491609409964308</v>
      </c>
      <c r="AS43" s="37">
        <f t="shared" si="25"/>
        <v>0.40800000000000003</v>
      </c>
      <c r="AT43" s="40">
        <f t="shared" si="26"/>
        <v>54.189305182524649</v>
      </c>
    </row>
    <row r="44" spans="17:46" x14ac:dyDescent="0.2">
      <c r="Q44">
        <v>37</v>
      </c>
      <c r="R44" s="39">
        <f t="shared" si="0"/>
        <v>170</v>
      </c>
      <c r="S44" s="37">
        <f t="shared" si="30"/>
        <v>2.4666666666666669E-3</v>
      </c>
      <c r="T44" s="37">
        <f t="shared" si="2"/>
        <v>5</v>
      </c>
      <c r="U44" s="40">
        <f t="shared" si="31"/>
        <v>0.12902564102564104</v>
      </c>
      <c r="V44" s="39">
        <f t="shared" si="32"/>
        <v>1</v>
      </c>
      <c r="W44" s="37">
        <f t="shared" si="33"/>
        <v>0.18044389709823938</v>
      </c>
      <c r="X44" s="40">
        <f t="shared" si="34"/>
        <v>1.0935993763529657E-3</v>
      </c>
      <c r="Y44" s="39">
        <f t="shared" si="35"/>
        <v>0.90221948549119702</v>
      </c>
      <c r="Z44" s="37">
        <f t="shared" si="28"/>
        <v>0.90221948549119702</v>
      </c>
      <c r="AA44" s="37">
        <f t="shared" si="29"/>
        <v>0.22193957295498115</v>
      </c>
      <c r="AB44" s="37">
        <v>0</v>
      </c>
      <c r="AC44" s="37">
        <f t="shared" si="36"/>
        <v>1.7240010915203791E-3</v>
      </c>
      <c r="AD44" s="40">
        <f t="shared" si="19"/>
        <v>1.7240010915203791E-3</v>
      </c>
      <c r="AE44" s="39">
        <f t="shared" si="27"/>
        <v>2.3281889492265145E-2</v>
      </c>
      <c r="AF44" s="37">
        <f t="shared" si="20"/>
        <v>0.22127007045536526</v>
      </c>
      <c r="AG44" s="37">
        <f t="shared" si="37"/>
        <v>5.7283719572807099E-3</v>
      </c>
      <c r="AH44" s="37">
        <f t="shared" si="38"/>
        <v>1.8068650957410927E-2</v>
      </c>
      <c r="AI44" s="40">
        <f t="shared" si="21"/>
        <v>2.3797022914691636E-2</v>
      </c>
      <c r="AJ44" s="39">
        <f t="shared" si="22"/>
        <v>1.4110236055918268E-4</v>
      </c>
      <c r="AK44" s="37">
        <f t="shared" si="39"/>
        <v>1.7225851622404764E-2</v>
      </c>
      <c r="AL44" s="37">
        <f t="shared" si="40"/>
        <v>3.0833333333333338E-3</v>
      </c>
      <c r="AM44" s="37">
        <f t="shared" si="41"/>
        <v>0.29112499999999997</v>
      </c>
      <c r="AN44" s="40">
        <f t="shared" si="23"/>
        <v>0.29420833333333329</v>
      </c>
      <c r="AO44" s="39">
        <f t="shared" si="42"/>
        <v>2.3011408717281481E-3</v>
      </c>
      <c r="AP44" s="37">
        <f t="shared" si="43"/>
        <v>2.1600000000000001E-2</v>
      </c>
      <c r="AQ44" s="40">
        <f t="shared" si="44"/>
        <v>2.2499999999999998E-3</v>
      </c>
      <c r="AR44" s="39">
        <f t="shared" si="24"/>
        <v>0.34588049821127348</v>
      </c>
      <c r="AS44" s="37">
        <f t="shared" si="25"/>
        <v>0.41933333333333339</v>
      </c>
      <c r="AT44" s="40">
        <f t="shared" si="26"/>
        <v>54.799497349243751</v>
      </c>
    </row>
    <row r="45" spans="17:46" x14ac:dyDescent="0.2">
      <c r="Q45">
        <v>38</v>
      </c>
      <c r="R45" s="39">
        <f t="shared" si="0"/>
        <v>170</v>
      </c>
      <c r="S45" s="37">
        <f t="shared" si="30"/>
        <v>2.5333333333333336E-3</v>
      </c>
      <c r="T45" s="37">
        <f t="shared" si="2"/>
        <v>5</v>
      </c>
      <c r="U45" s="40">
        <f t="shared" si="31"/>
        <v>0.13251282051282051</v>
      </c>
      <c r="V45" s="39">
        <f t="shared" si="32"/>
        <v>1</v>
      </c>
      <c r="W45" s="37">
        <f t="shared" si="33"/>
        <v>0.18286607121059939</v>
      </c>
      <c r="X45" s="40">
        <f t="shared" si="34"/>
        <v>1.1082792194581782E-3</v>
      </c>
      <c r="Y45" s="39">
        <f t="shared" si="35"/>
        <v>0.91433035605299706</v>
      </c>
      <c r="Z45" s="37">
        <f t="shared" si="28"/>
        <v>0.91433035605299706</v>
      </c>
      <c r="AA45" s="37">
        <f t="shared" si="29"/>
        <v>0.2264233181156689</v>
      </c>
      <c r="AB45" s="37">
        <v>0</v>
      </c>
      <c r="AC45" s="37">
        <f t="shared" si="36"/>
        <v>1.7943631645278291E-3</v>
      </c>
      <c r="AD45" s="40">
        <f t="shared" si="19"/>
        <v>1.7943631645278291E-3</v>
      </c>
      <c r="AE45" s="39">
        <f t="shared" si="27"/>
        <v>2.4232098872214811E-2</v>
      </c>
      <c r="AF45" s="37">
        <f t="shared" si="20"/>
        <v>0.22574028995880877</v>
      </c>
      <c r="AG45" s="37">
        <f t="shared" si="37"/>
        <v>5.9621653857503858E-3</v>
      </c>
      <c r="AH45" s="37">
        <f t="shared" si="38"/>
        <v>1.8556992875178792E-2</v>
      </c>
      <c r="AI45" s="40">
        <f t="shared" si="21"/>
        <v>2.4519158260929177E-2</v>
      </c>
      <c r="AJ45" s="39">
        <f t="shared" si="22"/>
        <v>1.4686120528615039E-4</v>
      </c>
      <c r="AK45" s="37">
        <f t="shared" si="39"/>
        <v>1.7573857738764867E-2</v>
      </c>
      <c r="AL45" s="37">
        <f t="shared" si="40"/>
        <v>3.166666666666667E-3</v>
      </c>
      <c r="AM45" s="37">
        <f t="shared" si="41"/>
        <v>0.29112499999999997</v>
      </c>
      <c r="AN45" s="40">
        <f t="shared" si="23"/>
        <v>0.29429166666666662</v>
      </c>
      <c r="AO45" s="39">
        <f t="shared" si="42"/>
        <v>2.3950578900022914E-3</v>
      </c>
      <c r="AP45" s="37">
        <f t="shared" si="43"/>
        <v>2.1600000000000001E-2</v>
      </c>
      <c r="AQ45" s="40">
        <f t="shared" si="44"/>
        <v>2.2499999999999998E-3</v>
      </c>
      <c r="AR45" s="39">
        <f t="shared" si="24"/>
        <v>0.34685024598212583</v>
      </c>
      <c r="AS45" s="37">
        <f t="shared" si="25"/>
        <v>0.4306666666666667</v>
      </c>
      <c r="AT45" s="40">
        <f t="shared" si="26"/>
        <v>55.39000627002445</v>
      </c>
    </row>
    <row r="46" spans="17:46" x14ac:dyDescent="0.2">
      <c r="Q46">
        <v>39</v>
      </c>
      <c r="R46" s="39">
        <f t="shared" si="0"/>
        <v>170</v>
      </c>
      <c r="S46" s="37">
        <f t="shared" si="30"/>
        <v>2.6000000000000003E-3</v>
      </c>
      <c r="T46" s="37">
        <f t="shared" si="2"/>
        <v>5</v>
      </c>
      <c r="U46" s="40">
        <f t="shared" si="31"/>
        <v>0.13600000000000001</v>
      </c>
      <c r="V46" s="39">
        <f t="shared" si="32"/>
        <v>1</v>
      </c>
      <c r="W46" s="37">
        <f t="shared" si="33"/>
        <v>0.18525657883055058</v>
      </c>
      <c r="X46" s="40">
        <f t="shared" si="34"/>
        <v>1.122767144427579E-3</v>
      </c>
      <c r="Y46" s="39">
        <f t="shared" si="35"/>
        <v>0.926282894152753</v>
      </c>
      <c r="Z46" s="37">
        <f t="shared" si="28"/>
        <v>0.926282894152753</v>
      </c>
      <c r="AA46" s="37">
        <f t="shared" si="29"/>
        <v>0.23087765796811907</v>
      </c>
      <c r="AB46" s="37">
        <v>0</v>
      </c>
      <c r="AC46" s="37">
        <f t="shared" si="36"/>
        <v>1.8656572532095323E-3</v>
      </c>
      <c r="AD46" s="40">
        <f t="shared" si="19"/>
        <v>1.8656572532095323E-3</v>
      </c>
      <c r="AE46" s="39">
        <f t="shared" si="27"/>
        <v>2.5194894720954882E-2</v>
      </c>
      <c r="AF46" s="37">
        <f t="shared" si="20"/>
        <v>0.23018119285801236</v>
      </c>
      <c r="AG46" s="37">
        <f t="shared" si="37"/>
        <v>6.1990556408278857E-3</v>
      </c>
      <c r="AH46" s="37">
        <f t="shared" si="38"/>
        <v>1.9045334792946653E-2</v>
      </c>
      <c r="AI46" s="40">
        <f t="shared" si="21"/>
        <v>2.5244390433774539E-2</v>
      </c>
      <c r="AJ46" s="39">
        <f t="shared" si="22"/>
        <v>1.5269633164215077E-4</v>
      </c>
      <c r="AK46" s="37">
        <f t="shared" si="39"/>
        <v>1.7919581560580249E-2</v>
      </c>
      <c r="AL46" s="37">
        <f t="shared" si="40"/>
        <v>3.2500000000000003E-3</v>
      </c>
      <c r="AM46" s="37">
        <f t="shared" si="41"/>
        <v>0.29112499999999997</v>
      </c>
      <c r="AN46" s="40">
        <f t="shared" si="23"/>
        <v>0.29437499999999994</v>
      </c>
      <c r="AO46" s="39">
        <f t="shared" si="42"/>
        <v>2.4902189326402617E-3</v>
      </c>
      <c r="AP46" s="37">
        <f t="shared" si="43"/>
        <v>2.1600000000000001E-2</v>
      </c>
      <c r="AQ46" s="40">
        <f t="shared" si="44"/>
        <v>2.2499999999999998E-3</v>
      </c>
      <c r="AR46" s="39">
        <f t="shared" si="24"/>
        <v>0.34782526661962426</v>
      </c>
      <c r="AS46" s="37">
        <f t="shared" si="25"/>
        <v>0.44200000000000006</v>
      </c>
      <c r="AT46" s="40">
        <f t="shared" si="26"/>
        <v>55.961744790935498</v>
      </c>
    </row>
    <row r="47" spans="17:46" x14ac:dyDescent="0.2">
      <c r="Q47">
        <v>40</v>
      </c>
      <c r="R47" s="39">
        <f t="shared" si="0"/>
        <v>170</v>
      </c>
      <c r="S47" s="37">
        <f t="shared" si="30"/>
        <v>2.666666666666667E-3</v>
      </c>
      <c r="T47" s="37">
        <f t="shared" si="2"/>
        <v>5</v>
      </c>
      <c r="U47" s="40">
        <f t="shared" si="31"/>
        <v>0.13948717948717951</v>
      </c>
      <c r="V47" s="39">
        <f t="shared" si="32"/>
        <v>1</v>
      </c>
      <c r="W47" s="37">
        <f t="shared" si="33"/>
        <v>0.18761663039293719</v>
      </c>
      <c r="X47" s="40">
        <f t="shared" si="34"/>
        <v>1.1370704872299222E-3</v>
      </c>
      <c r="Y47" s="39">
        <f t="shared" si="35"/>
        <v>0.93808315196468606</v>
      </c>
      <c r="Z47" s="37">
        <f t="shared" si="28"/>
        <v>0.93808315196468606</v>
      </c>
      <c r="AA47" s="37">
        <f t="shared" si="29"/>
        <v>0.23530353218382077</v>
      </c>
      <c r="AB47" s="37">
        <v>0</v>
      </c>
      <c r="AC47" s="37">
        <f t="shared" si="36"/>
        <v>1.9378713290363833E-3</v>
      </c>
      <c r="AD47" s="40">
        <f t="shared" si="19"/>
        <v>1.9378713290363833E-3</v>
      </c>
      <c r="AE47" s="39">
        <f t="shared" si="27"/>
        <v>2.6170114598399449E-2</v>
      </c>
      <c r="AF47" s="37">
        <f t="shared" si="20"/>
        <v>0.23459371598985393</v>
      </c>
      <c r="AG47" s="37">
        <f t="shared" si="37"/>
        <v>6.4390027550856052E-3</v>
      </c>
      <c r="AH47" s="37">
        <f t="shared" si="38"/>
        <v>1.9533676710714522E-2</v>
      </c>
      <c r="AI47" s="40">
        <f t="shared" si="21"/>
        <v>2.5972679465800126E-2</v>
      </c>
      <c r="AJ47" s="39">
        <f t="shared" si="22"/>
        <v>1.5860675514181482E-4</v>
      </c>
      <c r="AK47" s="37">
        <f t="shared" si="39"/>
        <v>1.826309602050295E-2</v>
      </c>
      <c r="AL47" s="37">
        <f t="shared" si="40"/>
        <v>3.333333333333334E-3</v>
      </c>
      <c r="AM47" s="37">
        <f t="shared" si="41"/>
        <v>0.29112499999999997</v>
      </c>
      <c r="AN47" s="40">
        <f t="shared" si="23"/>
        <v>0.29445833333333332</v>
      </c>
      <c r="AO47" s="39">
        <f t="shared" si="42"/>
        <v>2.5866079443506275E-3</v>
      </c>
      <c r="AP47" s="37">
        <f t="shared" si="43"/>
        <v>2.1600000000000001E-2</v>
      </c>
      <c r="AQ47" s="40">
        <f t="shared" si="44"/>
        <v>2.2499999999999998E-3</v>
      </c>
      <c r="AR47" s="39">
        <f t="shared" si="24"/>
        <v>0.34880549207252043</v>
      </c>
      <c r="AS47" s="37">
        <f t="shared" si="25"/>
        <v>0.45333333333333337</v>
      </c>
      <c r="AT47" s="40">
        <f t="shared" si="26"/>
        <v>56.515570494167612</v>
      </c>
    </row>
    <row r="48" spans="17:46" x14ac:dyDescent="0.2">
      <c r="Q48">
        <v>41</v>
      </c>
      <c r="R48" s="39">
        <f t="shared" si="0"/>
        <v>170</v>
      </c>
      <c r="S48" s="37">
        <f t="shared" si="30"/>
        <v>2.7333333333333333E-3</v>
      </c>
      <c r="T48" s="37">
        <f t="shared" si="2"/>
        <v>5</v>
      </c>
      <c r="U48" s="40">
        <f t="shared" si="31"/>
        <v>0.14297435897435898</v>
      </c>
      <c r="V48" s="39">
        <f t="shared" si="32"/>
        <v>1</v>
      </c>
      <c r="W48" s="37">
        <f t="shared" si="33"/>
        <v>0.18994736112934024</v>
      </c>
      <c r="X48" s="40">
        <f t="shared" si="34"/>
        <v>1.1511961280566076E-3</v>
      </c>
      <c r="Y48" s="39">
        <f t="shared" si="35"/>
        <v>0.94973680564670138</v>
      </c>
      <c r="Z48" s="37">
        <f t="shared" si="28"/>
        <v>0.94973680564670138</v>
      </c>
      <c r="AA48" s="37">
        <f t="shared" si="29"/>
        <v>0.23970182772642903</v>
      </c>
      <c r="AB48" s="37">
        <v>0</v>
      </c>
      <c r="AC48" s="37">
        <f t="shared" si="36"/>
        <v>2.0109938175386735E-3</v>
      </c>
      <c r="AD48" s="40">
        <f t="shared" si="19"/>
        <v>2.0109938175386735E-3</v>
      </c>
      <c r="AE48" s="39">
        <f t="shared" si="27"/>
        <v>2.7157602196338494E-2</v>
      </c>
      <c r="AF48" s="37">
        <f t="shared" si="20"/>
        <v>0.23897874364237567</v>
      </c>
      <c r="AG48" s="37">
        <f t="shared" si="37"/>
        <v>6.6819682698079329E-3</v>
      </c>
      <c r="AH48" s="37">
        <f t="shared" si="38"/>
        <v>2.002201862848238E-2</v>
      </c>
      <c r="AI48" s="40">
        <f t="shared" si="21"/>
        <v>2.6703986898290313E-2</v>
      </c>
      <c r="AJ48" s="39">
        <f t="shared" si="22"/>
        <v>1.6459152846265754E-4</v>
      </c>
      <c r="AK48" s="37">
        <f t="shared" si="39"/>
        <v>1.8604469960263673E-2</v>
      </c>
      <c r="AL48" s="37">
        <f t="shared" si="40"/>
        <v>3.4166666666666668E-3</v>
      </c>
      <c r="AM48" s="37">
        <f t="shared" si="41"/>
        <v>0.29112499999999997</v>
      </c>
      <c r="AN48" s="40">
        <f t="shared" si="23"/>
        <v>0.29454166666666665</v>
      </c>
      <c r="AO48" s="39">
        <f t="shared" si="42"/>
        <v>2.6842094759057505E-3</v>
      </c>
      <c r="AP48" s="37">
        <f t="shared" si="43"/>
        <v>2.1600000000000001E-2</v>
      </c>
      <c r="AQ48" s="40">
        <f t="shared" si="44"/>
        <v>2.2499999999999998E-3</v>
      </c>
      <c r="AR48" s="39">
        <f t="shared" si="24"/>
        <v>0.34979085685840133</v>
      </c>
      <c r="AS48" s="37">
        <f t="shared" si="25"/>
        <v>0.46466666666666667</v>
      </c>
      <c r="AT48" s="40">
        <f t="shared" si="26"/>
        <v>57.052289805800392</v>
      </c>
    </row>
    <row r="49" spans="17:46" x14ac:dyDescent="0.2">
      <c r="Q49">
        <v>42</v>
      </c>
      <c r="R49" s="39">
        <f t="shared" si="0"/>
        <v>170</v>
      </c>
      <c r="S49" s="37">
        <f t="shared" si="30"/>
        <v>2.8E-3</v>
      </c>
      <c r="T49" s="37">
        <f t="shared" si="2"/>
        <v>5</v>
      </c>
      <c r="U49" s="40">
        <f t="shared" si="31"/>
        <v>0.14646153846153845</v>
      </c>
      <c r="V49" s="39">
        <f t="shared" si="32"/>
        <v>1</v>
      </c>
      <c r="W49" s="37">
        <f t="shared" si="33"/>
        <v>0.19224983745116664</v>
      </c>
      <c r="X49" s="40">
        <f t="shared" si="34"/>
        <v>1.1651505300070706E-3</v>
      </c>
      <c r="Y49" s="39">
        <f t="shared" si="35"/>
        <v>0.9612491872558333</v>
      </c>
      <c r="Z49" s="37">
        <f t="shared" si="28"/>
        <v>0.9612491872558333</v>
      </c>
      <c r="AA49" s="37">
        <f t="shared" si="29"/>
        <v>0.24407338301871734</v>
      </c>
      <c r="AB49" s="37">
        <v>0</v>
      </c>
      <c r="AC49" s="37">
        <f t="shared" si="36"/>
        <v>2.0850135704370528E-3</v>
      </c>
      <c r="AD49" s="40">
        <f t="shared" si="19"/>
        <v>2.0850135704370528E-3</v>
      </c>
      <c r="AE49" s="39">
        <f t="shared" si="27"/>
        <v>2.8157206962078556E-2</v>
      </c>
      <c r="AF49" s="37">
        <f t="shared" si="20"/>
        <v>0.24333711170916641</v>
      </c>
      <c r="AG49" s="37">
        <f t="shared" si="37"/>
        <v>6.9279151423902426E-3</v>
      </c>
      <c r="AH49" s="37">
        <f t="shared" si="38"/>
        <v>2.0510360546250238E-2</v>
      </c>
      <c r="AI49" s="40">
        <f t="shared" si="21"/>
        <v>2.743827568864048E-2</v>
      </c>
      <c r="AJ49" s="39">
        <f t="shared" si="22"/>
        <v>1.7064973916411247E-4</v>
      </c>
      <c r="AK49" s="37">
        <f t="shared" si="39"/>
        <v>1.8943768454090064E-2</v>
      </c>
      <c r="AL49" s="37">
        <f t="shared" si="40"/>
        <v>3.5000000000000001E-3</v>
      </c>
      <c r="AM49" s="37">
        <f t="shared" si="41"/>
        <v>0.29112499999999997</v>
      </c>
      <c r="AN49" s="40">
        <f t="shared" si="23"/>
        <v>0.29462499999999997</v>
      </c>
      <c r="AO49" s="39">
        <f t="shared" si="42"/>
        <v>2.7830086469430885E-3</v>
      </c>
      <c r="AP49" s="37">
        <f t="shared" si="43"/>
        <v>2.1600000000000001E-2</v>
      </c>
      <c r="AQ49" s="40">
        <f t="shared" si="44"/>
        <v>2.2499999999999998E-3</v>
      </c>
      <c r="AR49" s="39">
        <f t="shared" si="24"/>
        <v>0.35078129790602058</v>
      </c>
      <c r="AS49" s="37">
        <f t="shared" si="25"/>
        <v>0.47599999999999998</v>
      </c>
      <c r="AT49" s="40">
        <f t="shared" si="26"/>
        <v>57.572661743263879</v>
      </c>
    </row>
    <row r="50" spans="17:46" x14ac:dyDescent="0.2">
      <c r="Q50">
        <v>43</v>
      </c>
      <c r="R50" s="39">
        <f t="shared" si="0"/>
        <v>170</v>
      </c>
      <c r="S50" s="37">
        <f t="shared" si="30"/>
        <v>2.8666666666666667E-3</v>
      </c>
      <c r="T50" s="37">
        <f t="shared" si="2"/>
        <v>5</v>
      </c>
      <c r="U50" s="40">
        <f t="shared" si="31"/>
        <v>0.14994871794871795</v>
      </c>
      <c r="V50" s="39">
        <f t="shared" si="32"/>
        <v>1</v>
      </c>
      <c r="W50" s="37">
        <f t="shared" si="33"/>
        <v>0.19452506265260525</v>
      </c>
      <c r="X50" s="40">
        <f t="shared" si="34"/>
        <v>1.1789397736521529E-3</v>
      </c>
      <c r="Y50" s="39">
        <f t="shared" si="35"/>
        <v>0.97262531326302637</v>
      </c>
      <c r="Z50" s="37">
        <f t="shared" si="28"/>
        <v>0.97262531326302637</v>
      </c>
      <c r="AA50" s="37">
        <f t="shared" si="29"/>
        <v>0.24841899168893369</v>
      </c>
      <c r="AB50" s="37">
        <v>0</v>
      </c>
      <c r="AC50" s="37">
        <f t="shared" si="36"/>
        <v>2.159919840111128E-3</v>
      </c>
      <c r="AD50" s="40">
        <f t="shared" si="19"/>
        <v>2.159919840111128E-3</v>
      </c>
      <c r="AE50" s="39">
        <f t="shared" si="27"/>
        <v>2.9168783753652193E-2</v>
      </c>
      <c r="AF50" s="37">
        <f t="shared" si="20"/>
        <v>0.24766961142441662</v>
      </c>
      <c r="AG50" s="37">
        <f t="shared" si="37"/>
        <v>7.176807661505219E-3</v>
      </c>
      <c r="AH50" s="37">
        <f t="shared" si="38"/>
        <v>2.0998702464018103E-2</v>
      </c>
      <c r="AI50" s="40">
        <f t="shared" si="21"/>
        <v>2.8175510125523322E-2</v>
      </c>
      <c r="AJ50" s="39">
        <f t="shared" si="22"/>
        <v>1.7678050759789205E-4</v>
      </c>
      <c r="AK50" s="37">
        <f t="shared" si="39"/>
        <v>1.9281053099480302E-2</v>
      </c>
      <c r="AL50" s="37">
        <f t="shared" si="40"/>
        <v>3.5833333333333333E-3</v>
      </c>
      <c r="AM50" s="37">
        <f t="shared" si="41"/>
        <v>0.29112499999999997</v>
      </c>
      <c r="AN50" s="40">
        <f t="shared" si="23"/>
        <v>0.29470833333333329</v>
      </c>
      <c r="AO50" s="39">
        <f t="shared" si="42"/>
        <v>2.8829911118867118E-3</v>
      </c>
      <c r="AP50" s="37">
        <f t="shared" si="43"/>
        <v>2.1600000000000001E-2</v>
      </c>
      <c r="AQ50" s="40">
        <f t="shared" si="44"/>
        <v>2.2499999999999998E-3</v>
      </c>
      <c r="AR50" s="39">
        <f t="shared" si="24"/>
        <v>0.35177675441085443</v>
      </c>
      <c r="AS50" s="37">
        <f t="shared" si="25"/>
        <v>0.48733333333333334</v>
      </c>
      <c r="AT50" s="40">
        <f t="shared" si="26"/>
        <v>58.077401338774322</v>
      </c>
    </row>
    <row r="51" spans="17:46" x14ac:dyDescent="0.2">
      <c r="Q51">
        <v>44</v>
      </c>
      <c r="R51" s="39">
        <f t="shared" si="0"/>
        <v>170</v>
      </c>
      <c r="S51" s="37">
        <f t="shared" si="30"/>
        <v>2.9333333333333334E-3</v>
      </c>
      <c r="T51" s="37">
        <f t="shared" si="2"/>
        <v>5</v>
      </c>
      <c r="U51" s="40">
        <f t="shared" si="31"/>
        <v>0.15343589743589742</v>
      </c>
      <c r="V51" s="39">
        <f t="shared" si="32"/>
        <v>1</v>
      </c>
      <c r="W51" s="37">
        <f t="shared" si="33"/>
        <v>0.19677398201998147</v>
      </c>
      <c r="X51" s="40">
        <f t="shared" si="34"/>
        <v>1.1925695879998876E-3</v>
      </c>
      <c r="Y51" s="39">
        <f t="shared" si="35"/>
        <v>0.98386991009990743</v>
      </c>
      <c r="Z51" s="37">
        <f t="shared" si="28"/>
        <v>0.98386991009990743</v>
      </c>
      <c r="AA51" s="37">
        <f t="shared" si="29"/>
        <v>0.25273940594779037</v>
      </c>
      <c r="AB51" s="37">
        <v>0</v>
      </c>
      <c r="AC51" s="37">
        <f t="shared" si="36"/>
        <v>2.2357022561594691E-3</v>
      </c>
      <c r="AD51" s="40">
        <f t="shared" si="19"/>
        <v>2.2357022561594691E-3</v>
      </c>
      <c r="AE51" s="39">
        <f t="shared" si="27"/>
        <v>3.0192192523270999E-2</v>
      </c>
      <c r="AF51" s="37">
        <f t="shared" si="20"/>
        <v>0.25197699272972135</v>
      </c>
      <c r="AG51" s="37">
        <f t="shared" si="37"/>
        <v>7.4286113692183442E-3</v>
      </c>
      <c r="AH51" s="37">
        <f t="shared" si="38"/>
        <v>2.1487044381785964E-2</v>
      </c>
      <c r="AI51" s="40">
        <f t="shared" si="21"/>
        <v>2.8915655751004309E-2</v>
      </c>
      <c r="AJ51" s="39">
        <f t="shared" si="22"/>
        <v>1.829829849895212E-4</v>
      </c>
      <c r="AK51" s="37">
        <f t="shared" si="39"/>
        <v>1.9616382279308377E-2</v>
      </c>
      <c r="AL51" s="37">
        <f t="shared" si="40"/>
        <v>3.6666666666666666E-3</v>
      </c>
      <c r="AM51" s="37">
        <f t="shared" si="41"/>
        <v>0.29112499999999997</v>
      </c>
      <c r="AN51" s="40">
        <f t="shared" si="23"/>
        <v>0.29479166666666662</v>
      </c>
      <c r="AO51" s="39">
        <f t="shared" si="42"/>
        <v>2.9841430286603604E-3</v>
      </c>
      <c r="AP51" s="37">
        <f t="shared" si="43"/>
        <v>2.1600000000000001E-2</v>
      </c>
      <c r="AQ51" s="40">
        <f t="shared" si="44"/>
        <v>2.2499999999999998E-3</v>
      </c>
      <c r="AR51" s="39">
        <f t="shared" si="24"/>
        <v>0.35277716770249073</v>
      </c>
      <c r="AS51" s="37">
        <f t="shared" si="25"/>
        <v>0.49866666666666665</v>
      </c>
      <c r="AT51" s="40">
        <f t="shared" si="26"/>
        <v>58.567182770914464</v>
      </c>
    </row>
    <row r="52" spans="17:46" x14ac:dyDescent="0.2">
      <c r="Q52">
        <v>45</v>
      </c>
      <c r="R52" s="39">
        <f t="shared" si="0"/>
        <v>170</v>
      </c>
      <c r="S52" s="37">
        <f t="shared" si="30"/>
        <v>3.0000000000000001E-3</v>
      </c>
      <c r="T52" s="37">
        <f t="shared" si="2"/>
        <v>5</v>
      </c>
      <c r="U52" s="40">
        <f t="shared" si="31"/>
        <v>0.15692307692307692</v>
      </c>
      <c r="V52" s="39">
        <f t="shared" si="32"/>
        <v>1</v>
      </c>
      <c r="W52" s="37">
        <f t="shared" si="33"/>
        <v>0.19899748742132398</v>
      </c>
      <c r="X52" s="40">
        <f t="shared" si="34"/>
        <v>1.2060453783110541E-3</v>
      </c>
      <c r="Y52" s="39">
        <f t="shared" si="35"/>
        <v>0.99498743710661997</v>
      </c>
      <c r="Z52" s="37">
        <f t="shared" si="28"/>
        <v>0.99498743710661997</v>
      </c>
      <c r="AA52" s="37">
        <f t="shared" si="29"/>
        <v>0.25703533964005726</v>
      </c>
      <c r="AB52" s="37">
        <v>0</v>
      </c>
      <c r="AC52" s="37">
        <f t="shared" si="36"/>
        <v>2.3123508038357856E-3</v>
      </c>
      <c r="AD52" s="40">
        <f t="shared" si="19"/>
        <v>2.3123508038357856E-3</v>
      </c>
      <c r="AE52" s="39">
        <f t="shared" si="27"/>
        <v>3.1227298026115454E-2</v>
      </c>
      <c r="AF52" s="37">
        <f t="shared" si="20"/>
        <v>0.25625996731646733</v>
      </c>
      <c r="AG52" s="37">
        <f t="shared" si="37"/>
        <v>7.6832929893373191E-3</v>
      </c>
      <c r="AH52" s="37">
        <f t="shared" si="38"/>
        <v>2.1975386299553829E-2</v>
      </c>
      <c r="AI52" s="40">
        <f t="shared" si="21"/>
        <v>2.9658679288891147E-2</v>
      </c>
      <c r="AJ52" s="39">
        <f t="shared" si="22"/>
        <v>1.8925635167342696E-4</v>
      </c>
      <c r="AK52" s="37">
        <f t="shared" si="39"/>
        <v>1.994981139867362E-2</v>
      </c>
      <c r="AL52" s="37">
        <f t="shared" si="40"/>
        <v>3.7499999999999999E-3</v>
      </c>
      <c r="AM52" s="37">
        <f t="shared" si="41"/>
        <v>0.29112499999999997</v>
      </c>
      <c r="AN52" s="40">
        <f t="shared" si="23"/>
        <v>0.29487499999999994</v>
      </c>
      <c r="AO52" s="39">
        <f t="shared" si="42"/>
        <v>3.0864510299047345E-3</v>
      </c>
      <c r="AP52" s="37">
        <f t="shared" si="43"/>
        <v>2.1600000000000001E-2</v>
      </c>
      <c r="AQ52" s="40">
        <f t="shared" si="44"/>
        <v>2.2499999999999998E-3</v>
      </c>
      <c r="AR52" s="39">
        <f t="shared" si="24"/>
        <v>0.35378248112263161</v>
      </c>
      <c r="AS52" s="37">
        <f t="shared" si="25"/>
        <v>0.51</v>
      </c>
      <c r="AT52" s="40">
        <f t="shared" si="26"/>
        <v>59.042642232934462</v>
      </c>
    </row>
    <row r="53" spans="17:46" x14ac:dyDescent="0.2">
      <c r="Q53">
        <v>46</v>
      </c>
      <c r="R53" s="39">
        <f t="shared" si="0"/>
        <v>170</v>
      </c>
      <c r="S53" s="37">
        <f t="shared" si="30"/>
        <v>3.0666666666666668E-3</v>
      </c>
      <c r="T53" s="37">
        <f t="shared" si="2"/>
        <v>5</v>
      </c>
      <c r="U53" s="40">
        <f t="shared" si="31"/>
        <v>0.16041025641025641</v>
      </c>
      <c r="V53" s="39">
        <f t="shared" si="32"/>
        <v>1</v>
      </c>
      <c r="W53" s="37">
        <f t="shared" si="33"/>
        <v>0.20119642143934863</v>
      </c>
      <c r="X53" s="40">
        <f t="shared" si="34"/>
        <v>1.2193722511475674E-3</v>
      </c>
      <c r="Y53" s="39">
        <f t="shared" si="35"/>
        <v>1.0059821071967434</v>
      </c>
      <c r="Z53" s="37">
        <f t="shared" si="28"/>
        <v>1.0059821071967434</v>
      </c>
      <c r="AA53" s="37">
        <f t="shared" si="29"/>
        <v>0.26130747100863266</v>
      </c>
      <c r="AB53" s="37">
        <v>0</v>
      </c>
      <c r="AC53" s="37">
        <f t="shared" si="36"/>
        <v>2.3898558041724593E-3</v>
      </c>
      <c r="AD53" s="40">
        <f t="shared" si="19"/>
        <v>2.3898558041724593E-3</v>
      </c>
      <c r="AE53" s="39">
        <f t="shared" si="27"/>
        <v>3.2273969551911925E-2</v>
      </c>
      <c r="AF53" s="37">
        <f t="shared" si="20"/>
        <v>0.26051921138156708</v>
      </c>
      <c r="AG53" s="37">
        <f t="shared" si="37"/>
        <v>7.9408203613682161E-3</v>
      </c>
      <c r="AH53" s="37">
        <f t="shared" si="38"/>
        <v>2.2463728217321694E-2</v>
      </c>
      <c r="AI53" s="40">
        <f t="shared" si="21"/>
        <v>3.0404548578689912E-2</v>
      </c>
      <c r="AJ53" s="39">
        <f t="shared" si="22"/>
        <v>1.9559981546613287E-4</v>
      </c>
      <c r="AK53" s="37">
        <f t="shared" si="39"/>
        <v>2.0281393099434258E-2</v>
      </c>
      <c r="AL53" s="37">
        <f t="shared" si="40"/>
        <v>3.8333333333333336E-3</v>
      </c>
      <c r="AM53" s="37">
        <f t="shared" si="41"/>
        <v>0.29112499999999997</v>
      </c>
      <c r="AN53" s="40">
        <f t="shared" si="23"/>
        <v>0.29495833333333332</v>
      </c>
      <c r="AO53" s="39">
        <f t="shared" si="42"/>
        <v>3.189902196447061E-3</v>
      </c>
      <c r="AP53" s="37">
        <f t="shared" si="43"/>
        <v>2.1600000000000001E-2</v>
      </c>
      <c r="AQ53" s="40">
        <f t="shared" si="44"/>
        <v>2.2499999999999998E-3</v>
      </c>
      <c r="AR53" s="39">
        <f t="shared" si="24"/>
        <v>0.3547926399126427</v>
      </c>
      <c r="AS53" s="37">
        <f t="shared" si="25"/>
        <v>0.52133333333333332</v>
      </c>
      <c r="AT53" s="40">
        <f t="shared" si="26"/>
        <v>59.504380563200897</v>
      </c>
    </row>
    <row r="54" spans="17:46" x14ac:dyDescent="0.2">
      <c r="Q54">
        <v>47</v>
      </c>
      <c r="R54" s="39">
        <f t="shared" si="0"/>
        <v>170</v>
      </c>
      <c r="S54" s="37">
        <f t="shared" si="30"/>
        <v>3.1333333333333335E-3</v>
      </c>
      <c r="T54" s="37">
        <f t="shared" si="2"/>
        <v>5</v>
      </c>
      <c r="U54" s="40">
        <f t="shared" si="31"/>
        <v>0.16389743589743591</v>
      </c>
      <c r="V54" s="39">
        <f t="shared" si="32"/>
        <v>1</v>
      </c>
      <c r="W54" s="37">
        <f t="shared" si="33"/>
        <v>0.20337158110217857</v>
      </c>
      <c r="X54" s="40">
        <f t="shared" si="34"/>
        <v>1.2325550369829004E-3</v>
      </c>
      <c r="Y54" s="39">
        <f t="shared" si="35"/>
        <v>1.0168579055108931</v>
      </c>
      <c r="Z54" s="37">
        <f t="shared" si="28"/>
        <v>1.0168579055108931</v>
      </c>
      <c r="AA54" s="37">
        <f t="shared" si="29"/>
        <v>0.26555644520383553</v>
      </c>
      <c r="AB54" s="37">
        <v>0</v>
      </c>
      <c r="AC54" s="37">
        <f t="shared" si="36"/>
        <v>2.4682078956254198E-3</v>
      </c>
      <c r="AD54" s="40">
        <f t="shared" si="19"/>
        <v>2.4682078956254198E-3</v>
      </c>
      <c r="AE54" s="39">
        <f t="shared" si="27"/>
        <v>3.3332080677054503E-2</v>
      </c>
      <c r="AF54" s="37">
        <f t="shared" si="20"/>
        <v>0.26475536812917988</v>
      </c>
      <c r="AG54" s="37">
        <f t="shared" si="37"/>
        <v>8.2011623795264551E-3</v>
      </c>
      <c r="AH54" s="37">
        <f t="shared" si="38"/>
        <v>2.2952070135089559E-2</v>
      </c>
      <c r="AI54" s="40">
        <f t="shared" si="21"/>
        <v>3.1153232514616012E-2</v>
      </c>
      <c r="AJ54" s="39">
        <f t="shared" si="22"/>
        <v>2.0201261016396666E-4</v>
      </c>
      <c r="AK54" s="37">
        <f t="shared" si="39"/>
        <v>2.0611177454966188E-2</v>
      </c>
      <c r="AL54" s="37">
        <f t="shared" si="40"/>
        <v>3.9166666666666673E-3</v>
      </c>
      <c r="AM54" s="37">
        <f t="shared" si="41"/>
        <v>0.29112499999999997</v>
      </c>
      <c r="AN54" s="40">
        <f t="shared" si="23"/>
        <v>0.29504166666666665</v>
      </c>
      <c r="AO54" s="39">
        <f t="shared" si="42"/>
        <v>3.2944840328012251E-3</v>
      </c>
      <c r="AP54" s="37">
        <f t="shared" si="43"/>
        <v>2.1600000000000001E-2</v>
      </c>
      <c r="AQ54" s="40">
        <f t="shared" si="44"/>
        <v>2.2499999999999998E-3</v>
      </c>
      <c r="AR54" s="39">
        <f t="shared" si="24"/>
        <v>0.35580759110970928</v>
      </c>
      <c r="AS54" s="37">
        <f t="shared" si="25"/>
        <v>0.53266666666666673</v>
      </c>
      <c r="AT54" s="40">
        <f t="shared" si="26"/>
        <v>59.952965660456528</v>
      </c>
    </row>
    <row r="55" spans="17:46" x14ac:dyDescent="0.2">
      <c r="Q55">
        <v>48</v>
      </c>
      <c r="R55" s="39">
        <f t="shared" si="0"/>
        <v>170</v>
      </c>
      <c r="S55" s="37">
        <f t="shared" si="30"/>
        <v>3.2000000000000002E-3</v>
      </c>
      <c r="T55" s="37">
        <f t="shared" si="2"/>
        <v>5</v>
      </c>
      <c r="U55" s="40">
        <f t="shared" si="31"/>
        <v>0.16738461538461541</v>
      </c>
      <c r="V55" s="39">
        <f t="shared" si="32"/>
        <v>1</v>
      </c>
      <c r="W55" s="37">
        <f t="shared" si="33"/>
        <v>0.20552372125864207</v>
      </c>
      <c r="X55" s="40">
        <f t="shared" si="34"/>
        <v>1.2455983106584366E-3</v>
      </c>
      <c r="Y55" s="39">
        <f t="shared" si="35"/>
        <v>1.0276186062932107</v>
      </c>
      <c r="Z55" s="37">
        <f t="shared" si="28"/>
        <v>1.0276186062932107</v>
      </c>
      <c r="AA55" s="37">
        <f t="shared" si="29"/>
        <v>0.26978287656631178</v>
      </c>
      <c r="AB55" s="37">
        <v>0</v>
      </c>
      <c r="AC55" s="37">
        <f t="shared" si="36"/>
        <v>2.5473980170937841E-3</v>
      </c>
      <c r="AD55" s="40">
        <f t="shared" si="19"/>
        <v>2.5473980170937841E-3</v>
      </c>
      <c r="AE55" s="39">
        <f t="shared" si="27"/>
        <v>3.440150903529271E-2</v>
      </c>
      <c r="AF55" s="37">
        <f t="shared" si="20"/>
        <v>0.26896905004673316</v>
      </c>
      <c r="AG55" s="37">
        <f t="shared" si="37"/>
        <v>8.4642889363159193E-3</v>
      </c>
      <c r="AH55" s="37">
        <f t="shared" si="38"/>
        <v>2.3440412052857424E-2</v>
      </c>
      <c r="AI55" s="40">
        <f t="shared" si="21"/>
        <v>3.1904700989173342E-2</v>
      </c>
      <c r="AJ55" s="39">
        <f t="shared" si="22"/>
        <v>2.0849399415328912E-4</v>
      </c>
      <c r="AK55" s="37">
        <f t="shared" si="39"/>
        <v>2.093921214735096E-2</v>
      </c>
      <c r="AL55" s="37">
        <f t="shared" si="40"/>
        <v>4.0000000000000001E-3</v>
      </c>
      <c r="AM55" s="37">
        <f t="shared" si="41"/>
        <v>0.29112499999999997</v>
      </c>
      <c r="AN55" s="40">
        <f t="shared" si="23"/>
        <v>0.29512499999999997</v>
      </c>
      <c r="AO55" s="39">
        <f t="shared" si="42"/>
        <v>3.4001844445029762E-3</v>
      </c>
      <c r="AP55" s="37">
        <f t="shared" si="43"/>
        <v>2.1600000000000001E-2</v>
      </c>
      <c r="AQ55" s="40">
        <f t="shared" si="44"/>
        <v>2.2499999999999998E-3</v>
      </c>
      <c r="AR55" s="39">
        <f t="shared" si="24"/>
        <v>0.35682728345077008</v>
      </c>
      <c r="AS55" s="37">
        <f t="shared" si="25"/>
        <v>0.54400000000000004</v>
      </c>
      <c r="AT55" s="40">
        <f t="shared" si="26"/>
        <v>60.38893470412183</v>
      </c>
    </row>
    <row r="56" spans="17:46" x14ac:dyDescent="0.2">
      <c r="Q56">
        <v>49</v>
      </c>
      <c r="R56" s="39">
        <f t="shared" si="0"/>
        <v>170</v>
      </c>
      <c r="S56" s="37">
        <f t="shared" si="30"/>
        <v>3.2666666666666669E-3</v>
      </c>
      <c r="T56" s="37">
        <f t="shared" si="2"/>
        <v>5</v>
      </c>
      <c r="U56" s="40">
        <f t="shared" si="31"/>
        <v>0.17087179487179488</v>
      </c>
      <c r="V56" s="39">
        <f t="shared" si="32"/>
        <v>1</v>
      </c>
      <c r="W56" s="37">
        <f t="shared" si="33"/>
        <v>0.20765355763867857</v>
      </c>
      <c r="X56" s="40">
        <f t="shared" si="34"/>
        <v>1.258506409931385E-3</v>
      </c>
      <c r="Y56" s="39">
        <f t="shared" si="35"/>
        <v>1.038267788193393</v>
      </c>
      <c r="Z56" s="37">
        <f t="shared" si="28"/>
        <v>1.038267788193393</v>
      </c>
      <c r="AA56" s="37">
        <f t="shared" si="29"/>
        <v>0.27398735070826513</v>
      </c>
      <c r="AB56" s="37">
        <v>0</v>
      </c>
      <c r="AC56" s="37">
        <f t="shared" si="36"/>
        <v>2.6274173921846857E-3</v>
      </c>
      <c r="AD56" s="40">
        <f t="shared" si="19"/>
        <v>2.6274173921846857E-3</v>
      </c>
      <c r="AE56" s="39">
        <f t="shared" si="27"/>
        <v>3.5482136105234721E-2</v>
      </c>
      <c r="AF56" s="37">
        <f t="shared" si="20"/>
        <v>0.27316084097987375</v>
      </c>
      <c r="AG56" s="37">
        <f t="shared" si="37"/>
        <v>8.7301708702453296E-3</v>
      </c>
      <c r="AH56" s="37">
        <f t="shared" si="38"/>
        <v>2.3928753970625286E-2</v>
      </c>
      <c r="AI56" s="40">
        <f t="shared" si="21"/>
        <v>3.2658924840870615E-2</v>
      </c>
      <c r="AJ56" s="39">
        <f t="shared" si="22"/>
        <v>2.1504324912263462E-4</v>
      </c>
      <c r="AK56" s="37">
        <f t="shared" si="39"/>
        <v>2.1265542628910537E-2</v>
      </c>
      <c r="AL56" s="37">
        <f t="shared" si="40"/>
        <v>4.0833333333333338E-3</v>
      </c>
      <c r="AM56" s="37">
        <f t="shared" si="41"/>
        <v>0.29112499999999997</v>
      </c>
      <c r="AN56" s="40">
        <f t="shared" si="23"/>
        <v>0.29520833333333329</v>
      </c>
      <c r="AO56" s="39">
        <f t="shared" si="42"/>
        <v>3.5069917171070982E-3</v>
      </c>
      <c r="AP56" s="37">
        <f t="shared" si="43"/>
        <v>2.1600000000000001E-2</v>
      </c>
      <c r="AQ56" s="40">
        <f t="shared" si="44"/>
        <v>2.2499999999999998E-3</v>
      </c>
      <c r="AR56" s="39">
        <f t="shared" si="24"/>
        <v>0.35785166728349571</v>
      </c>
      <c r="AS56" s="37">
        <f t="shared" si="25"/>
        <v>0.55533333333333335</v>
      </c>
      <c r="AT56" s="40">
        <f t="shared" si="26"/>
        <v>60.812796197727991</v>
      </c>
    </row>
    <row r="57" spans="17:46" x14ac:dyDescent="0.2">
      <c r="Q57">
        <v>50</v>
      </c>
      <c r="R57" s="39">
        <f t="shared" si="0"/>
        <v>170</v>
      </c>
      <c r="S57" s="37">
        <f t="shared" si="30"/>
        <v>3.3333333333333335E-3</v>
      </c>
      <c r="T57" s="37">
        <f t="shared" si="2"/>
        <v>5</v>
      </c>
      <c r="U57" s="40">
        <f t="shared" si="31"/>
        <v>0.17435897435897435</v>
      </c>
      <c r="V57" s="39">
        <f t="shared" si="32"/>
        <v>1</v>
      </c>
      <c r="W57" s="37">
        <f t="shared" si="33"/>
        <v>0.20976176963403032</v>
      </c>
      <c r="X57" s="40">
        <f t="shared" si="34"/>
        <v>1.2712834523274563E-3</v>
      </c>
      <c r="Y57" s="39">
        <f t="shared" si="35"/>
        <v>1.0488088481701519</v>
      </c>
      <c r="Z57" s="37">
        <f t="shared" si="28"/>
        <v>1.0488088481701519</v>
      </c>
      <c r="AA57" s="37">
        <f t="shared" si="29"/>
        <v>0.27817042641457157</v>
      </c>
      <c r="AB57" s="37">
        <v>0</v>
      </c>
      <c r="AC57" s="37">
        <f t="shared" si="36"/>
        <v>2.7082575146082605E-3</v>
      </c>
      <c r="AD57" s="40">
        <f t="shared" si="19"/>
        <v>2.7082575146082605E-3</v>
      </c>
      <c r="AE57" s="39">
        <f t="shared" si="27"/>
        <v>3.6573847013112976E-2</v>
      </c>
      <c r="AF57" s="37">
        <f t="shared" si="20"/>
        <v>0.27733129802784817</v>
      </c>
      <c r="AG57" s="37">
        <f t="shared" si="37"/>
        <v>8.9987799172999046E-3</v>
      </c>
      <c r="AH57" s="37">
        <f t="shared" si="38"/>
        <v>2.4417095888393144E-2</v>
      </c>
      <c r="AI57" s="40">
        <f t="shared" si="21"/>
        <v>3.3415875805693052E-2</v>
      </c>
      <c r="AJ57" s="39">
        <f t="shared" si="22"/>
        <v>2.2165967886735136E-4</v>
      </c>
      <c r="AK57" s="37">
        <f t="shared" si="39"/>
        <v>2.1590212269762449E-2</v>
      </c>
      <c r="AL57" s="37">
        <f t="shared" si="40"/>
        <v>4.1666666666666666E-3</v>
      </c>
      <c r="AM57" s="37">
        <f t="shared" si="41"/>
        <v>0.29112499999999997</v>
      </c>
      <c r="AN57" s="40">
        <f t="shared" si="23"/>
        <v>0.29529166666666662</v>
      </c>
      <c r="AO57" s="39">
        <f t="shared" si="42"/>
        <v>3.6148944966931237E-3</v>
      </c>
      <c r="AP57" s="37">
        <f t="shared" si="43"/>
        <v>2.1600000000000001E-2</v>
      </c>
      <c r="AQ57" s="40">
        <f t="shared" si="44"/>
        <v>2.2499999999999998E-3</v>
      </c>
      <c r="AR57" s="39">
        <f t="shared" si="24"/>
        <v>0.358880694483661</v>
      </c>
      <c r="AS57" s="37">
        <f t="shared" si="25"/>
        <v>0.56666666666666665</v>
      </c>
      <c r="AT57" s="40">
        <f t="shared" si="26"/>
        <v>61.225031851679447</v>
      </c>
    </row>
    <row r="58" spans="17:46" x14ac:dyDescent="0.2">
      <c r="Q58">
        <v>51</v>
      </c>
      <c r="R58" s="39">
        <f t="shared" si="0"/>
        <v>170</v>
      </c>
      <c r="S58" s="37">
        <f t="shared" si="30"/>
        <v>3.4000000000000002E-3</v>
      </c>
      <c r="T58" s="37">
        <f t="shared" si="2"/>
        <v>5</v>
      </c>
      <c r="U58" s="40">
        <f t="shared" si="31"/>
        <v>0.17784615384615388</v>
      </c>
      <c r="V58" s="39">
        <f t="shared" si="32"/>
        <v>1</v>
      </c>
      <c r="W58" s="37">
        <f t="shared" si="33"/>
        <v>0.21184900282984576</v>
      </c>
      <c r="X58" s="40">
        <f t="shared" si="34"/>
        <v>1.2839333504839137E-3</v>
      </c>
      <c r="Y58" s="39">
        <f t="shared" si="35"/>
        <v>1.0592450141492289</v>
      </c>
      <c r="Z58" s="37">
        <f t="shared" si="28"/>
        <v>1.0592450141492289</v>
      </c>
      <c r="AA58" s="37">
        <f t="shared" si="29"/>
        <v>0.28233263738265063</v>
      </c>
      <c r="AB58" s="37">
        <v>0</v>
      </c>
      <c r="AC58" s="37">
        <f t="shared" si="36"/>
        <v>2.7899101346005152E-3</v>
      </c>
      <c r="AD58" s="40">
        <f t="shared" si="19"/>
        <v>2.7899101346005152E-3</v>
      </c>
      <c r="AE58" s="39">
        <f t="shared" si="27"/>
        <v>3.7676530349431039E-2</v>
      </c>
      <c r="AF58" s="37">
        <f t="shared" si="20"/>
        <v>0.28148095327812561</v>
      </c>
      <c r="AG58" s="37">
        <f t="shared" si="37"/>
        <v>9.2700886658283934E-3</v>
      </c>
      <c r="AH58" s="37">
        <f t="shared" si="38"/>
        <v>2.4905437806161012E-2</v>
      </c>
      <c r="AI58" s="40">
        <f t="shared" si="21"/>
        <v>3.4175526471989404E-2</v>
      </c>
      <c r="AJ58" s="39">
        <f t="shared" si="22"/>
        <v>2.2834260817836992E-4</v>
      </c>
      <c r="AK58" s="37">
        <f t="shared" si="39"/>
        <v>2.1913262492859974E-2</v>
      </c>
      <c r="AL58" s="37">
        <f t="shared" si="40"/>
        <v>4.2500000000000003E-3</v>
      </c>
      <c r="AM58" s="37">
        <f t="shared" si="41"/>
        <v>0.29112499999999997</v>
      </c>
      <c r="AN58" s="40">
        <f t="shared" si="23"/>
        <v>0.29537499999999994</v>
      </c>
      <c r="AO58" s="39">
        <f t="shared" si="42"/>
        <v>3.7238817717430298E-3</v>
      </c>
      <c r="AP58" s="37">
        <f t="shared" si="43"/>
        <v>2.1600000000000001E-2</v>
      </c>
      <c r="AQ58" s="40">
        <f t="shared" si="44"/>
        <v>2.2499999999999998E-3</v>
      </c>
      <c r="AR58" s="39">
        <f t="shared" si="24"/>
        <v>0.35991431837833288</v>
      </c>
      <c r="AS58" s="37">
        <f t="shared" si="25"/>
        <v>0.57800000000000007</v>
      </c>
      <c r="AT58" s="40">
        <f t="shared" si="26"/>
        <v>61.626098319873201</v>
      </c>
    </row>
    <row r="59" spans="17:46" x14ac:dyDescent="0.2">
      <c r="Q59">
        <v>52</v>
      </c>
      <c r="R59" s="39">
        <f t="shared" si="0"/>
        <v>170</v>
      </c>
      <c r="S59" s="37">
        <f t="shared" si="30"/>
        <v>3.4666666666666669E-3</v>
      </c>
      <c r="T59" s="37">
        <f t="shared" si="2"/>
        <v>5</v>
      </c>
      <c r="U59" s="40">
        <f t="shared" si="31"/>
        <v>0.18133333333333335</v>
      </c>
      <c r="V59" s="39">
        <f t="shared" si="32"/>
        <v>1</v>
      </c>
      <c r="W59" s="37">
        <f t="shared" si="33"/>
        <v>0.213915871313935</v>
      </c>
      <c r="X59" s="40">
        <f t="shared" si="34"/>
        <v>1.2964598261450606E-3</v>
      </c>
      <c r="Y59" s="39">
        <f t="shared" si="35"/>
        <v>1.0695793565696752</v>
      </c>
      <c r="Z59" s="37">
        <f t="shared" si="28"/>
        <v>1.0695793565696752</v>
      </c>
      <c r="AA59" s="37">
        <f t="shared" si="29"/>
        <v>0.28647449381765894</v>
      </c>
      <c r="AB59" s="37">
        <v>0</v>
      </c>
      <c r="AC59" s="37">
        <f t="shared" si="36"/>
        <v>2.872367246282937E-3</v>
      </c>
      <c r="AD59" s="40">
        <f t="shared" si="19"/>
        <v>2.872367246282937E-3</v>
      </c>
      <c r="AE59" s="39">
        <f t="shared" si="27"/>
        <v>3.8790077998260217E-2</v>
      </c>
      <c r="AF59" s="37">
        <f t="shared" si="20"/>
        <v>0.28561031539677839</v>
      </c>
      <c r="AG59" s="37">
        <f t="shared" si="37"/>
        <v>9.5440705145425266E-3</v>
      </c>
      <c r="AH59" s="37">
        <f t="shared" si="38"/>
        <v>2.5393779723928873E-2</v>
      </c>
      <c r="AI59" s="40">
        <f t="shared" si="21"/>
        <v>3.4937850238471402E-2</v>
      </c>
      <c r="AJ59" s="39">
        <f t="shared" si="22"/>
        <v>2.3509138180763766E-4</v>
      </c>
      <c r="AK59" s="37">
        <f t="shared" si="39"/>
        <v>2.2234732897803155E-2</v>
      </c>
      <c r="AL59" s="37">
        <f t="shared" si="40"/>
        <v>4.333333333333334E-3</v>
      </c>
      <c r="AM59" s="37">
        <f t="shared" si="41"/>
        <v>0.29112499999999997</v>
      </c>
      <c r="AN59" s="40">
        <f t="shared" si="23"/>
        <v>0.29545833333333332</v>
      </c>
      <c r="AO59" s="39">
        <f t="shared" si="42"/>
        <v>3.8339428562692195E-3</v>
      </c>
      <c r="AP59" s="37">
        <f t="shared" si="43"/>
        <v>2.1600000000000001E-2</v>
      </c>
      <c r="AQ59" s="40">
        <f t="shared" si="44"/>
        <v>2.2499999999999998E-3</v>
      </c>
      <c r="AR59" s="39">
        <f t="shared" si="24"/>
        <v>0.36095249367435683</v>
      </c>
      <c r="AS59" s="37">
        <f t="shared" si="25"/>
        <v>0.58933333333333338</v>
      </c>
      <c r="AT59" s="40">
        <f t="shared" si="26"/>
        <v>62.016428803221977</v>
      </c>
    </row>
    <row r="60" spans="17:46" x14ac:dyDescent="0.2">
      <c r="Q60">
        <v>53</v>
      </c>
      <c r="R60" s="39">
        <f t="shared" si="0"/>
        <v>170</v>
      </c>
      <c r="S60" s="37">
        <f t="shared" si="30"/>
        <v>3.5333333333333336E-3</v>
      </c>
      <c r="T60" s="37">
        <f t="shared" si="2"/>
        <v>5</v>
      </c>
      <c r="U60" s="40">
        <f t="shared" si="31"/>
        <v>0.18482051282051282</v>
      </c>
      <c r="V60" s="39">
        <f t="shared" si="32"/>
        <v>1</v>
      </c>
      <c r="W60" s="37">
        <f t="shared" si="33"/>
        <v>0.2159629597870894</v>
      </c>
      <c r="X60" s="40">
        <f t="shared" si="34"/>
        <v>1.308866422952057E-3</v>
      </c>
      <c r="Y60" s="39">
        <f t="shared" si="35"/>
        <v>1.0798147989354472</v>
      </c>
      <c r="Z60" s="37">
        <f t="shared" si="28"/>
        <v>1.0798147989354472</v>
      </c>
      <c r="AA60" s="37">
        <f t="shared" si="29"/>
        <v>0.29059648389757936</v>
      </c>
      <c r="AB60" s="37">
        <v>0</v>
      </c>
      <c r="AC60" s="37">
        <f t="shared" si="36"/>
        <v>2.9556210758772635E-3</v>
      </c>
      <c r="AD60" s="40">
        <f t="shared" si="19"/>
        <v>2.9556210758772635E-3</v>
      </c>
      <c r="AE60" s="39">
        <f t="shared" si="27"/>
        <v>3.9914384978085651E-2</v>
      </c>
      <c r="AF60" s="37">
        <f t="shared" si="20"/>
        <v>0.28971987108915298</v>
      </c>
      <c r="AG60" s="37">
        <f t="shared" si="37"/>
        <v>9.820699633358106E-3</v>
      </c>
      <c r="AH60" s="37">
        <f t="shared" si="38"/>
        <v>2.5882121641696731E-2</v>
      </c>
      <c r="AI60" s="40">
        <f t="shared" si="21"/>
        <v>3.5702821275054836E-2</v>
      </c>
      <c r="AJ60" s="39">
        <f t="shared" si="22"/>
        <v>2.4190536350354939E-4</v>
      </c>
      <c r="AK60" s="37">
        <f t="shared" si="39"/>
        <v>2.2554661374551817E-2</v>
      </c>
      <c r="AL60" s="37">
        <f t="shared" si="40"/>
        <v>4.4166666666666668E-3</v>
      </c>
      <c r="AM60" s="37">
        <f t="shared" si="41"/>
        <v>0.29112499999999997</v>
      </c>
      <c r="AN60" s="40">
        <f t="shared" si="23"/>
        <v>0.29554166666666665</v>
      </c>
      <c r="AO60" s="39">
        <f t="shared" si="42"/>
        <v>3.9450673740840251E-3</v>
      </c>
      <c r="AP60" s="37">
        <f t="shared" si="43"/>
        <v>2.1600000000000001E-2</v>
      </c>
      <c r="AQ60" s="40">
        <f t="shared" si="44"/>
        <v>2.2499999999999998E-3</v>
      </c>
      <c r="AR60" s="39">
        <f t="shared" si="24"/>
        <v>0.36199517639168277</v>
      </c>
      <c r="AS60" s="37">
        <f t="shared" si="25"/>
        <v>0.60066666666666668</v>
      </c>
      <c r="AT60" s="40">
        <f t="shared" si="26"/>
        <v>62.396434531815004</v>
      </c>
    </row>
    <row r="61" spans="17:46" x14ac:dyDescent="0.2">
      <c r="Q61">
        <v>54</v>
      </c>
      <c r="R61" s="39">
        <f t="shared" si="0"/>
        <v>170</v>
      </c>
      <c r="S61" s="37">
        <f t="shared" si="30"/>
        <v>3.6000000000000003E-3</v>
      </c>
      <c r="T61" s="37">
        <f t="shared" si="2"/>
        <v>5</v>
      </c>
      <c r="U61" s="40">
        <f t="shared" si="31"/>
        <v>0.18830769230769234</v>
      </c>
      <c r="V61" s="39">
        <f t="shared" si="32"/>
        <v>1</v>
      </c>
      <c r="W61" s="37">
        <f t="shared" si="33"/>
        <v>0.21799082549501939</v>
      </c>
      <c r="X61" s="40">
        <f t="shared" si="34"/>
        <v>1.3211565181516325E-3</v>
      </c>
      <c r="Y61" s="39">
        <f t="shared" si="35"/>
        <v>1.0899541274750972</v>
      </c>
      <c r="Z61" s="37">
        <f t="shared" si="28"/>
        <v>1.0899541274750972</v>
      </c>
      <c r="AA61" s="37">
        <f t="shared" si="29"/>
        <v>0.29469907512107285</v>
      </c>
      <c r="AB61" s="37">
        <v>0</v>
      </c>
      <c r="AC61" s="37">
        <f t="shared" si="36"/>
        <v>3.0396640707025511E-3</v>
      </c>
      <c r="AD61" s="40">
        <f t="shared" si="19"/>
        <v>3.0396640707025511E-3</v>
      </c>
      <c r="AE61" s="39">
        <f t="shared" si="27"/>
        <v>4.1049349293215964E-2</v>
      </c>
      <c r="AF61" s="37">
        <f t="shared" si="20"/>
        <v>0.29381008644365442</v>
      </c>
      <c r="AG61" s="37">
        <f t="shared" si="37"/>
        <v>1.0099950926835239E-2</v>
      </c>
      <c r="AH61" s="37">
        <f t="shared" si="38"/>
        <v>2.6370463559464603E-2</v>
      </c>
      <c r="AI61" s="40">
        <f t="shared" si="21"/>
        <v>3.647041448629984E-2</v>
      </c>
      <c r="AJ61" s="39">
        <f t="shared" si="22"/>
        <v>2.4878393511039974E-4</v>
      </c>
      <c r="AK61" s="37">
        <f t="shared" si="39"/>
        <v>2.2873084208039081E-2</v>
      </c>
      <c r="AL61" s="37">
        <f t="shared" si="40"/>
        <v>4.5000000000000005E-3</v>
      </c>
      <c r="AM61" s="37">
        <f t="shared" si="41"/>
        <v>0.29112499999999997</v>
      </c>
      <c r="AN61" s="40">
        <f t="shared" si="23"/>
        <v>0.29562499999999997</v>
      </c>
      <c r="AO61" s="39">
        <f t="shared" si="42"/>
        <v>4.0572452441133009E-3</v>
      </c>
      <c r="AP61" s="37">
        <f t="shared" si="43"/>
        <v>2.1600000000000001E-2</v>
      </c>
      <c r="AQ61" s="40">
        <f t="shared" si="44"/>
        <v>2.2499999999999998E-3</v>
      </c>
      <c r="AR61" s="39">
        <f t="shared" si="24"/>
        <v>0.36304232380111567</v>
      </c>
      <c r="AS61" s="37">
        <f t="shared" si="25"/>
        <v>0.6120000000000001</v>
      </c>
      <c r="AT61" s="40">
        <f t="shared" si="26"/>
        <v>62.766506136284683</v>
      </c>
    </row>
    <row r="62" spans="17:46" x14ac:dyDescent="0.2">
      <c r="Q62">
        <v>55</v>
      </c>
      <c r="R62" s="39">
        <f t="shared" si="0"/>
        <v>170</v>
      </c>
      <c r="S62" s="37">
        <f t="shared" si="30"/>
        <v>3.666666666666667E-3</v>
      </c>
      <c r="T62" s="37">
        <f t="shared" si="2"/>
        <v>5</v>
      </c>
      <c r="U62" s="40">
        <f t="shared" si="31"/>
        <v>0.19179487179487181</v>
      </c>
      <c r="V62" s="39">
        <f t="shared" si="32"/>
        <v>1</v>
      </c>
      <c r="W62" s="37">
        <f t="shared" si="33"/>
        <v>0.22</v>
      </c>
      <c r="X62" s="40">
        <f t="shared" si="34"/>
        <v>1.3333333333333331E-3</v>
      </c>
      <c r="Y62" s="39">
        <f t="shared" si="35"/>
        <v>1.1000000000000003</v>
      </c>
      <c r="Z62" s="37">
        <f t="shared" si="28"/>
        <v>1.1000000000000003</v>
      </c>
      <c r="AA62" s="37">
        <f t="shared" si="29"/>
        <v>0.29878271554946273</v>
      </c>
      <c r="AB62" s="37">
        <v>0</v>
      </c>
      <c r="AC62" s="37">
        <f t="shared" si="36"/>
        <v>3.1244888888888908E-3</v>
      </c>
      <c r="AD62" s="40">
        <f t="shared" si="19"/>
        <v>3.1244888888888908E-3</v>
      </c>
      <c r="AE62" s="39">
        <f t="shared" si="27"/>
        <v>4.2194871794871802E-2</v>
      </c>
      <c r="AF62" s="37">
        <f t="shared" si="20"/>
        <v>0.29788140816998532</v>
      </c>
      <c r="AG62" s="37">
        <f t="shared" si="37"/>
        <v>1.0381800000000009E-2</v>
      </c>
      <c r="AH62" s="37">
        <f t="shared" si="38"/>
        <v>2.6858805477232465E-2</v>
      </c>
      <c r="AI62" s="40">
        <f t="shared" si="21"/>
        <v>3.7240605477232472E-2</v>
      </c>
      <c r="AJ62" s="39">
        <f t="shared" si="22"/>
        <v>2.5572649572649573E-4</v>
      </c>
      <c r="AK62" s="37">
        <f t="shared" si="39"/>
        <v>2.3190036174568118E-2</v>
      </c>
      <c r="AL62" s="37">
        <f t="shared" si="40"/>
        <v>4.5833333333333334E-3</v>
      </c>
      <c r="AM62" s="37">
        <f t="shared" si="41"/>
        <v>0.29112499999999997</v>
      </c>
      <c r="AN62" s="40">
        <f t="shared" si="23"/>
        <v>0.2957083333333333</v>
      </c>
      <c r="AO62" s="39">
        <f t="shared" si="42"/>
        <v>4.1704666666666701E-3</v>
      </c>
      <c r="AP62" s="37">
        <f t="shared" si="43"/>
        <v>2.1600000000000001E-2</v>
      </c>
      <c r="AQ62" s="40">
        <f t="shared" si="44"/>
        <v>2.2499999999999998E-3</v>
      </c>
      <c r="AR62" s="39">
        <f t="shared" si="24"/>
        <v>0.36409389436612127</v>
      </c>
      <c r="AS62" s="37">
        <f t="shared" si="25"/>
        <v>0.62333333333333341</v>
      </c>
      <c r="AT62" s="40">
        <f t="shared" si="26"/>
        <v>63.127014917909342</v>
      </c>
    </row>
    <row r="63" spans="17:46" x14ac:dyDescent="0.2">
      <c r="Q63">
        <v>56</v>
      </c>
      <c r="R63" s="39">
        <f t="shared" si="0"/>
        <v>170</v>
      </c>
      <c r="S63" s="37">
        <f t="shared" si="30"/>
        <v>3.7333333333333333E-3</v>
      </c>
      <c r="T63" s="37">
        <f t="shared" si="2"/>
        <v>5</v>
      </c>
      <c r="U63" s="40">
        <f t="shared" si="31"/>
        <v>0.19528205128205128</v>
      </c>
      <c r="V63" s="39">
        <f t="shared" si="32"/>
        <v>1</v>
      </c>
      <c r="W63" s="37">
        <f t="shared" si="33"/>
        <v>0.22199099080818571</v>
      </c>
      <c r="X63" s="40">
        <f t="shared" si="34"/>
        <v>1.3453999442920345E-3</v>
      </c>
      <c r="Y63" s="39">
        <f t="shared" si="35"/>
        <v>1.1099549540409288</v>
      </c>
      <c r="Z63" s="37">
        <f t="shared" si="28"/>
        <v>1.1099549540409288</v>
      </c>
      <c r="AA63" s="37">
        <f t="shared" si="29"/>
        <v>0.30284783495294171</v>
      </c>
      <c r="AB63" s="37">
        <v>0</v>
      </c>
      <c r="AC63" s="37">
        <f t="shared" si="36"/>
        <v>3.2100883897489482E-3</v>
      </c>
      <c r="AD63" s="40">
        <f t="shared" si="19"/>
        <v>3.2100883897489482E-3</v>
      </c>
      <c r="AE63" s="39">
        <f t="shared" si="27"/>
        <v>4.3350856051157495E-2</v>
      </c>
      <c r="AF63" s="37">
        <f t="shared" si="20"/>
        <v>0.30193426474189428</v>
      </c>
      <c r="AG63" s="37">
        <f t="shared" si="37"/>
        <v>1.0666223126351711E-2</v>
      </c>
      <c r="AH63" s="37">
        <f t="shared" si="38"/>
        <v>2.7347147395000323E-2</v>
      </c>
      <c r="AI63" s="40">
        <f t="shared" si="21"/>
        <v>3.8013370521352036E-2</v>
      </c>
      <c r="AJ63" s="39">
        <f t="shared" si="22"/>
        <v>2.6273246091610601E-4</v>
      </c>
      <c r="AK63" s="37">
        <f t="shared" si="39"/>
        <v>2.3505550630775043E-2</v>
      </c>
      <c r="AL63" s="37">
        <f t="shared" si="40"/>
        <v>4.6666666666666662E-3</v>
      </c>
      <c r="AM63" s="37">
        <f t="shared" si="41"/>
        <v>0.29112499999999997</v>
      </c>
      <c r="AN63" s="40">
        <f t="shared" si="23"/>
        <v>0.29579166666666662</v>
      </c>
      <c r="AO63" s="39">
        <f t="shared" si="42"/>
        <v>4.2847221105857302E-3</v>
      </c>
      <c r="AP63" s="37">
        <f t="shared" si="43"/>
        <v>2.1600000000000001E-2</v>
      </c>
      <c r="AQ63" s="40">
        <f t="shared" si="44"/>
        <v>2.2499999999999998E-3</v>
      </c>
      <c r="AR63" s="39">
        <f t="shared" si="24"/>
        <v>0.36514984768835335</v>
      </c>
      <c r="AS63" s="37">
        <f t="shared" si="25"/>
        <v>0.63466666666666671</v>
      </c>
      <c r="AT63" s="40">
        <f t="shared" si="26"/>
        <v>63.47831402605798</v>
      </c>
    </row>
    <row r="64" spans="17:46" x14ac:dyDescent="0.2">
      <c r="Q64">
        <v>57</v>
      </c>
      <c r="R64" s="39">
        <f t="shared" si="0"/>
        <v>170</v>
      </c>
      <c r="S64" s="37">
        <f t="shared" si="30"/>
        <v>3.8E-3</v>
      </c>
      <c r="T64" s="37">
        <f t="shared" si="2"/>
        <v>5</v>
      </c>
      <c r="U64" s="40">
        <f t="shared" si="31"/>
        <v>0.19876923076923078</v>
      </c>
      <c r="V64" s="39">
        <f t="shared" si="32"/>
        <v>1</v>
      </c>
      <c r="W64" s="37">
        <f t="shared" si="33"/>
        <v>0.22396428286671066</v>
      </c>
      <c r="X64" s="40">
        <f t="shared" si="34"/>
        <v>1.3573592901012766E-3</v>
      </c>
      <c r="Y64" s="39">
        <f t="shared" si="35"/>
        <v>1.1198214143335534</v>
      </c>
      <c r="Z64" s="37">
        <f t="shared" si="28"/>
        <v>1.1198214143335534</v>
      </c>
      <c r="AA64" s="37">
        <f t="shared" si="29"/>
        <v>0.30689484586996141</v>
      </c>
      <c r="AB64" s="37">
        <v>0</v>
      </c>
      <c r="AC64" s="37">
        <f t="shared" si="36"/>
        <v>3.2964556247541583E-3</v>
      </c>
      <c r="AD64" s="40">
        <f t="shared" si="19"/>
        <v>3.2964556247541583E-3</v>
      </c>
      <c r="AE64" s="39">
        <f t="shared" si="27"/>
        <v>4.4517208225198494E-2</v>
      </c>
      <c r="AF64" s="37">
        <f t="shared" si="20"/>
        <v>0.30596906745337027</v>
      </c>
      <c r="AG64" s="37">
        <f t="shared" si="37"/>
        <v>1.0953197217879351E-2</v>
      </c>
      <c r="AH64" s="37">
        <f t="shared" si="38"/>
        <v>2.7835489312768188E-2</v>
      </c>
      <c r="AI64" s="40">
        <f t="shared" si="21"/>
        <v>3.8788686530647543E-2</v>
      </c>
      <c r="AJ64" s="39">
        <f t="shared" si="22"/>
        <v>2.698012619708999E-4</v>
      </c>
      <c r="AK64" s="37">
        <f t="shared" si="39"/>
        <v>2.3819659595853457E-2</v>
      </c>
      <c r="AL64" s="37">
        <f t="shared" si="40"/>
        <v>4.7499999999999999E-3</v>
      </c>
      <c r="AM64" s="37">
        <f t="shared" si="41"/>
        <v>0.29112499999999997</v>
      </c>
      <c r="AN64" s="40">
        <f t="shared" si="23"/>
        <v>0.29587499999999994</v>
      </c>
      <c r="AO64" s="39">
        <f t="shared" si="42"/>
        <v>4.4000023011993971E-3</v>
      </c>
      <c r="AP64" s="37">
        <f t="shared" si="43"/>
        <v>2.1600000000000001E-2</v>
      </c>
      <c r="AQ64" s="40">
        <f t="shared" si="44"/>
        <v>2.2499999999999998E-3</v>
      </c>
      <c r="AR64" s="39">
        <f t="shared" si="24"/>
        <v>0.36621014445660105</v>
      </c>
      <c r="AS64" s="37">
        <f t="shared" si="25"/>
        <v>0.64600000000000002</v>
      </c>
      <c r="AT64" s="40">
        <f t="shared" si="26"/>
        <v>63.820739550758141</v>
      </c>
    </row>
    <row r="65" spans="17:46" x14ac:dyDescent="0.2">
      <c r="Q65">
        <v>58</v>
      </c>
      <c r="R65" s="39">
        <f t="shared" si="0"/>
        <v>170</v>
      </c>
      <c r="S65" s="37">
        <f t="shared" si="30"/>
        <v>3.8666666666666667E-3</v>
      </c>
      <c r="T65" s="37">
        <f t="shared" si="2"/>
        <v>5</v>
      </c>
      <c r="U65" s="40">
        <f t="shared" si="31"/>
        <v>0.20225641025641025</v>
      </c>
      <c r="V65" s="39">
        <f t="shared" si="32"/>
        <v>1</v>
      </c>
      <c r="W65" s="37">
        <f t="shared" si="33"/>
        <v>0.225920339943087</v>
      </c>
      <c r="X65" s="40">
        <f t="shared" si="34"/>
        <v>1.3692141814732543E-3</v>
      </c>
      <c r="Y65" s="39">
        <f t="shared" si="35"/>
        <v>1.1296016997154352</v>
      </c>
      <c r="Z65" s="37">
        <f t="shared" si="28"/>
        <v>1.1296016997154352</v>
      </c>
      <c r="AA65" s="37">
        <f t="shared" si="29"/>
        <v>0.31092414458778583</v>
      </c>
      <c r="AB65" s="37">
        <v>0</v>
      </c>
      <c r="AC65" s="37">
        <f t="shared" si="36"/>
        <v>3.3835838290676226E-3</v>
      </c>
      <c r="AD65" s="40">
        <f t="shared" si="19"/>
        <v>3.3835838290676226E-3</v>
      </c>
      <c r="AE65" s="39">
        <f t="shared" si="27"/>
        <v>4.5693836960796673E-2</v>
      </c>
      <c r="AF65" s="37">
        <f t="shared" si="20"/>
        <v>0.30998621139623783</v>
      </c>
      <c r="AG65" s="37">
        <f t="shared" si="37"/>
        <v>1.1242699796927788E-2</v>
      </c>
      <c r="AH65" s="37">
        <f t="shared" si="38"/>
        <v>2.8323831230536049E-2</v>
      </c>
      <c r="AI65" s="40">
        <f t="shared" si="21"/>
        <v>3.9566531027463839E-2</v>
      </c>
      <c r="AJ65" s="39">
        <f t="shared" si="22"/>
        <v>2.7693234521694945E-4</v>
      </c>
      <c r="AK65" s="37">
        <f t="shared" si="39"/>
        <v>2.4132393827660175E-2</v>
      </c>
      <c r="AL65" s="37">
        <f t="shared" si="40"/>
        <v>4.8333333333333336E-3</v>
      </c>
      <c r="AM65" s="37">
        <f t="shared" si="41"/>
        <v>0.29112499999999997</v>
      </c>
      <c r="AN65" s="40">
        <f t="shared" si="23"/>
        <v>0.29595833333333332</v>
      </c>
      <c r="AO65" s="39">
        <f t="shared" si="42"/>
        <v>4.5162982090222736E-3</v>
      </c>
      <c r="AP65" s="37">
        <f t="shared" si="43"/>
        <v>2.1600000000000001E-2</v>
      </c>
      <c r="AQ65" s="40">
        <f t="shared" si="44"/>
        <v>2.2499999999999998E-3</v>
      </c>
      <c r="AR65" s="39">
        <f t="shared" si="24"/>
        <v>0.36727474639888702</v>
      </c>
      <c r="AS65" s="37">
        <f t="shared" si="25"/>
        <v>0.65733333333333333</v>
      </c>
      <c r="AT65" s="40">
        <f t="shared" si="26"/>
        <v>64.154611537430611</v>
      </c>
    </row>
    <row r="66" spans="17:46" x14ac:dyDescent="0.2">
      <c r="Q66">
        <v>59</v>
      </c>
      <c r="R66" s="39">
        <f t="shared" si="0"/>
        <v>170</v>
      </c>
      <c r="S66" s="37">
        <f t="shared" si="30"/>
        <v>3.9333333333333338E-3</v>
      </c>
      <c r="T66" s="37">
        <f t="shared" si="2"/>
        <v>5</v>
      </c>
      <c r="U66" s="40">
        <f t="shared" si="31"/>
        <v>0.20574358974358978</v>
      </c>
      <c r="V66" s="39">
        <f t="shared" si="32"/>
        <v>1</v>
      </c>
      <c r="W66" s="37">
        <f t="shared" si="33"/>
        <v>0.22785960589801785</v>
      </c>
      <c r="X66" s="40">
        <f t="shared" si="34"/>
        <v>1.3809673084728355E-3</v>
      </c>
      <c r="Y66" s="39">
        <f t="shared" si="35"/>
        <v>1.1392980294900894</v>
      </c>
      <c r="Z66" s="37">
        <f t="shared" si="28"/>
        <v>1.1392980294900894</v>
      </c>
      <c r="AA66" s="37">
        <f t="shared" si="29"/>
        <v>0.31493611205133076</v>
      </c>
      <c r="AB66" s="37">
        <v>0</v>
      </c>
      <c r="AC66" s="37">
        <f t="shared" si="36"/>
        <v>3.471466413590293E-3</v>
      </c>
      <c r="AD66" s="40">
        <f t="shared" si="19"/>
        <v>3.471466413590293E-3</v>
      </c>
      <c r="AE66" s="39">
        <f t="shared" si="27"/>
        <v>4.6880653275017836E-2</v>
      </c>
      <c r="AF66" s="37">
        <f t="shared" si="20"/>
        <v>0.31398607636625514</v>
      </c>
      <c r="AG66" s="37">
        <f t="shared" si="37"/>
        <v>1.1534708969769469E-2</v>
      </c>
      <c r="AH66" s="37">
        <f t="shared" si="38"/>
        <v>2.8812173148303914E-2</v>
      </c>
      <c r="AI66" s="40">
        <f t="shared" si="21"/>
        <v>4.0346882118073385E-2</v>
      </c>
      <c r="AJ66" s="39">
        <f t="shared" si="22"/>
        <v>2.8412517136374446E-4</v>
      </c>
      <c r="AK66" s="37">
        <f t="shared" si="39"/>
        <v>2.4443782893254891E-2</v>
      </c>
      <c r="AL66" s="37">
        <f t="shared" si="40"/>
        <v>4.9166666666666673E-3</v>
      </c>
      <c r="AM66" s="37">
        <f t="shared" si="41"/>
        <v>0.29112499999999997</v>
      </c>
      <c r="AN66" s="40">
        <f t="shared" si="23"/>
        <v>0.29604166666666665</v>
      </c>
      <c r="AO66" s="39">
        <f t="shared" si="42"/>
        <v>4.6336010391381625E-3</v>
      </c>
      <c r="AP66" s="37">
        <f t="shared" si="43"/>
        <v>2.1600000000000001E-2</v>
      </c>
      <c r="AQ66" s="40">
        <f t="shared" si="44"/>
        <v>2.2499999999999998E-3</v>
      </c>
      <c r="AR66" s="39">
        <f t="shared" si="24"/>
        <v>0.36834361623746853</v>
      </c>
      <c r="AS66" s="37">
        <f t="shared" si="25"/>
        <v>0.66866666666666674</v>
      </c>
      <c r="AT66" s="40">
        <f t="shared" si="26"/>
        <v>64.480234930175769</v>
      </c>
    </row>
    <row r="67" spans="17:46" x14ac:dyDescent="0.2">
      <c r="Q67">
        <v>60</v>
      </c>
      <c r="R67" s="39">
        <f t="shared" si="0"/>
        <v>170</v>
      </c>
      <c r="S67" s="37">
        <f t="shared" si="30"/>
        <v>4.0000000000000001E-3</v>
      </c>
      <c r="T67" s="37">
        <f t="shared" si="2"/>
        <v>5</v>
      </c>
      <c r="U67" s="40">
        <f t="shared" si="31"/>
        <v>0.20923076923076925</v>
      </c>
      <c r="V67" s="39">
        <f t="shared" si="32"/>
        <v>1</v>
      </c>
      <c r="W67" s="37">
        <f t="shared" si="33"/>
        <v>0.22978250586152113</v>
      </c>
      <c r="X67" s="40">
        <f t="shared" si="34"/>
        <v>1.3926212476455823E-3</v>
      </c>
      <c r="Y67" s="39">
        <f t="shared" si="35"/>
        <v>1.1489125293076059</v>
      </c>
      <c r="Z67" s="37">
        <f t="shared" si="28"/>
        <v>1.1489125293076059</v>
      </c>
      <c r="AA67" s="37">
        <f t="shared" si="29"/>
        <v>0.31893111470666108</v>
      </c>
      <c r="AB67" s="37">
        <v>0</v>
      </c>
      <c r="AC67" s="37">
        <f t="shared" si="36"/>
        <v>3.5600969574811694E-3</v>
      </c>
      <c r="AD67" s="40">
        <f t="shared" si="19"/>
        <v>3.5600969574811694E-3</v>
      </c>
      <c r="AE67" s="39">
        <f t="shared" si="27"/>
        <v>4.8077570457179808E-2</v>
      </c>
      <c r="AF67" s="37">
        <f t="shared" si="20"/>
        <v>0.31796902770406632</v>
      </c>
      <c r="AG67" s="37">
        <f t="shared" si="37"/>
        <v>1.1829203401751108E-2</v>
      </c>
      <c r="AH67" s="37">
        <f t="shared" si="38"/>
        <v>2.9300515066071776E-2</v>
      </c>
      <c r="AI67" s="40">
        <f t="shared" si="21"/>
        <v>4.1129718467822887E-2</v>
      </c>
      <c r="AJ67" s="39">
        <f t="shared" si="22"/>
        <v>2.9137921489199881E-4</v>
      </c>
      <c r="AK67" s="37">
        <f t="shared" si="39"/>
        <v>2.4753855234368169E-2</v>
      </c>
      <c r="AL67" s="37">
        <f t="shared" si="40"/>
        <v>5.0000000000000001E-3</v>
      </c>
      <c r="AM67" s="37">
        <f t="shared" si="41"/>
        <v>0.29112499999999997</v>
      </c>
      <c r="AN67" s="40">
        <f t="shared" si="23"/>
        <v>0.29612499999999997</v>
      </c>
      <c r="AO67" s="39">
        <f t="shared" si="42"/>
        <v>4.7519022212162568E-3</v>
      </c>
      <c r="AP67" s="37">
        <f t="shared" si="43"/>
        <v>2.1600000000000001E-2</v>
      </c>
      <c r="AQ67" s="40">
        <f t="shared" si="44"/>
        <v>2.2499999999999998E-3</v>
      </c>
      <c r="AR67" s="39">
        <f t="shared" si="24"/>
        <v>0.36941671764652023</v>
      </c>
      <c r="AS67" s="37">
        <f t="shared" si="25"/>
        <v>0.68</v>
      </c>
      <c r="AT67" s="40">
        <f t="shared" si="26"/>
        <v>64.797900449404452</v>
      </c>
    </row>
    <row r="68" spans="17:46" x14ac:dyDescent="0.2">
      <c r="Q68">
        <v>61</v>
      </c>
      <c r="R68" s="39">
        <f t="shared" si="0"/>
        <v>170</v>
      </c>
      <c r="S68" s="37">
        <f t="shared" si="30"/>
        <v>4.0666666666666672E-3</v>
      </c>
      <c r="T68" s="37">
        <f t="shared" si="2"/>
        <v>5</v>
      </c>
      <c r="U68" s="40">
        <f t="shared" si="31"/>
        <v>0.21271794871794875</v>
      </c>
      <c r="V68" s="39">
        <f t="shared" si="32"/>
        <v>1</v>
      </c>
      <c r="W68" s="37">
        <f t="shared" si="33"/>
        <v>0.23168944732119326</v>
      </c>
      <c r="X68" s="40">
        <f t="shared" si="34"/>
        <v>1.4041784686132923E-3</v>
      </c>
      <c r="Y68" s="39">
        <f t="shared" si="35"/>
        <v>1.1584472366059666</v>
      </c>
      <c r="Z68" s="37">
        <f t="shared" si="28"/>
        <v>1.1584472366059666</v>
      </c>
      <c r="AA68" s="37">
        <f t="shared" si="29"/>
        <v>0.32290950528485041</v>
      </c>
      <c r="AB68" s="37">
        <v>0</v>
      </c>
      <c r="AC68" s="37">
        <f t="shared" si="36"/>
        <v>3.6494692011157398E-3</v>
      </c>
      <c r="AD68" s="40">
        <f t="shared" si="19"/>
        <v>3.6494692011157398E-3</v>
      </c>
      <c r="AE68" s="39">
        <f t="shared" si="27"/>
        <v>4.9284503973759476E-2</v>
      </c>
      <c r="AF68" s="37">
        <f t="shared" si="20"/>
        <v>0.32193541707669743</v>
      </c>
      <c r="AG68" s="37">
        <f t="shared" si="37"/>
        <v>1.2126162293896615E-2</v>
      </c>
      <c r="AH68" s="37">
        <f t="shared" si="38"/>
        <v>2.9788856983839644E-2</v>
      </c>
      <c r="AI68" s="40">
        <f t="shared" si="21"/>
        <v>4.1915019277736262E-2</v>
      </c>
      <c r="AJ68" s="39">
        <f t="shared" si="22"/>
        <v>2.9869396347733014E-4</v>
      </c>
      <c r="AK68" s="37">
        <f t="shared" si="39"/>
        <v>2.5062638228240851E-2</v>
      </c>
      <c r="AL68" s="37">
        <f t="shared" si="40"/>
        <v>5.0833333333333338E-3</v>
      </c>
      <c r="AM68" s="37">
        <f t="shared" si="41"/>
        <v>0.29112499999999997</v>
      </c>
      <c r="AN68" s="40">
        <f t="shared" si="23"/>
        <v>0.2962083333333333</v>
      </c>
      <c r="AO68" s="39">
        <f t="shared" si="42"/>
        <v>4.871193400112315E-3</v>
      </c>
      <c r="AP68" s="37">
        <f t="shared" si="43"/>
        <v>2.1600000000000001E-2</v>
      </c>
      <c r="AQ68" s="40">
        <f t="shared" si="44"/>
        <v>2.2499999999999998E-3</v>
      </c>
      <c r="AR68" s="39">
        <f t="shared" si="24"/>
        <v>0.37049401521229763</v>
      </c>
      <c r="AS68" s="37">
        <f t="shared" si="25"/>
        <v>0.69133333333333347</v>
      </c>
      <c r="AT68" s="40">
        <f t="shared" si="26"/>
        <v>65.107885409077312</v>
      </c>
    </row>
    <row r="69" spans="17:46" x14ac:dyDescent="0.2">
      <c r="Q69">
        <v>62</v>
      </c>
      <c r="R69" s="39">
        <f t="shared" si="0"/>
        <v>170</v>
      </c>
      <c r="S69" s="37">
        <f t="shared" si="30"/>
        <v>4.1333333333333335E-3</v>
      </c>
      <c r="T69" s="37">
        <f t="shared" si="2"/>
        <v>5</v>
      </c>
      <c r="U69" s="40">
        <f t="shared" si="31"/>
        <v>0.21620512820512822</v>
      </c>
      <c r="V69" s="39">
        <f t="shared" si="32"/>
        <v>1</v>
      </c>
      <c r="W69" s="37">
        <f t="shared" si="33"/>
        <v>0.23358082113050294</v>
      </c>
      <c r="X69" s="40">
        <f t="shared" si="34"/>
        <v>1.4156413401848662E-3</v>
      </c>
      <c r="Y69" s="39">
        <f t="shared" si="35"/>
        <v>1.167904105652515</v>
      </c>
      <c r="Z69" s="37">
        <f t="shared" si="28"/>
        <v>1.167904105652515</v>
      </c>
      <c r="AA69" s="37">
        <f t="shared" si="29"/>
        <v>0.32687162353132787</v>
      </c>
      <c r="AB69" s="37">
        <v>0</v>
      </c>
      <c r="AC69" s="37">
        <f t="shared" si="36"/>
        <v>3.7395770394502152E-3</v>
      </c>
      <c r="AD69" s="40">
        <f t="shared" si="19"/>
        <v>3.7395770394502152E-3</v>
      </c>
      <c r="AE69" s="39">
        <f t="shared" si="27"/>
        <v>5.0501371378779511E-2</v>
      </c>
      <c r="AF69" s="37">
        <f t="shared" si="20"/>
        <v>0.32588558320470201</v>
      </c>
      <c r="AG69" s="37">
        <f t="shared" si="37"/>
        <v>1.2425565360858244E-2</v>
      </c>
      <c r="AH69" s="37">
        <f t="shared" si="38"/>
        <v>3.0277198901607499E-2</v>
      </c>
      <c r="AI69" s="40">
        <f t="shared" si="21"/>
        <v>4.2702764262465741E-2</v>
      </c>
      <c r="AJ69" s="39">
        <f t="shared" si="22"/>
        <v>3.0606891744714852E-4</v>
      </c>
      <c r="AK69" s="37">
        <f t="shared" si="39"/>
        <v>2.5370158244232263E-2</v>
      </c>
      <c r="AL69" s="37">
        <f t="shared" si="40"/>
        <v>5.1666666666666666E-3</v>
      </c>
      <c r="AM69" s="37">
        <f t="shared" si="41"/>
        <v>0.29112499999999997</v>
      </c>
      <c r="AN69" s="40">
        <f t="shared" si="23"/>
        <v>0.29629166666666662</v>
      </c>
      <c r="AO69" s="39">
        <f t="shared" si="42"/>
        <v>4.9914664270114314E-3</v>
      </c>
      <c r="AP69" s="37">
        <f t="shared" si="43"/>
        <v>2.1600000000000001E-2</v>
      </c>
      <c r="AQ69" s="40">
        <f t="shared" si="44"/>
        <v>2.2499999999999998E-3</v>
      </c>
      <c r="AR69" s="39">
        <f t="shared" si="24"/>
        <v>0.37157547439559396</v>
      </c>
      <c r="AS69" s="37">
        <f t="shared" si="25"/>
        <v>0.70266666666666666</v>
      </c>
      <c r="AT69" s="40">
        <f t="shared" si="26"/>
        <v>65.410454478339219</v>
      </c>
    </row>
    <row r="70" spans="17:46" x14ac:dyDescent="0.2">
      <c r="Q70">
        <v>63</v>
      </c>
      <c r="R70" s="39">
        <f t="shared" si="0"/>
        <v>170</v>
      </c>
      <c r="S70" s="37">
        <f t="shared" si="30"/>
        <v>4.2000000000000006E-3</v>
      </c>
      <c r="T70" s="37">
        <f t="shared" si="2"/>
        <v>5</v>
      </c>
      <c r="U70" s="40">
        <f t="shared" si="31"/>
        <v>0.21969230769230771</v>
      </c>
      <c r="V70" s="39">
        <f t="shared" si="32"/>
        <v>1</v>
      </c>
      <c r="W70" s="37">
        <f t="shared" si="33"/>
        <v>0.23545700244418299</v>
      </c>
      <c r="X70" s="40">
        <f t="shared" si="34"/>
        <v>1.4270121360253512E-3</v>
      </c>
      <c r="Y70" s="39">
        <f t="shared" si="35"/>
        <v>1.1772850122209151</v>
      </c>
      <c r="Z70" s="37">
        <f t="shared" si="28"/>
        <v>1.1772850122209151</v>
      </c>
      <c r="AA70" s="37">
        <f t="shared" si="29"/>
        <v>0.33081779688531915</v>
      </c>
      <c r="AB70" s="37">
        <v>0</v>
      </c>
      <c r="AC70" s="37">
        <f t="shared" si="36"/>
        <v>3.8304145157619699E-3</v>
      </c>
      <c r="AD70" s="40">
        <f t="shared" si="19"/>
        <v>3.8304145157619699E-3</v>
      </c>
      <c r="AE70" s="39">
        <f t="shared" si="27"/>
        <v>5.17280922292759E-2</v>
      </c>
      <c r="AF70" s="37">
        <f t="shared" si="20"/>
        <v>0.32981985253955315</v>
      </c>
      <c r="AG70" s="37">
        <f t="shared" si="37"/>
        <v>1.2727392810117873E-2</v>
      </c>
      <c r="AH70" s="37">
        <f t="shared" si="38"/>
        <v>3.0765540819375367E-2</v>
      </c>
      <c r="AI70" s="40">
        <f t="shared" si="21"/>
        <v>4.349293362949324E-2</v>
      </c>
      <c r="AJ70" s="39">
        <f t="shared" si="22"/>
        <v>3.1350358926833874E-4</v>
      </c>
      <c r="AK70" s="37">
        <f t="shared" si="39"/>
        <v>2.5676440696555128E-2</v>
      </c>
      <c r="AL70" s="37">
        <f t="shared" si="40"/>
        <v>5.2500000000000012E-3</v>
      </c>
      <c r="AM70" s="37">
        <f t="shared" si="41"/>
        <v>0.29112499999999997</v>
      </c>
      <c r="AN70" s="40">
        <f t="shared" si="23"/>
        <v>0.29637499999999994</v>
      </c>
      <c r="AO70" s="39">
        <f t="shared" si="42"/>
        <v>5.1127133510729915E-3</v>
      </c>
      <c r="AP70" s="37">
        <f t="shared" si="43"/>
        <v>2.1600000000000001E-2</v>
      </c>
      <c r="AQ70" s="40">
        <f t="shared" si="44"/>
        <v>2.2499999999999998E-3</v>
      </c>
      <c r="AR70" s="39">
        <f t="shared" si="24"/>
        <v>0.37266106149632816</v>
      </c>
      <c r="AS70" s="37">
        <f t="shared" si="25"/>
        <v>0.71400000000000008</v>
      </c>
      <c r="AT70" s="40">
        <f t="shared" si="26"/>
        <v>65.70586039190772</v>
      </c>
    </row>
    <row r="71" spans="17:46" x14ac:dyDescent="0.2">
      <c r="Q71">
        <v>64</v>
      </c>
      <c r="R71" s="39">
        <f t="shared" ref="R71:R134" si="45">VOUT</f>
        <v>170</v>
      </c>
      <c r="S71" s="37">
        <f t="shared" ref="S71:S102" si="46">Q71*$O$12</f>
        <v>4.2666666666666669E-3</v>
      </c>
      <c r="T71" s="37">
        <f t="shared" ref="T71:T134" si="47">VIN_var</f>
        <v>5</v>
      </c>
      <c r="U71" s="40">
        <f t="shared" ref="U71:U102" si="48">(R71*S71)/(T71*EFF_est)</f>
        <v>0.22317948717948718</v>
      </c>
      <c r="V71" s="39">
        <f t="shared" ref="V71:V102" si="49">IF((S71*R71/T71)&lt;((T71*(1-(T71/R71)))/(2*Lm*Fsw)),1,2)</f>
        <v>1</v>
      </c>
      <c r="W71" s="37">
        <f t="shared" ref="W71:W102" si="50">CHOOSE(V71,SQRT((2*S71*Lm*Fsw*(R71-T71))/((T71)^2)),1-(T71/R71))</f>
        <v>0.23731835158706124</v>
      </c>
      <c r="X71" s="40">
        <f t="shared" ref="X71:X102" si="51">CHOOSE(V71,(Lm*W71*Fsw)/(R71-T71),1-W71)</f>
        <v>1.4382930399215832E-3</v>
      </c>
      <c r="Y71" s="39">
        <f t="shared" ref="Y71:Y102" si="52">(T71*W71)/(Lm*Fsw)</f>
        <v>1.1865917579353065</v>
      </c>
      <c r="Z71" s="37">
        <f t="shared" si="28"/>
        <v>1.1865917579353065</v>
      </c>
      <c r="AA71" s="37">
        <f t="shared" si="29"/>
        <v>0.33474834111353569</v>
      </c>
      <c r="AB71" s="37">
        <v>0</v>
      </c>
      <c r="AC71" s="37">
        <f t="shared" ref="AC71:AC102" si="53">(AA71^2)*Rdcr</f>
        <v>3.9219758157392421E-3</v>
      </c>
      <c r="AD71" s="40">
        <f t="shared" si="19"/>
        <v>3.9219758157392421E-3</v>
      </c>
      <c r="AE71" s="39">
        <f t="shared" si="27"/>
        <v>5.2964588005481567E-2</v>
      </c>
      <c r="AF71" s="37">
        <f t="shared" si="20"/>
        <v>0.3337385398954209</v>
      </c>
      <c r="AG71" s="37">
        <f t="shared" ref="AG71:AG102" si="54">(AF71^2)*RDS_on</f>
        <v>1.3031625322348712E-2</v>
      </c>
      <c r="AH71" s="37">
        <f t="shared" ref="AH71:AH102" si="55">((R71*U71)/2)*Fsw*(tr_sw+tf_sw)</f>
        <v>3.1253882737143225E-2</v>
      </c>
      <c r="AI71" s="40">
        <f t="shared" si="21"/>
        <v>4.428550805949194E-2</v>
      </c>
      <c r="AJ71" s="39">
        <f t="shared" si="22"/>
        <v>3.209975030635246E-4</v>
      </c>
      <c r="AK71" s="37">
        <f t="shared" ref="AK71:AK102" si="56">CHOOSE(V71,Z71*SQRT(X71/3),SQRT(X71*((Z71^2)+((Y71^2)/3)-(Y71*Z71))))</f>
        <v>2.5981510093459351E-2</v>
      </c>
      <c r="AL71" s="37">
        <f t="shared" ref="AL71:AL102" si="57">S71*Vd_rect</f>
        <v>5.333333333333334E-3</v>
      </c>
      <c r="AM71" s="37">
        <f t="shared" ref="AM71:AM102" si="58">CHOOSE(V71,(R71+Vd_rect)*Qrr*Fsw,(R71+Vd_rect)*Qrr*Fsw)</f>
        <v>0.29112499999999997</v>
      </c>
      <c r="AN71" s="40">
        <f t="shared" si="23"/>
        <v>0.29645833333333332</v>
      </c>
      <c r="AO71" s="39">
        <f t="shared" ref="AO71:AO102" si="59">(AF71^2)*R_cs</f>
        <v>5.2349264115417902E-3</v>
      </c>
      <c r="AP71" s="37">
        <f t="shared" ref="AP71:AP102" si="60">Qg_tot*Vcc*Fsw</f>
        <v>2.1600000000000001E-2</v>
      </c>
      <c r="AQ71" s="40">
        <f t="shared" ref="AQ71:AQ102" si="61">IQ*T71</f>
        <v>2.2499999999999998E-3</v>
      </c>
      <c r="AR71" s="39">
        <f t="shared" si="24"/>
        <v>0.37375074362010624</v>
      </c>
      <c r="AS71" s="37">
        <f t="shared" si="25"/>
        <v>0.72533333333333339</v>
      </c>
      <c r="AT71" s="40">
        <f t="shared" si="26"/>
        <v>65.994344613188375</v>
      </c>
    </row>
    <row r="72" spans="17:46" x14ac:dyDescent="0.2">
      <c r="Q72">
        <v>65</v>
      </c>
      <c r="R72" s="39">
        <f t="shared" si="45"/>
        <v>170</v>
      </c>
      <c r="S72" s="37">
        <f t="shared" si="46"/>
        <v>4.3333333333333331E-3</v>
      </c>
      <c r="T72" s="37">
        <f t="shared" si="47"/>
        <v>5</v>
      </c>
      <c r="U72" s="40">
        <f t="shared" si="48"/>
        <v>0.22666666666666663</v>
      </c>
      <c r="V72" s="39">
        <f t="shared" si="49"/>
        <v>1</v>
      </c>
      <c r="W72" s="37">
        <f t="shared" si="50"/>
        <v>0.23916521486202794</v>
      </c>
      <c r="X72" s="40">
        <f t="shared" si="51"/>
        <v>1.4494861506789572E-3</v>
      </c>
      <c r="Y72" s="39">
        <f t="shared" si="52"/>
        <v>1.1958260743101399</v>
      </c>
      <c r="Z72" s="37">
        <f t="shared" si="28"/>
        <v>1.1958260743101399</v>
      </c>
      <c r="AA72" s="37">
        <f t="shared" si="29"/>
        <v>0.33866356090185379</v>
      </c>
      <c r="AB72" s="37">
        <v>0</v>
      </c>
      <c r="AC72" s="37">
        <f t="shared" si="53"/>
        <v>4.014255261895327E-3</v>
      </c>
      <c r="AD72" s="40">
        <f t="shared" ref="AD72:AD135" si="62">AB72+AC72</f>
        <v>4.014255261895327E-3</v>
      </c>
      <c r="AE72" s="39">
        <f t="shared" si="27"/>
        <v>5.4210782035392986E-2</v>
      </c>
      <c r="AF72" s="37">
        <f t="shared" ref="AF72:AF135" si="63">CHOOSE(V72,Z72*SQRT(W72/3),SQRT(W72*((Z72^2)+((Y72^2)/3)-(Z72*Y72))))</f>
        <v>0.33764194903906714</v>
      </c>
      <c r="AG72" s="37">
        <f t="shared" si="54"/>
        <v>1.3338244032855303E-2</v>
      </c>
      <c r="AH72" s="37">
        <f t="shared" si="55"/>
        <v>3.1742224654911083E-2</v>
      </c>
      <c r="AI72" s="40">
        <f t="shared" ref="AI72:AI135" si="64">AG72+AH72</f>
        <v>4.5080468687766384E-2</v>
      </c>
      <c r="AJ72" s="39">
        <f t="shared" ref="AJ72:AJ135" si="65">X72*U72</f>
        <v>3.2855019415389689E-4</v>
      </c>
      <c r="AK72" s="37">
        <f t="shared" si="56"/>
        <v>2.6285390083155249E-2</v>
      </c>
      <c r="AL72" s="37">
        <f t="shared" si="57"/>
        <v>5.4166666666666669E-3</v>
      </c>
      <c r="AM72" s="37">
        <f t="shared" si="58"/>
        <v>0.29112499999999997</v>
      </c>
      <c r="AN72" s="40">
        <f t="shared" ref="AN72:AN135" si="66">AL72+AM72</f>
        <v>0.29654166666666665</v>
      </c>
      <c r="AO72" s="39">
        <f t="shared" si="59"/>
        <v>5.3580980302923003E-3</v>
      </c>
      <c r="AP72" s="37">
        <f t="shared" si="60"/>
        <v>2.1600000000000001E-2</v>
      </c>
      <c r="AQ72" s="40">
        <f t="shared" si="61"/>
        <v>2.2499999999999998E-3</v>
      </c>
      <c r="AR72" s="39">
        <f t="shared" ref="AR72:AR135" si="67">AO72+AN72+AI72+AD72+AP72+AQ72</f>
        <v>0.37484448864662062</v>
      </c>
      <c r="AS72" s="37">
        <f t="shared" ref="AS72:AS135" si="68">R72*S72</f>
        <v>0.73666666666666658</v>
      </c>
      <c r="AT72" s="40">
        <f t="shared" ref="AT72:AT135" si="69">(AS72/(AS72+AR72))*100</f>
        <v>66.276137953742079</v>
      </c>
    </row>
    <row r="73" spans="17:46" x14ac:dyDescent="0.2">
      <c r="Q73">
        <v>66</v>
      </c>
      <c r="R73" s="39">
        <f t="shared" si="45"/>
        <v>170</v>
      </c>
      <c r="S73" s="37">
        <f t="shared" si="46"/>
        <v>4.4000000000000003E-3</v>
      </c>
      <c r="T73" s="37">
        <f t="shared" si="47"/>
        <v>5</v>
      </c>
      <c r="U73" s="40">
        <f t="shared" si="48"/>
        <v>0.23015384615384615</v>
      </c>
      <c r="V73" s="39">
        <f t="shared" si="49"/>
        <v>1</v>
      </c>
      <c r="W73" s="37">
        <f t="shared" si="50"/>
        <v>0.24099792530227307</v>
      </c>
      <c r="X73" s="40">
        <f t="shared" si="51"/>
        <v>1.4605934866804427E-3</v>
      </c>
      <c r="Y73" s="39">
        <f t="shared" si="52"/>
        <v>1.2049896265113655</v>
      </c>
      <c r="Z73" s="37">
        <f t="shared" si="28"/>
        <v>1.2049896265113655</v>
      </c>
      <c r="AA73" s="37">
        <f t="shared" si="29"/>
        <v>0.34256375040837805</v>
      </c>
      <c r="AB73" s="37">
        <v>0</v>
      </c>
      <c r="AC73" s="37">
        <f t="shared" si="53"/>
        <v>4.1072473082848738E-3</v>
      </c>
      <c r="AD73" s="40">
        <f t="shared" si="62"/>
        <v>4.1072473082848738E-3</v>
      </c>
      <c r="AE73" s="39">
        <f t="shared" ref="AE73:AE136" si="70">U73*W73</f>
        <v>5.5466599423415461E-2</v>
      </c>
      <c r="AF73" s="37">
        <f t="shared" si="63"/>
        <v>0.34153037324123925</v>
      </c>
      <c r="AG73" s="37">
        <f t="shared" si="54"/>
        <v>1.3647230514017124E-2</v>
      </c>
      <c r="AH73" s="37">
        <f t="shared" si="55"/>
        <v>3.2230566572678955E-2</v>
      </c>
      <c r="AI73" s="40">
        <f t="shared" si="64"/>
        <v>4.5877797086696079E-2</v>
      </c>
      <c r="AJ73" s="39">
        <f t="shared" si="65"/>
        <v>3.3616120862676037E-4</v>
      </c>
      <c r="AK73" s="37">
        <f t="shared" si="56"/>
        <v>2.6588103496739561E-2</v>
      </c>
      <c r="AL73" s="37">
        <f t="shared" si="57"/>
        <v>5.5000000000000005E-3</v>
      </c>
      <c r="AM73" s="37">
        <f t="shared" si="58"/>
        <v>0.29112499999999997</v>
      </c>
      <c r="AN73" s="40">
        <f t="shared" si="66"/>
        <v>0.29662499999999997</v>
      </c>
      <c r="AO73" s="39">
        <f t="shared" si="59"/>
        <v>5.4822208047761089E-3</v>
      </c>
      <c r="AP73" s="37">
        <f t="shared" si="60"/>
        <v>2.1600000000000001E-2</v>
      </c>
      <c r="AQ73" s="40">
        <f t="shared" si="61"/>
        <v>2.2499999999999998E-3</v>
      </c>
      <c r="AR73" s="39">
        <f t="shared" si="67"/>
        <v>0.37594226519975704</v>
      </c>
      <c r="AS73" s="37">
        <f t="shared" si="68"/>
        <v>0.748</v>
      </c>
      <c r="AT73" s="40">
        <f t="shared" si="69"/>
        <v>66.551461152415939</v>
      </c>
    </row>
    <row r="74" spans="17:46" x14ac:dyDescent="0.2">
      <c r="Q74">
        <v>67</v>
      </c>
      <c r="R74" s="39">
        <f t="shared" si="45"/>
        <v>170</v>
      </c>
      <c r="S74" s="37">
        <f t="shared" si="46"/>
        <v>4.4666666666666665E-3</v>
      </c>
      <c r="T74" s="37">
        <f t="shared" si="47"/>
        <v>5</v>
      </c>
      <c r="U74" s="40">
        <f t="shared" si="48"/>
        <v>0.23364102564102562</v>
      </c>
      <c r="V74" s="39">
        <f t="shared" si="49"/>
        <v>1</v>
      </c>
      <c r="W74" s="37">
        <f t="shared" si="50"/>
        <v>0.24281680337241901</v>
      </c>
      <c r="X74" s="40">
        <f t="shared" si="51"/>
        <v>1.4716169901358726E-3</v>
      </c>
      <c r="Y74" s="39">
        <f t="shared" si="52"/>
        <v>1.2140840168620952</v>
      </c>
      <c r="Z74" s="37">
        <f t="shared" si="28"/>
        <v>1.2140840168620952</v>
      </c>
      <c r="AA74" s="37">
        <f t="shared" si="29"/>
        <v>0.34644919378094768</v>
      </c>
      <c r="AB74" s="37">
        <v>0</v>
      </c>
      <c r="AC74" s="37">
        <f t="shared" si="53"/>
        <v>4.2009465355014024E-3</v>
      </c>
      <c r="AD74" s="40">
        <f t="shared" si="62"/>
        <v>4.2009465355014024E-3</v>
      </c>
      <c r="AE74" s="39">
        <f t="shared" si="70"/>
        <v>5.6731966982807226E-2</v>
      </c>
      <c r="AF74" s="37">
        <f t="shared" si="63"/>
        <v>0.34540409579261683</v>
      </c>
      <c r="AG74" s="37">
        <f t="shared" si="54"/>
        <v>1.3958566758666881E-2</v>
      </c>
      <c r="AH74" s="37">
        <f t="shared" si="55"/>
        <v>3.2718908490446813E-2</v>
      </c>
      <c r="AI74" s="40">
        <f t="shared" si="64"/>
        <v>4.6677475249113698E-2</v>
      </c>
      <c r="AJ74" s="39">
        <f t="shared" si="65"/>
        <v>3.4383010292610437E-4</v>
      </c>
      <c r="AK74" s="37">
        <f t="shared" si="56"/>
        <v>2.6889672388361773E-2</v>
      </c>
      <c r="AL74" s="37">
        <f t="shared" si="57"/>
        <v>5.5833333333333334E-3</v>
      </c>
      <c r="AM74" s="37">
        <f t="shared" si="58"/>
        <v>0.29112499999999997</v>
      </c>
      <c r="AN74" s="40">
        <f t="shared" si="66"/>
        <v>0.2967083333333333</v>
      </c>
      <c r="AO74" s="39">
        <f t="shared" si="59"/>
        <v>5.6072875013448154E-3</v>
      </c>
      <c r="AP74" s="37">
        <f t="shared" si="60"/>
        <v>2.1600000000000001E-2</v>
      </c>
      <c r="AQ74" s="40">
        <f t="shared" si="61"/>
        <v>2.2499999999999998E-3</v>
      </c>
      <c r="AR74" s="39">
        <f t="shared" si="67"/>
        <v>0.3770440426192932</v>
      </c>
      <c r="AS74" s="37">
        <f t="shared" si="68"/>
        <v>0.7593333333333333</v>
      </c>
      <c r="AT74" s="40">
        <f t="shared" si="69"/>
        <v>66.820525417164632</v>
      </c>
    </row>
    <row r="75" spans="17:46" x14ac:dyDescent="0.2">
      <c r="Q75">
        <v>68</v>
      </c>
      <c r="R75" s="39">
        <f t="shared" si="45"/>
        <v>170</v>
      </c>
      <c r="S75" s="37">
        <f t="shared" si="46"/>
        <v>4.5333333333333337E-3</v>
      </c>
      <c r="T75" s="37">
        <f t="shared" si="47"/>
        <v>5</v>
      </c>
      <c r="U75" s="40">
        <f t="shared" si="48"/>
        <v>0.23712820512820515</v>
      </c>
      <c r="V75" s="39">
        <f t="shared" si="49"/>
        <v>1</v>
      </c>
      <c r="W75" s="37">
        <f t="shared" si="50"/>
        <v>0.24462215762273049</v>
      </c>
      <c r="X75" s="40">
        <f t="shared" si="51"/>
        <v>1.4825585310468512E-3</v>
      </c>
      <c r="Y75" s="39">
        <f t="shared" si="52"/>
        <v>1.2231107881136527</v>
      </c>
      <c r="Z75" s="37">
        <f t="shared" si="28"/>
        <v>1.2231107881136527</v>
      </c>
      <c r="AA75" s="37">
        <f t="shared" si="29"/>
        <v>0.35032016564187446</v>
      </c>
      <c r="AB75" s="37">
        <v>0</v>
      </c>
      <c r="AC75" s="37">
        <f t="shared" si="53"/>
        <v>4.2953476459372635E-3</v>
      </c>
      <c r="AD75" s="40">
        <f t="shared" si="62"/>
        <v>4.2953476459372635E-3</v>
      </c>
      <c r="AE75" s="39">
        <f t="shared" si="70"/>
        <v>5.800681317166697E-2</v>
      </c>
      <c r="AF75" s="37">
        <f t="shared" si="63"/>
        <v>0.34926339048708638</v>
      </c>
      <c r="AG75" s="37">
        <f t="shared" si="54"/>
        <v>1.4272235164340593E-2</v>
      </c>
      <c r="AH75" s="37">
        <f t="shared" si="55"/>
        <v>3.3207250408214678E-2</v>
      </c>
      <c r="AI75" s="40">
        <f t="shared" si="64"/>
        <v>4.7479485572555269E-2</v>
      </c>
      <c r="AJ75" s="39">
        <f t="shared" si="65"/>
        <v>3.5155644346464824E-4</v>
      </c>
      <c r="AK75" s="37">
        <f t="shared" si="56"/>
        <v>2.7190118072847047E-2</v>
      </c>
      <c r="AL75" s="37">
        <f t="shared" si="57"/>
        <v>5.6666666666666671E-3</v>
      </c>
      <c r="AM75" s="37">
        <f t="shared" si="58"/>
        <v>0.29112499999999997</v>
      </c>
      <c r="AN75" s="40">
        <f t="shared" si="66"/>
        <v>0.29679166666666662</v>
      </c>
      <c r="AO75" s="39">
        <f t="shared" si="59"/>
        <v>5.7332910489231439E-3</v>
      </c>
      <c r="AP75" s="37">
        <f t="shared" si="60"/>
        <v>2.1600000000000001E-2</v>
      </c>
      <c r="AQ75" s="40">
        <f t="shared" si="61"/>
        <v>2.2499999999999998E-3</v>
      </c>
      <c r="AR75" s="39">
        <f t="shared" si="67"/>
        <v>0.37814979093408224</v>
      </c>
      <c r="AS75" s="37">
        <f t="shared" si="68"/>
        <v>0.77066666666666672</v>
      </c>
      <c r="AT75" s="40">
        <f t="shared" si="69"/>
        <v>67.083532932333597</v>
      </c>
    </row>
    <row r="76" spans="17:46" x14ac:dyDescent="0.2">
      <c r="Q76">
        <v>69</v>
      </c>
      <c r="R76" s="39">
        <f t="shared" si="45"/>
        <v>170</v>
      </c>
      <c r="S76" s="37">
        <f t="shared" si="46"/>
        <v>4.5999999999999999E-3</v>
      </c>
      <c r="T76" s="37">
        <f t="shared" si="47"/>
        <v>5</v>
      </c>
      <c r="U76" s="40">
        <f t="shared" si="48"/>
        <v>0.24061538461538462</v>
      </c>
      <c r="V76" s="39">
        <f t="shared" si="49"/>
        <v>1</v>
      </c>
      <c r="W76" s="37">
        <f t="shared" si="50"/>
        <v>0.24641428530018303</v>
      </c>
      <c r="X76" s="40">
        <f t="shared" si="51"/>
        <v>1.4934199109102001E-3</v>
      </c>
      <c r="Y76" s="39">
        <f t="shared" si="52"/>
        <v>1.2320714265009154</v>
      </c>
      <c r="Z76" s="37">
        <f t="shared" si="28"/>
        <v>1.2320714265009154</v>
      </c>
      <c r="AA76" s="37">
        <f t="shared" si="29"/>
        <v>0.35417693154243296</v>
      </c>
      <c r="AB76" s="37">
        <v>0</v>
      </c>
      <c r="AC76" s="37">
        <f t="shared" si="53"/>
        <v>4.3904454592884638E-3</v>
      </c>
      <c r="AD76" s="40">
        <f t="shared" si="62"/>
        <v>4.3904454592884638E-3</v>
      </c>
      <c r="AE76" s="39">
        <f t="shared" si="70"/>
        <v>5.9291068032228653E-2</v>
      </c>
      <c r="AF76" s="37">
        <f t="shared" si="63"/>
        <v>0.3531085220748611</v>
      </c>
      <c r="AG76" s="37">
        <f t="shared" si="54"/>
        <v>1.4588218518341443E-2</v>
      </c>
      <c r="AH76" s="37">
        <f t="shared" si="55"/>
        <v>3.3695592325982543E-2</v>
      </c>
      <c r="AI76" s="40">
        <f t="shared" si="64"/>
        <v>4.8283810844323982E-2</v>
      </c>
      <c r="AJ76" s="39">
        <f t="shared" si="65"/>
        <v>3.5933980625593124E-4</v>
      </c>
      <c r="AK76" s="37">
        <f t="shared" si="56"/>
        <v>2.7489461160971517E-2</v>
      </c>
      <c r="AL76" s="37">
        <f t="shared" si="57"/>
        <v>5.7499999999999999E-3</v>
      </c>
      <c r="AM76" s="37">
        <f t="shared" si="58"/>
        <v>0.29112499999999997</v>
      </c>
      <c r="AN76" s="40">
        <f t="shared" si="66"/>
        <v>0.29687499999999994</v>
      </c>
      <c r="AO76" s="39">
        <f t="shared" si="59"/>
        <v>5.8602245330089554E-3</v>
      </c>
      <c r="AP76" s="37">
        <f t="shared" si="60"/>
        <v>2.1600000000000001E-2</v>
      </c>
      <c r="AQ76" s="40">
        <f t="shared" si="61"/>
        <v>2.2499999999999998E-3</v>
      </c>
      <c r="AR76" s="39">
        <f t="shared" si="67"/>
        <v>0.37925948083662131</v>
      </c>
      <c r="AS76" s="37">
        <f t="shared" si="68"/>
        <v>0.78200000000000003</v>
      </c>
      <c r="AT76" s="40">
        <f t="shared" si="69"/>
        <v>67.340677333942068</v>
      </c>
    </row>
    <row r="77" spans="17:46" x14ac:dyDescent="0.2">
      <c r="Q77">
        <v>70</v>
      </c>
      <c r="R77" s="39">
        <f t="shared" si="45"/>
        <v>170</v>
      </c>
      <c r="S77" s="37">
        <f t="shared" si="46"/>
        <v>4.6666666666666671E-3</v>
      </c>
      <c r="T77" s="37">
        <f t="shared" si="47"/>
        <v>5</v>
      </c>
      <c r="U77" s="40">
        <f t="shared" si="48"/>
        <v>0.24410256410256415</v>
      </c>
      <c r="V77" s="39">
        <f t="shared" si="49"/>
        <v>1</v>
      </c>
      <c r="W77" s="37">
        <f t="shared" si="50"/>
        <v>0.24819347291981714</v>
      </c>
      <c r="X77" s="40">
        <f t="shared" si="51"/>
        <v>1.5042028661807097E-3</v>
      </c>
      <c r="Y77" s="39">
        <f t="shared" si="52"/>
        <v>1.240967364599086</v>
      </c>
      <c r="Z77" s="37">
        <f t="shared" si="28"/>
        <v>1.240967364599086</v>
      </c>
      <c r="AA77" s="37">
        <f t="shared" si="29"/>
        <v>0.3580197483894042</v>
      </c>
      <c r="AB77" s="37">
        <v>0</v>
      </c>
      <c r="AC77" s="37">
        <f t="shared" si="53"/>
        <v>4.4862349082884301E-3</v>
      </c>
      <c r="AD77" s="40">
        <f t="shared" si="62"/>
        <v>4.4862349082884301E-3</v>
      </c>
      <c r="AE77" s="39">
        <f t="shared" si="70"/>
        <v>6.0584663133247681E-2</v>
      </c>
      <c r="AF77" s="37">
        <f t="shared" si="63"/>
        <v>0.35693974668773748</v>
      </c>
      <c r="AG77" s="37">
        <f t="shared" si="54"/>
        <v>1.4906499983564225E-2</v>
      </c>
      <c r="AH77" s="37">
        <f t="shared" si="55"/>
        <v>3.4183934243750408E-2</v>
      </c>
      <c r="AI77" s="40">
        <f t="shared" si="64"/>
        <v>4.9090434227314635E-2</v>
      </c>
      <c r="AJ77" s="39">
        <f t="shared" si="65"/>
        <v>3.6717977656513742E-4</v>
      </c>
      <c r="AK77" s="37">
        <f t="shared" si="56"/>
        <v>2.7787721592568506E-2</v>
      </c>
      <c r="AL77" s="37">
        <f t="shared" si="57"/>
        <v>5.8333333333333336E-3</v>
      </c>
      <c r="AM77" s="37">
        <f t="shared" si="58"/>
        <v>0.29112499999999997</v>
      </c>
      <c r="AN77" s="40">
        <f t="shared" si="66"/>
        <v>0.29695833333333332</v>
      </c>
      <c r="AO77" s="39">
        <f t="shared" si="59"/>
        <v>5.9880811899787906E-3</v>
      </c>
      <c r="AP77" s="37">
        <f t="shared" si="60"/>
        <v>2.1600000000000001E-2</v>
      </c>
      <c r="AQ77" s="40">
        <f t="shared" si="61"/>
        <v>2.2499999999999998E-3</v>
      </c>
      <c r="AR77" s="39">
        <f t="shared" si="67"/>
        <v>0.38037308365891515</v>
      </c>
      <c r="AS77" s="37">
        <f t="shared" si="68"/>
        <v>0.79333333333333345</v>
      </c>
      <c r="AT77" s="40">
        <f t="shared" si="69"/>
        <v>67.59214415529371</v>
      </c>
    </row>
    <row r="78" spans="17:46" x14ac:dyDescent="0.2">
      <c r="Q78">
        <v>71</v>
      </c>
      <c r="R78" s="39">
        <f t="shared" si="45"/>
        <v>170</v>
      </c>
      <c r="S78" s="37">
        <f t="shared" si="46"/>
        <v>4.7333333333333333E-3</v>
      </c>
      <c r="T78" s="37">
        <f t="shared" si="47"/>
        <v>5</v>
      </c>
      <c r="U78" s="40">
        <f t="shared" si="48"/>
        <v>0.24758974358974359</v>
      </c>
      <c r="V78" s="39">
        <f t="shared" si="49"/>
        <v>1</v>
      </c>
      <c r="W78" s="37">
        <f t="shared" si="50"/>
        <v>0.24995999679948788</v>
      </c>
      <c r="X78" s="40">
        <f t="shared" si="51"/>
        <v>1.5149090715120476E-3</v>
      </c>
      <c r="Y78" s="39">
        <f t="shared" si="52"/>
        <v>1.2497999839974396</v>
      </c>
      <c r="Z78" s="37">
        <f t="shared" si="28"/>
        <v>1.2497999839974396</v>
      </c>
      <c r="AA78" s="37">
        <f t="shared" si="29"/>
        <v>0.36184886484576306</v>
      </c>
      <c r="AB78" s="37">
        <v>0</v>
      </c>
      <c r="AC78" s="37">
        <f t="shared" si="53"/>
        <v>4.582711034655856E-3</v>
      </c>
      <c r="AD78" s="40">
        <f t="shared" si="62"/>
        <v>4.582711034655856E-3</v>
      </c>
      <c r="AE78" s="39">
        <f t="shared" si="70"/>
        <v>6.188753151527833E-2</v>
      </c>
      <c r="AF78" s="37">
        <f t="shared" si="63"/>
        <v>0.3607573122385741</v>
      </c>
      <c r="AG78" s="37">
        <f t="shared" si="54"/>
        <v>1.5227063085031207E-2</v>
      </c>
      <c r="AH78" s="37">
        <f t="shared" si="55"/>
        <v>3.4672276161518266E-2</v>
      </c>
      <c r="AI78" s="40">
        <f t="shared" si="64"/>
        <v>4.9899339246549476E-2</v>
      </c>
      <c r="AJ78" s="39">
        <f t="shared" si="65"/>
        <v>3.750759485774444E-4</v>
      </c>
      <c r="AK78" s="37">
        <f t="shared" si="56"/>
        <v>2.808491866762788E-2</v>
      </c>
      <c r="AL78" s="37">
        <f t="shared" si="57"/>
        <v>5.9166666666666664E-3</v>
      </c>
      <c r="AM78" s="37">
        <f t="shared" si="58"/>
        <v>0.29112499999999997</v>
      </c>
      <c r="AN78" s="40">
        <f t="shared" si="66"/>
        <v>0.29704166666666665</v>
      </c>
      <c r="AO78" s="39">
        <f t="shared" si="59"/>
        <v>6.1168544016792026E-3</v>
      </c>
      <c r="AP78" s="37">
        <f t="shared" si="60"/>
        <v>2.1600000000000001E-2</v>
      </c>
      <c r="AQ78" s="40">
        <f t="shared" si="61"/>
        <v>2.2499999999999998E-3</v>
      </c>
      <c r="AR78" s="39">
        <f t="shared" si="67"/>
        <v>0.38149057134955117</v>
      </c>
      <c r="AS78" s="37">
        <f t="shared" si="68"/>
        <v>0.80466666666666664</v>
      </c>
      <c r="AT78" s="40">
        <f t="shared" si="69"/>
        <v>67.838111245051039</v>
      </c>
    </row>
    <row r="79" spans="17:46" x14ac:dyDescent="0.2">
      <c r="Q79">
        <v>72</v>
      </c>
      <c r="R79" s="39">
        <f t="shared" si="45"/>
        <v>170</v>
      </c>
      <c r="S79" s="37">
        <f t="shared" si="46"/>
        <v>4.8000000000000004E-3</v>
      </c>
      <c r="T79" s="37">
        <f t="shared" si="47"/>
        <v>5</v>
      </c>
      <c r="U79" s="40">
        <f t="shared" si="48"/>
        <v>0.25107692307692309</v>
      </c>
      <c r="V79" s="39">
        <f t="shared" si="49"/>
        <v>1</v>
      </c>
      <c r="W79" s="37">
        <f t="shared" si="50"/>
        <v>0.25171412356083639</v>
      </c>
      <c r="X79" s="40">
        <f t="shared" si="51"/>
        <v>1.5255401427929477E-3</v>
      </c>
      <c r="Y79" s="39">
        <f t="shared" si="52"/>
        <v>1.2585706178041822</v>
      </c>
      <c r="Z79" s="37">
        <f t="shared" si="28"/>
        <v>1.2585706178041822</v>
      </c>
      <c r="AA79" s="37">
        <f t="shared" si="29"/>
        <v>0.36566452170742014</v>
      </c>
      <c r="AB79" s="37">
        <v>0</v>
      </c>
      <c r="AC79" s="37">
        <f t="shared" si="53"/>
        <v>4.6798689852430722E-3</v>
      </c>
      <c r="AD79" s="40">
        <f t="shared" si="62"/>
        <v>4.6798689852430722E-3</v>
      </c>
      <c r="AE79" s="39">
        <f t="shared" si="70"/>
        <v>6.3199607638659228E-2</v>
      </c>
      <c r="AF79" s="37">
        <f t="shared" si="63"/>
        <v>0.36456145879689711</v>
      </c>
      <c r="AG79" s="37">
        <f t="shared" si="54"/>
        <v>1.5549891697094241E-2</v>
      </c>
      <c r="AH79" s="37">
        <f t="shared" si="55"/>
        <v>3.5160618079286138E-2</v>
      </c>
      <c r="AI79" s="40">
        <f t="shared" si="64"/>
        <v>5.0710509776380377E-2</v>
      </c>
      <c r="AJ79" s="39">
        <f t="shared" si="65"/>
        <v>3.8302792508278319E-4</v>
      </c>
      <c r="AK79" s="37">
        <f t="shared" si="56"/>
        <v>2.8381071075536893E-2</v>
      </c>
      <c r="AL79" s="37">
        <f t="shared" si="57"/>
        <v>6.0000000000000001E-3</v>
      </c>
      <c r="AM79" s="37">
        <f t="shared" si="58"/>
        <v>0.29112499999999997</v>
      </c>
      <c r="AN79" s="40">
        <f t="shared" si="66"/>
        <v>0.29712499999999997</v>
      </c>
      <c r="AO79" s="39">
        <f t="shared" si="59"/>
        <v>6.2465376902857209E-3</v>
      </c>
      <c r="AP79" s="37">
        <f t="shared" si="60"/>
        <v>2.1600000000000001E-2</v>
      </c>
      <c r="AQ79" s="40">
        <f t="shared" si="61"/>
        <v>2.2499999999999998E-3</v>
      </c>
      <c r="AR79" s="39">
        <f t="shared" si="67"/>
        <v>0.38261191645190912</v>
      </c>
      <c r="AS79" s="37">
        <f t="shared" si="68"/>
        <v>0.81600000000000006</v>
      </c>
      <c r="AT79" s="40">
        <f t="shared" si="69"/>
        <v>68.078749159736034</v>
      </c>
    </row>
    <row r="80" spans="17:46" x14ac:dyDescent="0.2">
      <c r="Q80">
        <v>73</v>
      </c>
      <c r="R80" s="39">
        <f t="shared" si="45"/>
        <v>170</v>
      </c>
      <c r="S80" s="37">
        <f t="shared" si="46"/>
        <v>4.8666666666666667E-3</v>
      </c>
      <c r="T80" s="37">
        <f t="shared" si="47"/>
        <v>5</v>
      </c>
      <c r="U80" s="40">
        <f t="shared" si="48"/>
        <v>0.25456410256410256</v>
      </c>
      <c r="V80" s="39">
        <f t="shared" si="49"/>
        <v>1</v>
      </c>
      <c r="W80" s="37">
        <f t="shared" si="50"/>
        <v>0.25345611059905421</v>
      </c>
      <c r="X80" s="40">
        <f t="shared" si="51"/>
        <v>1.536097639994268E-3</v>
      </c>
      <c r="Y80" s="39">
        <f t="shared" si="52"/>
        <v>1.2672805529952713</v>
      </c>
      <c r="Z80" s="37">
        <f t="shared" ref="Z80:Z143" si="71">CHOOSE(V80,Y80,U80+(0.5*Y80))</f>
        <v>1.2672805529952713</v>
      </c>
      <c r="AA80" s="37">
        <f t="shared" ref="AA80:AA143" si="72">CHOOSE(V80,Z80*SQRT((W80+X80)/3),SQRT((U80^2)+((Y80^2)/12)))</f>
        <v>0.36946695225775922</v>
      </c>
      <c r="AB80" s="37">
        <v>0</v>
      </c>
      <c r="AC80" s="37">
        <f t="shared" si="53"/>
        <v>4.777704008372307E-3</v>
      </c>
      <c r="AD80" s="40">
        <f t="shared" si="62"/>
        <v>4.777704008372307E-3</v>
      </c>
      <c r="AE80" s="39">
        <f t="shared" si="70"/>
        <v>6.4520827334036163E-2</v>
      </c>
      <c r="AF80" s="37">
        <f t="shared" si="63"/>
        <v>0.36835241894236792</v>
      </c>
      <c r="AG80" s="37">
        <f t="shared" si="54"/>
        <v>1.5874970031261166E-2</v>
      </c>
      <c r="AH80" s="37">
        <f t="shared" si="55"/>
        <v>3.5648959997053989E-2</v>
      </c>
      <c r="AI80" s="40">
        <f t="shared" si="64"/>
        <v>5.1523930028315151E-2</v>
      </c>
      <c r="AJ80" s="39">
        <f t="shared" si="65"/>
        <v>3.9103531717597675E-4</v>
      </c>
      <c r="AK80" s="37">
        <f t="shared" si="56"/>
        <v>2.8676196922597645E-2</v>
      </c>
      <c r="AL80" s="37">
        <f t="shared" si="57"/>
        <v>6.083333333333333E-3</v>
      </c>
      <c r="AM80" s="37">
        <f t="shared" si="58"/>
        <v>0.29112499999999997</v>
      </c>
      <c r="AN80" s="40">
        <f t="shared" si="66"/>
        <v>0.2972083333333333</v>
      </c>
      <c r="AO80" s="39">
        <f t="shared" si="59"/>
        <v>6.3771247134126047E-3</v>
      </c>
      <c r="AP80" s="37">
        <f t="shared" si="60"/>
        <v>2.1600000000000001E-2</v>
      </c>
      <c r="AQ80" s="40">
        <f t="shared" si="61"/>
        <v>2.2499999999999998E-3</v>
      </c>
      <c r="AR80" s="39">
        <f t="shared" si="67"/>
        <v>0.38373709208343337</v>
      </c>
      <c r="AS80" s="37">
        <f t="shared" si="68"/>
        <v>0.82733333333333337</v>
      </c>
      <c r="AT80" s="40">
        <f t="shared" si="69"/>
        <v>68.314221532461445</v>
      </c>
    </row>
    <row r="81" spans="17:46" x14ac:dyDescent="0.2">
      <c r="Q81">
        <v>74</v>
      </c>
      <c r="R81" s="39">
        <f t="shared" si="45"/>
        <v>170</v>
      </c>
      <c r="S81" s="37">
        <f t="shared" si="46"/>
        <v>4.9333333333333338E-3</v>
      </c>
      <c r="T81" s="37">
        <f t="shared" si="47"/>
        <v>5</v>
      </c>
      <c r="U81" s="40">
        <f t="shared" si="48"/>
        <v>0.25805128205128208</v>
      </c>
      <c r="V81" s="39">
        <f t="shared" si="49"/>
        <v>1</v>
      </c>
      <c r="W81" s="37">
        <f t="shared" si="50"/>
        <v>0.25518620652378526</v>
      </c>
      <c r="X81" s="40">
        <f t="shared" si="51"/>
        <v>1.5465830698411227E-3</v>
      </c>
      <c r="Y81" s="39">
        <f t="shared" si="52"/>
        <v>1.2759310326189266</v>
      </c>
      <c r="Z81" s="37">
        <f t="shared" si="71"/>
        <v>1.2759310326189266</v>
      </c>
      <c r="AA81" s="37">
        <f t="shared" si="72"/>
        <v>0.37325638260156774</v>
      </c>
      <c r="AB81" s="37">
        <v>0</v>
      </c>
      <c r="AC81" s="37">
        <f t="shared" si="53"/>
        <v>4.8762114503482779E-3</v>
      </c>
      <c r="AD81" s="40">
        <f t="shared" si="62"/>
        <v>4.8762114503482779E-3</v>
      </c>
      <c r="AE81" s="39">
        <f t="shared" si="70"/>
        <v>6.5851127755266026E-2</v>
      </c>
      <c r="AF81" s="37">
        <f t="shared" si="63"/>
        <v>0.37213041809770697</v>
      </c>
      <c r="AG81" s="37">
        <f t="shared" si="54"/>
        <v>1.6202282624608183E-2</v>
      </c>
      <c r="AH81" s="37">
        <f t="shared" si="55"/>
        <v>3.6137301914821854E-2</v>
      </c>
      <c r="AI81" s="40">
        <f t="shared" si="64"/>
        <v>5.2339584539430037E-2</v>
      </c>
      <c r="AJ81" s="39">
        <f t="shared" si="65"/>
        <v>3.9909774397130926E-4</v>
      </c>
      <c r="AK81" s="37">
        <f t="shared" si="56"/>
        <v>2.8970313757945097E-2</v>
      </c>
      <c r="AL81" s="37">
        <f t="shared" si="57"/>
        <v>6.1666666666666675E-3</v>
      </c>
      <c r="AM81" s="37">
        <f t="shared" si="58"/>
        <v>0.29112499999999997</v>
      </c>
      <c r="AN81" s="40">
        <f t="shared" si="66"/>
        <v>0.29729166666666662</v>
      </c>
      <c r="AO81" s="39">
        <f t="shared" si="59"/>
        <v>6.5086092594579875E-3</v>
      </c>
      <c r="AP81" s="37">
        <f t="shared" si="60"/>
        <v>2.1600000000000001E-2</v>
      </c>
      <c r="AQ81" s="40">
        <f t="shared" si="61"/>
        <v>2.2499999999999998E-3</v>
      </c>
      <c r="AR81" s="39">
        <f t="shared" si="67"/>
        <v>0.38486607191590294</v>
      </c>
      <c r="AS81" s="37">
        <f t="shared" si="68"/>
        <v>0.83866666666666678</v>
      </c>
      <c r="AT81" s="40">
        <f t="shared" si="69"/>
        <v>68.544685419553204</v>
      </c>
    </row>
    <row r="82" spans="17:46" x14ac:dyDescent="0.2">
      <c r="Q82">
        <v>75</v>
      </c>
      <c r="R82" s="39">
        <f t="shared" si="45"/>
        <v>170</v>
      </c>
      <c r="S82" s="37">
        <f t="shared" si="46"/>
        <v>5.0000000000000001E-3</v>
      </c>
      <c r="T82" s="37">
        <f t="shared" si="47"/>
        <v>5</v>
      </c>
      <c r="U82" s="40">
        <f t="shared" si="48"/>
        <v>0.26153846153846155</v>
      </c>
      <c r="V82" s="39">
        <f t="shared" si="49"/>
        <v>1</v>
      </c>
      <c r="W82" s="37">
        <f t="shared" si="50"/>
        <v>0.25690465157330261</v>
      </c>
      <c r="X82" s="40">
        <f t="shared" si="51"/>
        <v>1.5569978883230461E-3</v>
      </c>
      <c r="Y82" s="39">
        <f t="shared" si="52"/>
        <v>1.2845232578665133</v>
      </c>
      <c r="Z82" s="37">
        <f t="shared" si="71"/>
        <v>1.2845232578665133</v>
      </c>
      <c r="AA82" s="37">
        <f t="shared" si="72"/>
        <v>0.37703303197981769</v>
      </c>
      <c r="AB82" s="37">
        <v>0</v>
      </c>
      <c r="AC82" s="37">
        <f t="shared" si="53"/>
        <v>4.9753867521362986E-3</v>
      </c>
      <c r="AD82" s="40">
        <f t="shared" si="62"/>
        <v>4.9753867521362986E-3</v>
      </c>
      <c r="AE82" s="39">
        <f t="shared" si="70"/>
        <v>6.7190447334556078E-2</v>
      </c>
      <c r="AF82" s="37">
        <f t="shared" si="63"/>
        <v>0.37589567484252395</v>
      </c>
      <c r="AG82" s="37">
        <f t="shared" si="54"/>
        <v>1.6531814328742029E-2</v>
      </c>
      <c r="AH82" s="37">
        <f t="shared" si="55"/>
        <v>3.6625643832589726E-2</v>
      </c>
      <c r="AI82" s="40">
        <f t="shared" si="64"/>
        <v>5.3157458161331758E-2</v>
      </c>
      <c r="AJ82" s="39">
        <f t="shared" si="65"/>
        <v>4.0721483233064281E-4</v>
      </c>
      <c r="AK82" s="37">
        <f t="shared" si="56"/>
        <v>2.9263438597978808E-2</v>
      </c>
      <c r="AL82" s="37">
        <f t="shared" si="57"/>
        <v>6.2500000000000003E-3</v>
      </c>
      <c r="AM82" s="37">
        <f t="shared" si="58"/>
        <v>0.29112499999999997</v>
      </c>
      <c r="AN82" s="40">
        <f t="shared" si="66"/>
        <v>0.29737499999999994</v>
      </c>
      <c r="AO82" s="39">
        <f t="shared" si="59"/>
        <v>6.6409852431698752E-3</v>
      </c>
      <c r="AP82" s="37">
        <f t="shared" si="60"/>
        <v>2.1600000000000001E-2</v>
      </c>
      <c r="AQ82" s="40">
        <f t="shared" si="61"/>
        <v>2.2499999999999998E-3</v>
      </c>
      <c r="AR82" s="39">
        <f t="shared" si="67"/>
        <v>0.38599883015663788</v>
      </c>
      <c r="AS82" s="37">
        <f t="shared" si="68"/>
        <v>0.85</v>
      </c>
      <c r="AT82" s="40">
        <f t="shared" si="69"/>
        <v>68.770291626593178</v>
      </c>
    </row>
    <row r="83" spans="17:46" x14ac:dyDescent="0.2">
      <c r="Q83">
        <v>76</v>
      </c>
      <c r="R83" s="39">
        <f t="shared" si="45"/>
        <v>170</v>
      </c>
      <c r="S83" s="37">
        <f t="shared" si="46"/>
        <v>5.0666666666666672E-3</v>
      </c>
      <c r="T83" s="37">
        <f t="shared" si="47"/>
        <v>5</v>
      </c>
      <c r="U83" s="40">
        <f t="shared" si="48"/>
        <v>0.26502564102564102</v>
      </c>
      <c r="V83" s="39">
        <f t="shared" si="49"/>
        <v>1</v>
      </c>
      <c r="W83" s="37">
        <f t="shared" si="50"/>
        <v>0.25861167800391383</v>
      </c>
      <c r="X83" s="40">
        <f t="shared" si="51"/>
        <v>1.5673435030540233E-3</v>
      </c>
      <c r="Y83" s="39">
        <f t="shared" si="52"/>
        <v>1.2930583900195693</v>
      </c>
      <c r="Z83" s="37">
        <f t="shared" si="71"/>
        <v>1.2930583900195693</v>
      </c>
      <c r="AA83" s="37">
        <f t="shared" si="72"/>
        <v>0.38079711306663483</v>
      </c>
      <c r="AB83" s="37">
        <v>0</v>
      </c>
      <c r="AC83" s="37">
        <f t="shared" si="53"/>
        <v>5.0752254461959214E-3</v>
      </c>
      <c r="AD83" s="40">
        <f t="shared" si="62"/>
        <v>5.0752254461959214E-3</v>
      </c>
      <c r="AE83" s="39">
        <f t="shared" si="70"/>
        <v>6.8538725739703932E-2</v>
      </c>
      <c r="AF83" s="37">
        <f t="shared" si="63"/>
        <v>0.37964840120939275</v>
      </c>
      <c r="AG83" s="37">
        <f t="shared" si="54"/>
        <v>1.6863550299279221E-2</v>
      </c>
      <c r="AH83" s="37">
        <f t="shared" si="55"/>
        <v>3.7113985750357584E-2</v>
      </c>
      <c r="AI83" s="40">
        <f t="shared" si="64"/>
        <v>5.3977536049636801E-2</v>
      </c>
      <c r="AJ83" s="39">
        <f t="shared" si="65"/>
        <v>4.1538621660426627E-4</v>
      </c>
      <c r="AK83" s="37">
        <f t="shared" si="56"/>
        <v>2.9555587949412248E-2</v>
      </c>
      <c r="AL83" s="37">
        <f t="shared" si="57"/>
        <v>6.333333333333334E-3</v>
      </c>
      <c r="AM83" s="37">
        <f t="shared" si="58"/>
        <v>0.29112499999999997</v>
      </c>
      <c r="AN83" s="40">
        <f t="shared" si="66"/>
        <v>0.29745833333333332</v>
      </c>
      <c r="AO83" s="39">
        <f t="shared" si="59"/>
        <v>6.7742467014198574E-3</v>
      </c>
      <c r="AP83" s="37">
        <f t="shared" si="60"/>
        <v>2.1600000000000001E-2</v>
      </c>
      <c r="AQ83" s="40">
        <f t="shared" si="61"/>
        <v>2.2499999999999998E-3</v>
      </c>
      <c r="AR83" s="39">
        <f t="shared" si="67"/>
        <v>0.38713534153058587</v>
      </c>
      <c r="AS83" s="37">
        <f t="shared" si="68"/>
        <v>0.8613333333333334</v>
      </c>
      <c r="AT83" s="40">
        <f t="shared" si="69"/>
        <v>68.991185015292203</v>
      </c>
    </row>
    <row r="84" spans="17:46" x14ac:dyDescent="0.2">
      <c r="Q84">
        <v>77</v>
      </c>
      <c r="R84" s="39">
        <f t="shared" si="45"/>
        <v>170</v>
      </c>
      <c r="S84" s="37">
        <f t="shared" si="46"/>
        <v>5.1333333333333335E-3</v>
      </c>
      <c r="T84" s="37">
        <f t="shared" si="47"/>
        <v>5</v>
      </c>
      <c r="U84" s="40">
        <f t="shared" si="48"/>
        <v>0.26851282051282055</v>
      </c>
      <c r="V84" s="39">
        <f t="shared" si="49"/>
        <v>1</v>
      </c>
      <c r="W84" s="37">
        <f t="shared" si="50"/>
        <v>0.26030751045638306</v>
      </c>
      <c r="X84" s="40">
        <f t="shared" si="51"/>
        <v>1.5776212754932306E-3</v>
      </c>
      <c r="Y84" s="39">
        <f t="shared" si="52"/>
        <v>1.3015375522819155</v>
      </c>
      <c r="Z84" s="37">
        <f t="shared" si="71"/>
        <v>1.3015375522819155</v>
      </c>
      <c r="AA84" s="37">
        <f t="shared" si="72"/>
        <v>0.384548832249689</v>
      </c>
      <c r="AB84" s="37">
        <v>0</v>
      </c>
      <c r="AC84" s="37">
        <f t="shared" si="53"/>
        <v>5.175723153460981E-3</v>
      </c>
      <c r="AD84" s="40">
        <f t="shared" si="62"/>
        <v>5.175723153460981E-3</v>
      </c>
      <c r="AE84" s="39">
        <f t="shared" si="70"/>
        <v>6.9895903833313941E-2</v>
      </c>
      <c r="AF84" s="37">
        <f t="shared" si="63"/>
        <v>0.38338880296339417</v>
      </c>
      <c r="AG84" s="37">
        <f t="shared" si="54"/>
        <v>1.7197475985811402E-2</v>
      </c>
      <c r="AH84" s="37">
        <f t="shared" si="55"/>
        <v>3.7602327668125449E-2</v>
      </c>
      <c r="AI84" s="40">
        <f t="shared" si="64"/>
        <v>5.479980365393685E-2</v>
      </c>
      <c r="AJ84" s="39">
        <f t="shared" si="65"/>
        <v>4.2361153838372086E-4</v>
      </c>
      <c r="AK84" s="37">
        <f t="shared" si="56"/>
        <v>2.9846777831035256E-2</v>
      </c>
      <c r="AL84" s="37">
        <f t="shared" si="57"/>
        <v>6.4166666666666669E-3</v>
      </c>
      <c r="AM84" s="37">
        <f t="shared" si="58"/>
        <v>0.29112499999999997</v>
      </c>
      <c r="AN84" s="40">
        <f t="shared" si="66"/>
        <v>0.29754166666666665</v>
      </c>
      <c r="AO84" s="39">
        <f t="shared" si="59"/>
        <v>6.9083877891721003E-3</v>
      </c>
      <c r="AP84" s="37">
        <f t="shared" si="60"/>
        <v>2.1600000000000001E-2</v>
      </c>
      <c r="AQ84" s="40">
        <f t="shared" si="61"/>
        <v>2.2499999999999998E-3</v>
      </c>
      <c r="AR84" s="39">
        <f t="shared" si="67"/>
        <v>0.38827558126323652</v>
      </c>
      <c r="AS84" s="37">
        <f t="shared" si="68"/>
        <v>0.8726666666666667</v>
      </c>
      <c r="AT84" s="40">
        <f t="shared" si="69"/>
        <v>69.207504792493793</v>
      </c>
    </row>
    <row r="85" spans="17:46" x14ac:dyDescent="0.2">
      <c r="Q85">
        <v>78</v>
      </c>
      <c r="R85" s="39">
        <f t="shared" si="45"/>
        <v>170</v>
      </c>
      <c r="S85" s="37">
        <f t="shared" si="46"/>
        <v>5.2000000000000006E-3</v>
      </c>
      <c r="T85" s="37">
        <f t="shared" si="47"/>
        <v>5</v>
      </c>
      <c r="U85" s="40">
        <f t="shared" si="48"/>
        <v>0.27200000000000002</v>
      </c>
      <c r="V85" s="39">
        <f t="shared" si="49"/>
        <v>1</v>
      </c>
      <c r="W85" s="37">
        <f t="shared" si="50"/>
        <v>0.26199236630100503</v>
      </c>
      <c r="X85" s="40">
        <f t="shared" si="51"/>
        <v>1.5878325230363941E-3</v>
      </c>
      <c r="Y85" s="39">
        <f t="shared" si="52"/>
        <v>1.3099618315050254</v>
      </c>
      <c r="Z85" s="37">
        <f t="shared" si="71"/>
        <v>1.3099618315050254</v>
      </c>
      <c r="AA85" s="37">
        <f t="shared" si="72"/>
        <v>0.38828838989512904</v>
      </c>
      <c r="AB85" s="37">
        <v>0</v>
      </c>
      <c r="AC85" s="37">
        <f t="shared" si="53"/>
        <v>5.2768755804573119E-3</v>
      </c>
      <c r="AD85" s="40">
        <f t="shared" si="62"/>
        <v>5.2768755804573119E-3</v>
      </c>
      <c r="AE85" s="39">
        <f t="shared" si="70"/>
        <v>7.1261923633873375E-2</v>
      </c>
      <c r="AF85" s="37">
        <f t="shared" si="63"/>
        <v>0.38711707986625304</v>
      </c>
      <c r="AG85" s="37">
        <f t="shared" si="54"/>
        <v>1.7533577122328468E-2</v>
      </c>
      <c r="AH85" s="37">
        <f t="shared" si="55"/>
        <v>3.8090669585893307E-2</v>
      </c>
      <c r="AI85" s="40">
        <f t="shared" si="64"/>
        <v>5.5624246708221775E-2</v>
      </c>
      <c r="AJ85" s="39">
        <f t="shared" si="65"/>
        <v>4.3189044626589922E-4</v>
      </c>
      <c r="AK85" s="37">
        <f t="shared" si="56"/>
        <v>3.0137023794276994E-2</v>
      </c>
      <c r="AL85" s="37">
        <f t="shared" si="57"/>
        <v>6.5000000000000006E-3</v>
      </c>
      <c r="AM85" s="37">
        <f t="shared" si="58"/>
        <v>0.29112499999999997</v>
      </c>
      <c r="AN85" s="40">
        <f t="shared" si="66"/>
        <v>0.29762499999999997</v>
      </c>
      <c r="AO85" s="39">
        <f t="shared" si="59"/>
        <v>7.0434027756362226E-3</v>
      </c>
      <c r="AP85" s="37">
        <f t="shared" si="60"/>
        <v>2.1600000000000001E-2</v>
      </c>
      <c r="AQ85" s="40">
        <f t="shared" si="61"/>
        <v>2.2499999999999998E-3</v>
      </c>
      <c r="AR85" s="39">
        <f t="shared" si="67"/>
        <v>0.38941952506431526</v>
      </c>
      <c r="AS85" s="37">
        <f t="shared" si="68"/>
        <v>0.88400000000000012</v>
      </c>
      <c r="AT85" s="40">
        <f t="shared" si="69"/>
        <v>69.41938478250934</v>
      </c>
    </row>
    <row r="86" spans="17:46" x14ac:dyDescent="0.2">
      <c r="Q86">
        <v>79</v>
      </c>
      <c r="R86" s="39">
        <f t="shared" si="45"/>
        <v>170</v>
      </c>
      <c r="S86" s="37">
        <f t="shared" si="46"/>
        <v>5.2666666666666669E-3</v>
      </c>
      <c r="T86" s="37">
        <f t="shared" si="47"/>
        <v>5</v>
      </c>
      <c r="U86" s="40">
        <f t="shared" si="48"/>
        <v>0.27548717948717949</v>
      </c>
      <c r="V86" s="39">
        <f t="shared" si="49"/>
        <v>1</v>
      </c>
      <c r="W86" s="37">
        <f t="shared" si="50"/>
        <v>0.26366645596283195</v>
      </c>
      <c r="X86" s="40">
        <f t="shared" si="51"/>
        <v>1.5979785209868603E-3</v>
      </c>
      <c r="Y86" s="39">
        <f t="shared" si="52"/>
        <v>1.3183322798141599</v>
      </c>
      <c r="Z86" s="37">
        <f t="shared" si="71"/>
        <v>1.3183322798141599</v>
      </c>
      <c r="AA86" s="37">
        <f t="shared" si="72"/>
        <v>0.39201598059810316</v>
      </c>
      <c r="AB86" s="37">
        <v>0</v>
      </c>
      <c r="AC86" s="37">
        <f t="shared" si="53"/>
        <v>5.3786785165502345E-3</v>
      </c>
      <c r="AD86" s="40">
        <f t="shared" si="62"/>
        <v>5.3786785165502345E-3</v>
      </c>
      <c r="AE86" s="39">
        <f t="shared" si="70"/>
        <v>7.2636728278581197E-2</v>
      </c>
      <c r="AF86" s="37">
        <f t="shared" si="63"/>
        <v>0.39083342592610221</v>
      </c>
      <c r="AG86" s="37">
        <f t="shared" si="54"/>
        <v>1.7871839718072682E-2</v>
      </c>
      <c r="AH86" s="37">
        <f t="shared" si="55"/>
        <v>3.8579011503661165E-2</v>
      </c>
      <c r="AI86" s="40">
        <f t="shared" si="64"/>
        <v>5.645085122173385E-2</v>
      </c>
      <c r="AJ86" s="39">
        <f t="shared" si="65"/>
        <v>4.4022259562776482E-4</v>
      </c>
      <c r="AK86" s="37">
        <f t="shared" si="56"/>
        <v>3.0426340942650135E-2</v>
      </c>
      <c r="AL86" s="37">
        <f t="shared" si="57"/>
        <v>6.5833333333333334E-3</v>
      </c>
      <c r="AM86" s="37">
        <f t="shared" si="58"/>
        <v>0.29112499999999997</v>
      </c>
      <c r="AN86" s="40">
        <f t="shared" si="66"/>
        <v>0.2977083333333333</v>
      </c>
      <c r="AO86" s="39">
        <f t="shared" si="59"/>
        <v>7.1792860405932996E-3</v>
      </c>
      <c r="AP86" s="37">
        <f t="shared" si="60"/>
        <v>2.1600000000000001E-2</v>
      </c>
      <c r="AQ86" s="40">
        <f t="shared" si="61"/>
        <v>2.2499999999999998E-3</v>
      </c>
      <c r="AR86" s="39">
        <f t="shared" si="67"/>
        <v>0.39056714911221069</v>
      </c>
      <c r="AS86" s="37">
        <f t="shared" si="68"/>
        <v>0.89533333333333343</v>
      </c>
      <c r="AT86" s="40">
        <f t="shared" si="69"/>
        <v>69.626953683894371</v>
      </c>
    </row>
    <row r="87" spans="17:46" x14ac:dyDescent="0.2">
      <c r="Q87">
        <v>80</v>
      </c>
      <c r="R87" s="39">
        <f t="shared" si="45"/>
        <v>170</v>
      </c>
      <c r="S87" s="37">
        <f t="shared" si="46"/>
        <v>5.333333333333334E-3</v>
      </c>
      <c r="T87" s="37">
        <f t="shared" si="47"/>
        <v>5</v>
      </c>
      <c r="U87" s="40">
        <f t="shared" si="48"/>
        <v>0.27897435897435902</v>
      </c>
      <c r="V87" s="39">
        <f t="shared" si="49"/>
        <v>1</v>
      </c>
      <c r="W87" s="37">
        <f t="shared" si="50"/>
        <v>0.26532998322843199</v>
      </c>
      <c r="X87" s="40">
        <f t="shared" si="51"/>
        <v>1.6080605044147393E-3</v>
      </c>
      <c r="Y87" s="39">
        <f t="shared" si="52"/>
        <v>1.3266499161421601</v>
      </c>
      <c r="Z87" s="37">
        <f t="shared" si="71"/>
        <v>1.3266499161421601</v>
      </c>
      <c r="AA87" s="37">
        <f t="shared" si="72"/>
        <v>0.39573179341982384</v>
      </c>
      <c r="AB87" s="37">
        <v>0</v>
      </c>
      <c r="AC87" s="37">
        <f t="shared" si="53"/>
        <v>5.4811278313144553E-3</v>
      </c>
      <c r="AD87" s="40">
        <f t="shared" si="62"/>
        <v>5.4811278313144553E-3</v>
      </c>
      <c r="AE87" s="39">
        <f t="shared" si="70"/>
        <v>7.4020261987829239E-2</v>
      </c>
      <c r="AF87" s="37">
        <f t="shared" si="63"/>
        <v>0.39453802963383239</v>
      </c>
      <c r="AG87" s="37">
        <f t="shared" si="54"/>
        <v>1.8212250048799578E-2</v>
      </c>
      <c r="AH87" s="37">
        <f t="shared" si="55"/>
        <v>3.9067353421429044E-2</v>
      </c>
      <c r="AI87" s="40">
        <f t="shared" si="64"/>
        <v>5.7279603470228618E-2</v>
      </c>
      <c r="AJ87" s="39">
        <f t="shared" si="65"/>
        <v>4.4860764841108628E-4</v>
      </c>
      <c r="AK87" s="37">
        <f t="shared" si="56"/>
        <v>3.0714743950150617E-2</v>
      </c>
      <c r="AL87" s="37">
        <f t="shared" si="57"/>
        <v>6.666666666666668E-3</v>
      </c>
      <c r="AM87" s="37">
        <f t="shared" si="58"/>
        <v>0.29112499999999997</v>
      </c>
      <c r="AN87" s="40">
        <f t="shared" si="66"/>
        <v>0.29779166666666662</v>
      </c>
      <c r="AO87" s="39">
        <f t="shared" si="59"/>
        <v>7.3160320708852995E-3</v>
      </c>
      <c r="AP87" s="37">
        <f t="shared" si="60"/>
        <v>2.1600000000000001E-2</v>
      </c>
      <c r="AQ87" s="40">
        <f t="shared" si="61"/>
        <v>2.2499999999999998E-3</v>
      </c>
      <c r="AR87" s="39">
        <f t="shared" si="67"/>
        <v>0.39171843003909501</v>
      </c>
      <c r="AS87" s="37">
        <f t="shared" si="68"/>
        <v>0.90666666666666673</v>
      </c>
      <c r="AT87" s="40">
        <f t="shared" si="69"/>
        <v>69.830335311691755</v>
      </c>
    </row>
    <row r="88" spans="17:46" x14ac:dyDescent="0.2">
      <c r="Q88">
        <v>81</v>
      </c>
      <c r="R88" s="39">
        <f t="shared" si="45"/>
        <v>170</v>
      </c>
      <c r="S88" s="37">
        <f t="shared" si="46"/>
        <v>5.4000000000000003E-3</v>
      </c>
      <c r="T88" s="37">
        <f t="shared" si="47"/>
        <v>5</v>
      </c>
      <c r="U88" s="40">
        <f t="shared" si="48"/>
        <v>0.28246153846153849</v>
      </c>
      <c r="V88" s="39">
        <f t="shared" si="49"/>
        <v>1</v>
      </c>
      <c r="W88" s="37">
        <f t="shared" si="50"/>
        <v>0.26698314553544383</v>
      </c>
      <c r="X88" s="40">
        <f t="shared" si="51"/>
        <v>1.6180796699117809E-3</v>
      </c>
      <c r="Y88" s="39">
        <f t="shared" si="52"/>
        <v>1.3349157276772194</v>
      </c>
      <c r="Z88" s="37">
        <f t="shared" si="71"/>
        <v>1.3349157276772194</v>
      </c>
      <c r="AA88" s="37">
        <f t="shared" si="72"/>
        <v>0.39943601211205437</v>
      </c>
      <c r="AB88" s="37">
        <v>0</v>
      </c>
      <c r="AC88" s="37">
        <f t="shared" si="53"/>
        <v>5.5842194720193443E-3</v>
      </c>
      <c r="AD88" s="40">
        <f t="shared" si="62"/>
        <v>5.5842194720193443E-3</v>
      </c>
      <c r="AE88" s="39">
        <f t="shared" si="70"/>
        <v>7.5412470031242296E-2</v>
      </c>
      <c r="AF88" s="37">
        <f t="shared" si="63"/>
        <v>0.39823107418690179</v>
      </c>
      <c r="AG88" s="37">
        <f t="shared" si="54"/>
        <v>1.8554794648422284E-2</v>
      </c>
      <c r="AH88" s="37">
        <f t="shared" si="55"/>
        <v>3.9555695339196895E-2</v>
      </c>
      <c r="AI88" s="40">
        <f t="shared" si="64"/>
        <v>5.8110489987619182E-2</v>
      </c>
      <c r="AJ88" s="39">
        <f t="shared" si="65"/>
        <v>4.5704527291662002E-4</v>
      </c>
      <c r="AK88" s="37">
        <f t="shared" si="56"/>
        <v>3.1002247078681218E-2</v>
      </c>
      <c r="AL88" s="37">
        <f t="shared" si="57"/>
        <v>6.7500000000000008E-3</v>
      </c>
      <c r="AM88" s="37">
        <f t="shared" si="58"/>
        <v>0.29112499999999997</v>
      </c>
      <c r="AN88" s="40">
        <f t="shared" si="66"/>
        <v>0.29787499999999995</v>
      </c>
      <c r="AO88" s="39">
        <f t="shared" si="59"/>
        <v>7.4536354570585231E-3</v>
      </c>
      <c r="AP88" s="37">
        <f t="shared" si="60"/>
        <v>2.1600000000000001E-2</v>
      </c>
      <c r="AQ88" s="40">
        <f t="shared" si="61"/>
        <v>2.2499999999999998E-3</v>
      </c>
      <c r="AR88" s="39">
        <f t="shared" si="67"/>
        <v>0.39287334491669701</v>
      </c>
      <c r="AS88" s="37">
        <f t="shared" si="68"/>
        <v>0.91800000000000004</v>
      </c>
      <c r="AT88" s="40">
        <f t="shared" si="69"/>
        <v>70.029648826091346</v>
      </c>
    </row>
    <row r="89" spans="17:46" x14ac:dyDescent="0.2">
      <c r="Q89">
        <v>82</v>
      </c>
      <c r="R89" s="39">
        <f t="shared" si="45"/>
        <v>170</v>
      </c>
      <c r="S89" s="37">
        <f t="shared" si="46"/>
        <v>5.4666666666666665E-3</v>
      </c>
      <c r="T89" s="37">
        <f t="shared" si="47"/>
        <v>5</v>
      </c>
      <c r="U89" s="40">
        <f t="shared" si="48"/>
        <v>0.28594871794871796</v>
      </c>
      <c r="V89" s="39">
        <f t="shared" si="49"/>
        <v>1</v>
      </c>
      <c r="W89" s="37">
        <f t="shared" si="50"/>
        <v>0.268626134246093</v>
      </c>
      <c r="X89" s="40">
        <f t="shared" si="51"/>
        <v>1.6280371772490481E-3</v>
      </c>
      <c r="Y89" s="39">
        <f t="shared" si="52"/>
        <v>1.3431306712304651</v>
      </c>
      <c r="Z89" s="37">
        <f t="shared" si="71"/>
        <v>1.3431306712304651</v>
      </c>
      <c r="AA89" s="37">
        <f t="shared" si="72"/>
        <v>0.40312881532983519</v>
      </c>
      <c r="AB89" s="37">
        <v>0</v>
      </c>
      <c r="AC89" s="37">
        <f t="shared" si="53"/>
        <v>5.6879494612232734E-3</v>
      </c>
      <c r="AD89" s="40">
        <f t="shared" si="62"/>
        <v>5.6879494612232734E-3</v>
      </c>
      <c r="AE89" s="39">
        <f t="shared" si="70"/>
        <v>7.6813298695190491E-2</v>
      </c>
      <c r="AF89" s="37">
        <f t="shared" si="63"/>
        <v>0.40191273770142016</v>
      </c>
      <c r="AG89" s="37">
        <f t="shared" si="54"/>
        <v>1.8899460301018117E-2</v>
      </c>
      <c r="AH89" s="37">
        <f t="shared" si="55"/>
        <v>4.004403725696476E-2</v>
      </c>
      <c r="AI89" s="40">
        <f t="shared" si="64"/>
        <v>5.894349755798288E-2</v>
      </c>
      <c r="AJ89" s="39">
        <f t="shared" si="65"/>
        <v>4.6553514360721498E-4</v>
      </c>
      <c r="AK89" s="37">
        <f t="shared" si="56"/>
        <v>3.1288864194562269E-2</v>
      </c>
      <c r="AL89" s="37">
        <f t="shared" si="57"/>
        <v>6.8333333333333336E-3</v>
      </c>
      <c r="AM89" s="37">
        <f t="shared" si="58"/>
        <v>0.29112499999999997</v>
      </c>
      <c r="AN89" s="40">
        <f t="shared" si="66"/>
        <v>0.29795833333333333</v>
      </c>
      <c r="AO89" s="39">
        <f t="shared" si="59"/>
        <v>7.5920908901525759E-3</v>
      </c>
      <c r="AP89" s="37">
        <f t="shared" si="60"/>
        <v>2.1600000000000001E-2</v>
      </c>
      <c r="AQ89" s="40">
        <f t="shared" si="61"/>
        <v>2.2499999999999998E-3</v>
      </c>
      <c r="AR89" s="39">
        <f t="shared" si="67"/>
        <v>0.39403187124269201</v>
      </c>
      <c r="AS89" s="37">
        <f t="shared" si="68"/>
        <v>0.92933333333333334</v>
      </c>
      <c r="AT89" s="40">
        <f t="shared" si="69"/>
        <v>70.225008948385465</v>
      </c>
    </row>
    <row r="90" spans="17:46" x14ac:dyDescent="0.2">
      <c r="Q90">
        <v>83</v>
      </c>
      <c r="R90" s="39">
        <f t="shared" si="45"/>
        <v>170</v>
      </c>
      <c r="S90" s="37">
        <f t="shared" si="46"/>
        <v>5.5333333333333337E-3</v>
      </c>
      <c r="T90" s="37">
        <f t="shared" si="47"/>
        <v>5</v>
      </c>
      <c r="U90" s="40">
        <f t="shared" si="48"/>
        <v>0.28943589743589748</v>
      </c>
      <c r="V90" s="39">
        <f t="shared" si="49"/>
        <v>1</v>
      </c>
      <c r="W90" s="37">
        <f t="shared" si="50"/>
        <v>0.27025913490574194</v>
      </c>
      <c r="X90" s="40">
        <f t="shared" si="51"/>
        <v>1.6379341509438906E-3</v>
      </c>
      <c r="Y90" s="39">
        <f t="shared" si="52"/>
        <v>1.3512956745287099</v>
      </c>
      <c r="Z90" s="37">
        <f t="shared" si="71"/>
        <v>1.3512956745287099</v>
      </c>
      <c r="AA90" s="37">
        <f t="shared" si="72"/>
        <v>0.40681037683319915</v>
      </c>
      <c r="AB90" s="37">
        <v>0</v>
      </c>
      <c r="AC90" s="37">
        <f t="shared" si="53"/>
        <v>5.7923138944709334E-3</v>
      </c>
      <c r="AD90" s="40">
        <f t="shared" si="62"/>
        <v>5.7923138944709334E-3</v>
      </c>
      <c r="AE90" s="39">
        <f t="shared" si="70"/>
        <v>7.8222695251692703E-2</v>
      </c>
      <c r="AF90" s="37">
        <f t="shared" si="63"/>
        <v>0.40558319341325644</v>
      </c>
      <c r="AG90" s="37">
        <f t="shared" si="54"/>
        <v>1.9246234033177514E-2</v>
      </c>
      <c r="AH90" s="37">
        <f t="shared" si="55"/>
        <v>4.0532379174732625E-2</v>
      </c>
      <c r="AI90" s="40">
        <f t="shared" si="64"/>
        <v>5.9778613207910142E-2</v>
      </c>
      <c r="AJ90" s="39">
        <f t="shared" si="65"/>
        <v>4.7407694091934974E-4</v>
      </c>
      <c r="AK90" s="37">
        <f t="shared" si="56"/>
        <v>3.1574608784187892E-2</v>
      </c>
      <c r="AL90" s="37">
        <f t="shared" si="57"/>
        <v>6.9166666666666673E-3</v>
      </c>
      <c r="AM90" s="37">
        <f t="shared" si="58"/>
        <v>0.29112499999999997</v>
      </c>
      <c r="AN90" s="40">
        <f t="shared" si="66"/>
        <v>0.29804166666666665</v>
      </c>
      <c r="AO90" s="39">
        <f t="shared" si="59"/>
        <v>7.7313931586268638E-3</v>
      </c>
      <c r="AP90" s="37">
        <f t="shared" si="60"/>
        <v>2.1600000000000001E-2</v>
      </c>
      <c r="AQ90" s="40">
        <f t="shared" si="61"/>
        <v>2.2499999999999998E-3</v>
      </c>
      <c r="AR90" s="39">
        <f t="shared" si="67"/>
        <v>0.3951939869276746</v>
      </c>
      <c r="AS90" s="37">
        <f t="shared" si="68"/>
        <v>0.94066666666666676</v>
      </c>
      <c r="AT90" s="40">
        <f t="shared" si="69"/>
        <v>70.416526165034981</v>
      </c>
    </row>
    <row r="91" spans="17:46" x14ac:dyDescent="0.2">
      <c r="Q91">
        <v>84</v>
      </c>
      <c r="R91" s="39">
        <f t="shared" si="45"/>
        <v>170</v>
      </c>
      <c r="S91" s="37">
        <f t="shared" si="46"/>
        <v>5.5999999999999999E-3</v>
      </c>
      <c r="T91" s="37">
        <f t="shared" si="47"/>
        <v>5</v>
      </c>
      <c r="U91" s="40">
        <f t="shared" si="48"/>
        <v>0.2929230769230769</v>
      </c>
      <c r="V91" s="39">
        <f t="shared" si="49"/>
        <v>1</v>
      </c>
      <c r="W91" s="37">
        <f t="shared" si="50"/>
        <v>0.27188232748746283</v>
      </c>
      <c r="X91" s="40">
        <f t="shared" si="51"/>
        <v>1.6477716817421988E-3</v>
      </c>
      <c r="Y91" s="39">
        <f t="shared" si="52"/>
        <v>1.3594116374373144</v>
      </c>
      <c r="Z91" s="37">
        <f t="shared" si="71"/>
        <v>1.3594116374373144</v>
      </c>
      <c r="AA91" s="37">
        <f t="shared" si="72"/>
        <v>0.41048086567857256</v>
      </c>
      <c r="AB91" s="37">
        <v>0</v>
      </c>
      <c r="AC91" s="37">
        <f t="shared" si="53"/>
        <v>5.8973089380880625E-3</v>
      </c>
      <c r="AD91" s="40">
        <f t="shared" si="62"/>
        <v>5.8973089380880625E-3</v>
      </c>
      <c r="AE91" s="39">
        <f t="shared" si="70"/>
        <v>7.9640607928635254E-2</v>
      </c>
      <c r="AF91" s="37">
        <f t="shared" si="63"/>
        <v>0.40924260986886141</v>
      </c>
      <c r="AG91" s="37">
        <f t="shared" si="54"/>
        <v>1.959510310667642E-2</v>
      </c>
      <c r="AH91" s="37">
        <f t="shared" si="55"/>
        <v>4.1020721092500476E-2</v>
      </c>
      <c r="AI91" s="40">
        <f t="shared" si="64"/>
        <v>6.0615824199176896E-2</v>
      </c>
      <c r="AJ91" s="39">
        <f t="shared" si="65"/>
        <v>4.8267035108263788E-4</v>
      </c>
      <c r="AK91" s="37">
        <f t="shared" si="56"/>
        <v>3.1859493968881471E-2</v>
      </c>
      <c r="AL91" s="37">
        <f t="shared" si="57"/>
        <v>7.0000000000000001E-3</v>
      </c>
      <c r="AM91" s="37">
        <f t="shared" si="58"/>
        <v>0.29112499999999997</v>
      </c>
      <c r="AN91" s="40">
        <f t="shared" si="66"/>
        <v>0.29812499999999997</v>
      </c>
      <c r="AO91" s="39">
        <f t="shared" si="59"/>
        <v>7.8715371454170235E-3</v>
      </c>
      <c r="AP91" s="37">
        <f t="shared" si="60"/>
        <v>2.1600000000000001E-2</v>
      </c>
      <c r="AQ91" s="40">
        <f t="shared" si="61"/>
        <v>2.2499999999999998E-3</v>
      </c>
      <c r="AR91" s="39">
        <f t="shared" si="67"/>
        <v>0.39635967028268188</v>
      </c>
      <c r="AS91" s="37">
        <f t="shared" si="68"/>
        <v>0.95199999999999996</v>
      </c>
      <c r="AT91" s="40">
        <f t="shared" si="69"/>
        <v>70.604306920601857</v>
      </c>
    </row>
    <row r="92" spans="17:46" x14ac:dyDescent="0.2">
      <c r="Q92">
        <v>85</v>
      </c>
      <c r="R92" s="39">
        <f t="shared" si="45"/>
        <v>170</v>
      </c>
      <c r="S92" s="37">
        <f t="shared" si="46"/>
        <v>5.6666666666666671E-3</v>
      </c>
      <c r="T92" s="37">
        <f t="shared" si="47"/>
        <v>5</v>
      </c>
      <c r="U92" s="40">
        <f t="shared" si="48"/>
        <v>0.29641025641025642</v>
      </c>
      <c r="V92" s="39">
        <f t="shared" si="49"/>
        <v>1</v>
      </c>
      <c r="W92" s="37">
        <f t="shared" si="50"/>
        <v>0.27349588662354685</v>
      </c>
      <c r="X92" s="40">
        <f t="shared" si="51"/>
        <v>1.6575508280214958E-3</v>
      </c>
      <c r="Y92" s="39">
        <f t="shared" si="52"/>
        <v>1.3674794331177345</v>
      </c>
      <c r="Z92" s="37">
        <f t="shared" si="71"/>
        <v>1.3674794331177345</v>
      </c>
      <c r="AA92" s="37">
        <f t="shared" si="72"/>
        <v>0.41414044640050668</v>
      </c>
      <c r="AB92" s="37">
        <v>0</v>
      </c>
      <c r="AC92" s="37">
        <f t="shared" si="53"/>
        <v>6.0029308270683835E-3</v>
      </c>
      <c r="AD92" s="40">
        <f t="shared" si="62"/>
        <v>6.0029308270683835E-3</v>
      </c>
      <c r="AE92" s="39">
        <f t="shared" si="70"/>
        <v>8.106698588123594E-2</v>
      </c>
      <c r="AF92" s="37">
        <f t="shared" si="63"/>
        <v>0.41289115110645191</v>
      </c>
      <c r="AG92" s="37">
        <f t="shared" si="54"/>
        <v>1.9946055011455278E-2</v>
      </c>
      <c r="AH92" s="37">
        <f t="shared" si="55"/>
        <v>4.1509063010268347E-2</v>
      </c>
      <c r="AI92" s="40">
        <f t="shared" si="64"/>
        <v>6.1455118021723626E-2</v>
      </c>
      <c r="AJ92" s="39">
        <f t="shared" si="65"/>
        <v>4.9131506594688444E-4</v>
      </c>
      <c r="AK92" s="37">
        <f t="shared" si="56"/>
        <v>3.2143532519000866E-2</v>
      </c>
      <c r="AL92" s="37">
        <f t="shared" si="57"/>
        <v>7.0833333333333338E-3</v>
      </c>
      <c r="AM92" s="37">
        <f t="shared" si="58"/>
        <v>0.29112499999999997</v>
      </c>
      <c r="AN92" s="40">
        <f t="shared" si="66"/>
        <v>0.2982083333333333</v>
      </c>
      <c r="AO92" s="39">
        <f t="shared" si="59"/>
        <v>8.0125178251145134E-3</v>
      </c>
      <c r="AP92" s="37">
        <f t="shared" si="60"/>
        <v>2.1600000000000001E-2</v>
      </c>
      <c r="AQ92" s="40">
        <f t="shared" si="61"/>
        <v>2.2499999999999998E-3</v>
      </c>
      <c r="AR92" s="39">
        <f t="shared" si="67"/>
        <v>0.39752890000723978</v>
      </c>
      <c r="AS92" s="37">
        <f t="shared" si="68"/>
        <v>0.96333333333333337</v>
      </c>
      <c r="AT92" s="40">
        <f t="shared" si="69"/>
        <v>70.788453800249371</v>
      </c>
    </row>
    <row r="93" spans="17:46" x14ac:dyDescent="0.2">
      <c r="Q93">
        <v>86</v>
      </c>
      <c r="R93" s="39">
        <f t="shared" si="45"/>
        <v>170</v>
      </c>
      <c r="S93" s="37">
        <f t="shared" si="46"/>
        <v>5.7333333333333333E-3</v>
      </c>
      <c r="T93" s="37">
        <f t="shared" si="47"/>
        <v>5</v>
      </c>
      <c r="U93" s="40">
        <f t="shared" si="48"/>
        <v>0.29989743589743589</v>
      </c>
      <c r="V93" s="39">
        <f t="shared" si="49"/>
        <v>1</v>
      </c>
      <c r="W93" s="37">
        <f t="shared" si="50"/>
        <v>0.2750999818247904</v>
      </c>
      <c r="X93" s="40">
        <f t="shared" si="51"/>
        <v>1.6672726171199415E-3</v>
      </c>
      <c r="Y93" s="39">
        <f t="shared" si="52"/>
        <v>1.3754999091239521</v>
      </c>
      <c r="Z93" s="37">
        <f t="shared" si="71"/>
        <v>1.3754999091239521</v>
      </c>
      <c r="AA93" s="37">
        <f t="shared" si="72"/>
        <v>0.41778927918433334</v>
      </c>
      <c r="AB93" s="37">
        <v>0</v>
      </c>
      <c r="AC93" s="37">
        <f t="shared" si="53"/>
        <v>6.1091758630477692E-3</v>
      </c>
      <c r="AD93" s="40">
        <f t="shared" si="62"/>
        <v>6.1091758630477692E-3</v>
      </c>
      <c r="AE93" s="39">
        <f t="shared" si="70"/>
        <v>8.2501779164685859E-2</v>
      </c>
      <c r="AF93" s="37">
        <f t="shared" si="63"/>
        <v>0.41652897682814483</v>
      </c>
      <c r="AG93" s="37">
        <f t="shared" si="54"/>
        <v>2.0299077458887642E-2</v>
      </c>
      <c r="AH93" s="37">
        <f t="shared" si="55"/>
        <v>4.1997404928036206E-2</v>
      </c>
      <c r="AI93" s="40">
        <f t="shared" si="64"/>
        <v>6.2296482386923847E-2</v>
      </c>
      <c r="AJ93" s="39">
        <f t="shared" si="65"/>
        <v>5.000107828162779E-4</v>
      </c>
      <c r="AK93" s="37">
        <f t="shared" si="56"/>
        <v>3.2426736867339018E-2</v>
      </c>
      <c r="AL93" s="37">
        <f t="shared" si="57"/>
        <v>7.1666666666666667E-3</v>
      </c>
      <c r="AM93" s="37">
        <f t="shared" si="58"/>
        <v>0.29112499999999997</v>
      </c>
      <c r="AN93" s="40">
        <f t="shared" si="66"/>
        <v>0.29829166666666662</v>
      </c>
      <c r="AO93" s="39">
        <f t="shared" si="59"/>
        <v>8.1543302612625563E-3</v>
      </c>
      <c r="AP93" s="37">
        <f t="shared" si="60"/>
        <v>2.1600000000000001E-2</v>
      </c>
      <c r="AQ93" s="40">
        <f t="shared" si="61"/>
        <v>2.2499999999999998E-3</v>
      </c>
      <c r="AR93" s="39">
        <f t="shared" si="67"/>
        <v>0.39870165517790079</v>
      </c>
      <c r="AS93" s="37">
        <f t="shared" si="68"/>
        <v>0.97466666666666668</v>
      </c>
      <c r="AT93" s="40">
        <f t="shared" si="69"/>
        <v>70.969065702461691</v>
      </c>
    </row>
    <row r="94" spans="17:46" x14ac:dyDescent="0.2">
      <c r="Q94">
        <v>87</v>
      </c>
      <c r="R94" s="39">
        <f t="shared" si="45"/>
        <v>170</v>
      </c>
      <c r="S94" s="37">
        <f t="shared" si="46"/>
        <v>5.8000000000000005E-3</v>
      </c>
      <c r="T94" s="37">
        <f t="shared" si="47"/>
        <v>5</v>
      </c>
      <c r="U94" s="40">
        <f t="shared" si="48"/>
        <v>0.30338461538461542</v>
      </c>
      <c r="V94" s="39">
        <f t="shared" si="49"/>
        <v>1</v>
      </c>
      <c r="W94" s="37">
        <f t="shared" si="50"/>
        <v>0.27669477768834022</v>
      </c>
      <c r="X94" s="40">
        <f t="shared" si="51"/>
        <v>1.6769380465960009E-3</v>
      </c>
      <c r="Y94" s="39">
        <f t="shared" si="52"/>
        <v>1.3834738884417013</v>
      </c>
      <c r="Z94" s="37">
        <f t="shared" si="71"/>
        <v>1.3834738884417013</v>
      </c>
      <c r="AA94" s="37">
        <f t="shared" si="72"/>
        <v>0.42142752003030054</v>
      </c>
      <c r="AB94" s="37">
        <v>0</v>
      </c>
      <c r="AC94" s="37">
        <f t="shared" si="53"/>
        <v>6.2160404123611287E-3</v>
      </c>
      <c r="AD94" s="40">
        <f t="shared" si="62"/>
        <v>6.2160404123611287E-3</v>
      </c>
      <c r="AE94" s="39">
        <f t="shared" si="70"/>
        <v>8.394493870790877E-2</v>
      </c>
      <c r="AF94" s="37">
        <f t="shared" si="63"/>
        <v>0.42015624256359813</v>
      </c>
      <c r="AG94" s="37">
        <f t="shared" si="54"/>
        <v>2.0654158375323851E-2</v>
      </c>
      <c r="AH94" s="37">
        <f t="shared" si="55"/>
        <v>4.2485746845804077E-2</v>
      </c>
      <c r="AI94" s="40">
        <f t="shared" si="64"/>
        <v>6.3139905221127932E-2</v>
      </c>
      <c r="AJ94" s="39">
        <f t="shared" si="65"/>
        <v>5.0875720429035599E-4</v>
      </c>
      <c r="AK94" s="37">
        <f t="shared" si="56"/>
        <v>3.2709119121863389E-2</v>
      </c>
      <c r="AL94" s="37">
        <f t="shared" si="57"/>
        <v>7.2500000000000004E-3</v>
      </c>
      <c r="AM94" s="37">
        <f t="shared" si="58"/>
        <v>0.29112499999999997</v>
      </c>
      <c r="AN94" s="40">
        <f t="shared" si="66"/>
        <v>0.29837499999999995</v>
      </c>
      <c r="AO94" s="39">
        <f t="shared" si="59"/>
        <v>8.2969696037625724E-3</v>
      </c>
      <c r="AP94" s="37">
        <f t="shared" si="60"/>
        <v>2.1600000000000001E-2</v>
      </c>
      <c r="AQ94" s="40">
        <f t="shared" si="61"/>
        <v>2.2499999999999998E-3</v>
      </c>
      <c r="AR94" s="39">
        <f t="shared" si="67"/>
        <v>0.39987791523725158</v>
      </c>
      <c r="AS94" s="37">
        <f t="shared" si="68"/>
        <v>0.9860000000000001</v>
      </c>
      <c r="AT94" s="40">
        <f t="shared" si="69"/>
        <v>71.146238002588021</v>
      </c>
    </row>
    <row r="95" spans="17:46" x14ac:dyDescent="0.2">
      <c r="Q95">
        <v>88</v>
      </c>
      <c r="R95" s="39">
        <f t="shared" si="45"/>
        <v>170</v>
      </c>
      <c r="S95" s="37">
        <f t="shared" si="46"/>
        <v>5.8666666666666667E-3</v>
      </c>
      <c r="T95" s="37">
        <f t="shared" si="47"/>
        <v>5</v>
      </c>
      <c r="U95" s="40">
        <f t="shared" si="48"/>
        <v>0.30687179487179483</v>
      </c>
      <c r="V95" s="39">
        <f t="shared" si="49"/>
        <v>1</v>
      </c>
      <c r="W95" s="37">
        <f t="shared" si="50"/>
        <v>0.2782804340948174</v>
      </c>
      <c r="X95" s="40">
        <f t="shared" si="51"/>
        <v>1.6865480854231353E-3</v>
      </c>
      <c r="Y95" s="39">
        <f t="shared" si="52"/>
        <v>1.3914021704740873</v>
      </c>
      <c r="Z95" s="37">
        <f t="shared" si="71"/>
        <v>1.3914021704740873</v>
      </c>
      <c r="AA95" s="37">
        <f t="shared" si="72"/>
        <v>0.42505532090970066</v>
      </c>
      <c r="AB95" s="37">
        <v>0</v>
      </c>
      <c r="AC95" s="37">
        <f t="shared" si="53"/>
        <v>6.3235209041777015E-3</v>
      </c>
      <c r="AD95" s="40">
        <f t="shared" si="62"/>
        <v>6.3235209041777015E-3</v>
      </c>
      <c r="AE95" s="39">
        <f t="shared" si="70"/>
        <v>8.5396416288378824E-2</v>
      </c>
      <c r="AF95" s="37">
        <f t="shared" si="63"/>
        <v>0.42377309982566808</v>
      </c>
      <c r="AG95" s="37">
        <f t="shared" si="54"/>
        <v>2.1011285895895113E-2</v>
      </c>
      <c r="AH95" s="37">
        <f t="shared" si="55"/>
        <v>4.2974088763571928E-2</v>
      </c>
      <c r="AI95" s="40">
        <f t="shared" si="64"/>
        <v>6.3985374659467048E-2</v>
      </c>
      <c r="AJ95" s="39">
        <f t="shared" si="65"/>
        <v>5.175540381113867E-4</v>
      </c>
      <c r="AK95" s="37">
        <f t="shared" si="56"/>
        <v>3.2990691077833818E-2</v>
      </c>
      <c r="AL95" s="37">
        <f t="shared" si="57"/>
        <v>7.3333333333333332E-3</v>
      </c>
      <c r="AM95" s="37">
        <f t="shared" si="58"/>
        <v>0.29112499999999997</v>
      </c>
      <c r="AN95" s="40">
        <f t="shared" si="66"/>
        <v>0.29845833333333333</v>
      </c>
      <c r="AO95" s="39">
        <f t="shared" si="59"/>
        <v>8.4404310863852149E-3</v>
      </c>
      <c r="AP95" s="37">
        <f t="shared" si="60"/>
        <v>2.1600000000000001E-2</v>
      </c>
      <c r="AQ95" s="40">
        <f t="shared" si="61"/>
        <v>2.2499999999999998E-3</v>
      </c>
      <c r="AR95" s="39">
        <f t="shared" si="67"/>
        <v>0.40105765998336329</v>
      </c>
      <c r="AS95" s="37">
        <f t="shared" si="68"/>
        <v>0.99733333333333329</v>
      </c>
      <c r="AT95" s="40">
        <f t="shared" si="69"/>
        <v>71.320062707774113</v>
      </c>
    </row>
    <row r="96" spans="17:46" x14ac:dyDescent="0.2">
      <c r="Q96">
        <v>89</v>
      </c>
      <c r="R96" s="39">
        <f t="shared" si="45"/>
        <v>170</v>
      </c>
      <c r="S96" s="37">
        <f t="shared" si="46"/>
        <v>5.9333333333333339E-3</v>
      </c>
      <c r="T96" s="37">
        <f t="shared" si="47"/>
        <v>5</v>
      </c>
      <c r="U96" s="40">
        <f t="shared" si="48"/>
        <v>0.31035897435897442</v>
      </c>
      <c r="V96" s="39">
        <f t="shared" si="49"/>
        <v>1</v>
      </c>
      <c r="W96" s="37">
        <f t="shared" si="50"/>
        <v>0.27985710639538885</v>
      </c>
      <c r="X96" s="40">
        <f t="shared" si="51"/>
        <v>1.6961036751235684E-3</v>
      </c>
      <c r="Y96" s="39">
        <f t="shared" si="52"/>
        <v>1.3992855319769444</v>
      </c>
      <c r="Z96" s="37">
        <f t="shared" si="71"/>
        <v>1.3992855319769444</v>
      </c>
      <c r="AA96" s="37">
        <f t="shared" si="72"/>
        <v>0.42867282991346806</v>
      </c>
      <c r="AB96" s="37">
        <v>0</v>
      </c>
      <c r="AC96" s="37">
        <f t="shared" si="53"/>
        <v>6.431613828710739E-3</v>
      </c>
      <c r="AD96" s="40">
        <f t="shared" si="62"/>
        <v>6.431613828710739E-3</v>
      </c>
      <c r="AE96" s="39">
        <f t="shared" si="70"/>
        <v>8.685616450794327E-2</v>
      </c>
      <c r="AF96" s="37">
        <f t="shared" si="63"/>
        <v>0.42737969625855787</v>
      </c>
      <c r="AG96" s="37">
        <f t="shared" si="54"/>
        <v>2.1370448358564692E-2</v>
      </c>
      <c r="AH96" s="37">
        <f t="shared" si="55"/>
        <v>4.3462430681339807E-2</v>
      </c>
      <c r="AI96" s="40">
        <f t="shared" si="64"/>
        <v>6.4832879039904506E-2</v>
      </c>
      <c r="AJ96" s="39">
        <f t="shared" si="65"/>
        <v>5.2640099701783787E-4</v>
      </c>
      <c r="AK96" s="37">
        <f t="shared" si="56"/>
        <v>3.3271464229335961E-2</v>
      </c>
      <c r="AL96" s="37">
        <f t="shared" si="57"/>
        <v>7.4166666666666669E-3</v>
      </c>
      <c r="AM96" s="37">
        <f t="shared" si="58"/>
        <v>0.29112499999999997</v>
      </c>
      <c r="AN96" s="40">
        <f t="shared" si="66"/>
        <v>0.29854166666666665</v>
      </c>
      <c r="AO96" s="39">
        <f t="shared" si="59"/>
        <v>8.584710024380689E-3</v>
      </c>
      <c r="AP96" s="37">
        <f t="shared" si="60"/>
        <v>2.1600000000000001E-2</v>
      </c>
      <c r="AQ96" s="40">
        <f t="shared" si="61"/>
        <v>2.2499999999999998E-3</v>
      </c>
      <c r="AR96" s="39">
        <f t="shared" si="67"/>
        <v>0.40224086955966259</v>
      </c>
      <c r="AS96" s="37">
        <f t="shared" si="68"/>
        <v>1.0086666666666668</v>
      </c>
      <c r="AT96" s="40">
        <f t="shared" si="69"/>
        <v>71.490628603805433</v>
      </c>
    </row>
    <row r="97" spans="17:46" x14ac:dyDescent="0.2">
      <c r="Q97">
        <v>90</v>
      </c>
      <c r="R97" s="39">
        <f t="shared" si="45"/>
        <v>170</v>
      </c>
      <c r="S97" s="37">
        <f t="shared" si="46"/>
        <v>6.0000000000000001E-3</v>
      </c>
      <c r="T97" s="37">
        <f t="shared" si="47"/>
        <v>5</v>
      </c>
      <c r="U97" s="40">
        <f t="shared" si="48"/>
        <v>0.31384615384615383</v>
      </c>
      <c r="V97" s="39">
        <f t="shared" si="49"/>
        <v>1</v>
      </c>
      <c r="W97" s="37">
        <f t="shared" si="50"/>
        <v>0.28142494558940578</v>
      </c>
      <c r="X97" s="40">
        <f t="shared" si="51"/>
        <v>1.7056057308448835E-3</v>
      </c>
      <c r="Y97" s="39">
        <f t="shared" si="52"/>
        <v>1.4071247279470291</v>
      </c>
      <c r="Z97" s="37">
        <f t="shared" si="71"/>
        <v>1.4071247279470291</v>
      </c>
      <c r="AA97" s="37">
        <f t="shared" si="72"/>
        <v>0.43228019139369028</v>
      </c>
      <c r="AB97" s="37">
        <v>0</v>
      </c>
      <c r="AC97" s="37">
        <f t="shared" si="53"/>
        <v>6.5403157354977934E-3</v>
      </c>
      <c r="AD97" s="40">
        <f t="shared" si="62"/>
        <v>6.5403157354977934E-3</v>
      </c>
      <c r="AE97" s="39">
        <f t="shared" si="70"/>
        <v>8.8324136769598119E-2</v>
      </c>
      <c r="AF97" s="37">
        <f t="shared" si="63"/>
        <v>0.43097617577890296</v>
      </c>
      <c r="AG97" s="37">
        <f t="shared" si="54"/>
        <v>2.1731634298413918E-2</v>
      </c>
      <c r="AH97" s="37">
        <f t="shared" si="55"/>
        <v>4.3950772599107658E-2</v>
      </c>
      <c r="AI97" s="40">
        <f t="shared" si="64"/>
        <v>6.5682406897521584E-2</v>
      </c>
      <c r="AJ97" s="39">
        <f t="shared" si="65"/>
        <v>5.3529779860362497E-4</v>
      </c>
      <c r="AK97" s="37">
        <f t="shared" si="56"/>
        <v>3.355144978026469E-2</v>
      </c>
      <c r="AL97" s="37">
        <f t="shared" si="57"/>
        <v>7.4999999999999997E-3</v>
      </c>
      <c r="AM97" s="37">
        <f t="shared" si="58"/>
        <v>0.29112499999999997</v>
      </c>
      <c r="AN97" s="40">
        <f t="shared" si="66"/>
        <v>0.29862499999999997</v>
      </c>
      <c r="AO97" s="39">
        <f t="shared" si="59"/>
        <v>8.7298018121833697E-3</v>
      </c>
      <c r="AP97" s="37">
        <f t="shared" si="60"/>
        <v>2.1600000000000001E-2</v>
      </c>
      <c r="AQ97" s="40">
        <f t="shared" si="61"/>
        <v>2.2499999999999998E-3</v>
      </c>
      <c r="AR97" s="39">
        <f t="shared" si="67"/>
        <v>0.40342752444520269</v>
      </c>
      <c r="AS97" s="37">
        <f t="shared" si="68"/>
        <v>1.02</v>
      </c>
      <c r="AT97" s="40">
        <f t="shared" si="69"/>
        <v>71.658021394349319</v>
      </c>
    </row>
    <row r="98" spans="17:46" x14ac:dyDescent="0.2">
      <c r="Q98">
        <v>91</v>
      </c>
      <c r="R98" s="39">
        <f t="shared" si="45"/>
        <v>170</v>
      </c>
      <c r="S98" s="37">
        <f t="shared" si="46"/>
        <v>6.0666666666666673E-3</v>
      </c>
      <c r="T98" s="37">
        <f t="shared" si="47"/>
        <v>5</v>
      </c>
      <c r="U98" s="40">
        <f t="shared" si="48"/>
        <v>0.31733333333333336</v>
      </c>
      <c r="V98" s="39">
        <f t="shared" si="49"/>
        <v>1</v>
      </c>
      <c r="W98" s="37">
        <f t="shared" si="50"/>
        <v>0.28298409849318384</v>
      </c>
      <c r="X98" s="40">
        <f t="shared" si="51"/>
        <v>1.7150551423829323E-3</v>
      </c>
      <c r="Y98" s="39">
        <f t="shared" si="52"/>
        <v>1.4149204924659193</v>
      </c>
      <c r="Z98" s="37">
        <f t="shared" si="71"/>
        <v>1.4149204924659193</v>
      </c>
      <c r="AA98" s="37">
        <f t="shared" si="72"/>
        <v>0.43587754609844442</v>
      </c>
      <c r="AB98" s="37">
        <v>0</v>
      </c>
      <c r="AC98" s="37">
        <f t="shared" si="53"/>
        <v>6.6496232317480542E-3</v>
      </c>
      <c r="AD98" s="40">
        <f t="shared" si="62"/>
        <v>6.6496232317480542E-3</v>
      </c>
      <c r="AE98" s="39">
        <f t="shared" si="70"/>
        <v>8.980028725517035E-2</v>
      </c>
      <c r="AF98" s="37">
        <f t="shared" si="63"/>
        <v>0.43456267871020016</v>
      </c>
      <c r="AG98" s="37">
        <f t="shared" si="54"/>
        <v>2.2094832442150807E-2</v>
      </c>
      <c r="AH98" s="37">
        <f t="shared" si="55"/>
        <v>4.443911451687553E-2</v>
      </c>
      <c r="AI98" s="40">
        <f t="shared" si="64"/>
        <v>6.6533946959026341E-2</v>
      </c>
      <c r="AJ98" s="39">
        <f t="shared" si="65"/>
        <v>5.4424416518285051E-4</v>
      </c>
      <c r="AK98" s="37">
        <f t="shared" si="56"/>
        <v>3.3830658654789396E-2</v>
      </c>
      <c r="AL98" s="37">
        <f t="shared" si="57"/>
        <v>7.5833333333333343E-3</v>
      </c>
      <c r="AM98" s="37">
        <f t="shared" si="58"/>
        <v>0.29112499999999997</v>
      </c>
      <c r="AN98" s="40">
        <f t="shared" si="66"/>
        <v>0.2987083333333333</v>
      </c>
      <c r="AO98" s="39">
        <f t="shared" si="59"/>
        <v>8.8757019212058787E-3</v>
      </c>
      <c r="AP98" s="37">
        <f t="shared" si="60"/>
        <v>2.1600000000000001E-2</v>
      </c>
      <c r="AQ98" s="40">
        <f t="shared" si="61"/>
        <v>2.2499999999999998E-3</v>
      </c>
      <c r="AR98" s="39">
        <f t="shared" si="67"/>
        <v>0.40461760544531356</v>
      </c>
      <c r="AS98" s="37">
        <f t="shared" si="68"/>
        <v>1.0313333333333334</v>
      </c>
      <c r="AT98" s="40">
        <f t="shared" si="69"/>
        <v>71.822323833050845</v>
      </c>
    </row>
    <row r="99" spans="17:46" x14ac:dyDescent="0.2">
      <c r="Q99">
        <v>92</v>
      </c>
      <c r="R99" s="39">
        <f t="shared" si="45"/>
        <v>170</v>
      </c>
      <c r="S99" s="37">
        <f t="shared" si="46"/>
        <v>6.1333333333333335E-3</v>
      </c>
      <c r="T99" s="37">
        <f t="shared" si="47"/>
        <v>5</v>
      </c>
      <c r="U99" s="40">
        <f t="shared" si="48"/>
        <v>0.32082051282051283</v>
      </c>
      <c r="V99" s="39">
        <f t="shared" si="49"/>
        <v>1</v>
      </c>
      <c r="W99" s="37">
        <f t="shared" si="50"/>
        <v>0.28453470790045982</v>
      </c>
      <c r="X99" s="40">
        <f t="shared" si="51"/>
        <v>1.7244527751543019E-3</v>
      </c>
      <c r="Y99" s="39">
        <f t="shared" si="52"/>
        <v>1.4226735395022994</v>
      </c>
      <c r="Z99" s="37">
        <f t="shared" si="71"/>
        <v>1.4226735395022994</v>
      </c>
      <c r="AA99" s="37">
        <f t="shared" si="72"/>
        <v>0.43946503130034631</v>
      </c>
      <c r="AB99" s="37">
        <v>0</v>
      </c>
      <c r="AC99" s="37">
        <f t="shared" si="53"/>
        <v>6.7595329807535031E-3</v>
      </c>
      <c r="AD99" s="40">
        <f t="shared" si="62"/>
        <v>6.7595329807535031E-3</v>
      </c>
      <c r="AE99" s="39">
        <f t="shared" si="70"/>
        <v>9.1284570903860343E-2</v>
      </c>
      <c r="AF99" s="37">
        <f t="shared" si="63"/>
        <v>0.43813934191096893</v>
      </c>
      <c r="AG99" s="37">
        <f t="shared" si="54"/>
        <v>2.2460031702830705E-2</v>
      </c>
      <c r="AH99" s="37">
        <f t="shared" si="55"/>
        <v>4.4927456434643388E-2</v>
      </c>
      <c r="AI99" s="40">
        <f t="shared" si="64"/>
        <v>6.7387488137474097E-2</v>
      </c>
      <c r="AJ99" s="39">
        <f t="shared" si="65"/>
        <v>5.5323982365975961E-4</v>
      </c>
      <c r="AK99" s="37">
        <f t="shared" si="56"/>
        <v>3.4109101507331381E-2</v>
      </c>
      <c r="AL99" s="37">
        <f t="shared" si="57"/>
        <v>7.6666666666666671E-3</v>
      </c>
      <c r="AM99" s="37">
        <f t="shared" si="58"/>
        <v>0.29112499999999997</v>
      </c>
      <c r="AN99" s="40">
        <f t="shared" si="66"/>
        <v>0.29879166666666662</v>
      </c>
      <c r="AO99" s="39">
        <f t="shared" si="59"/>
        <v>9.0224058977183171E-3</v>
      </c>
      <c r="AP99" s="37">
        <f t="shared" si="60"/>
        <v>2.1600000000000001E-2</v>
      </c>
      <c r="AQ99" s="40">
        <f t="shared" si="61"/>
        <v>2.2499999999999998E-3</v>
      </c>
      <c r="AR99" s="39">
        <f t="shared" si="67"/>
        <v>0.40581109368261248</v>
      </c>
      <c r="AS99" s="37">
        <f t="shared" si="68"/>
        <v>1.0426666666666666</v>
      </c>
      <c r="AT99" s="40">
        <f t="shared" si="69"/>
        <v>71.983615848906297</v>
      </c>
    </row>
    <row r="100" spans="17:46" x14ac:dyDescent="0.2">
      <c r="Q100">
        <v>93</v>
      </c>
      <c r="R100" s="39">
        <f t="shared" si="45"/>
        <v>170</v>
      </c>
      <c r="S100" s="37">
        <f t="shared" si="46"/>
        <v>6.2000000000000006E-3</v>
      </c>
      <c r="T100" s="37">
        <f t="shared" si="47"/>
        <v>5</v>
      </c>
      <c r="U100" s="40">
        <f t="shared" si="48"/>
        <v>0.3243076923076923</v>
      </c>
      <c r="V100" s="39">
        <f t="shared" si="49"/>
        <v>1</v>
      </c>
      <c r="W100" s="37">
        <f t="shared" si="50"/>
        <v>0.28607691273501956</v>
      </c>
      <c r="X100" s="40">
        <f t="shared" si="51"/>
        <v>1.7337994711213304E-3</v>
      </c>
      <c r="Y100" s="39">
        <f t="shared" si="52"/>
        <v>1.430384563675098</v>
      </c>
      <c r="Z100" s="37">
        <f t="shared" si="71"/>
        <v>1.430384563675098</v>
      </c>
      <c r="AA100" s="37">
        <f t="shared" si="72"/>
        <v>0.44304278091916605</v>
      </c>
      <c r="AB100" s="37">
        <v>0</v>
      </c>
      <c r="AC100" s="37">
        <f t="shared" si="53"/>
        <v>6.8700417003605858E-3</v>
      </c>
      <c r="AD100" s="40">
        <f t="shared" si="62"/>
        <v>6.8700417003605858E-3</v>
      </c>
      <c r="AE100" s="39">
        <f t="shared" si="70"/>
        <v>9.2776943391603264E-2</v>
      </c>
      <c r="AF100" s="37">
        <f t="shared" si="63"/>
        <v>0.44170629889699714</v>
      </c>
      <c r="AG100" s="37">
        <f t="shared" si="54"/>
        <v>2.2827221174778155E-2</v>
      </c>
      <c r="AH100" s="37">
        <f t="shared" si="55"/>
        <v>4.5415798352411246E-2</v>
      </c>
      <c r="AI100" s="40">
        <f t="shared" si="64"/>
        <v>6.8243019527189405E-2</v>
      </c>
      <c r="AJ100" s="39">
        <f t="shared" si="65"/>
        <v>5.6228450540365602E-4</v>
      </c>
      <c r="AK100" s="37">
        <f t="shared" si="56"/>
        <v>3.4386788732080634E-2</v>
      </c>
      <c r="AL100" s="37">
        <f t="shared" si="57"/>
        <v>7.7500000000000008E-3</v>
      </c>
      <c r="AM100" s="37">
        <f t="shared" si="58"/>
        <v>0.29112499999999997</v>
      </c>
      <c r="AN100" s="40">
        <f t="shared" si="66"/>
        <v>0.29887499999999995</v>
      </c>
      <c r="AO100" s="39">
        <f t="shared" si="59"/>
        <v>9.1699093608083194E-3</v>
      </c>
      <c r="AP100" s="37">
        <f t="shared" si="60"/>
        <v>2.1600000000000001E-2</v>
      </c>
      <c r="AQ100" s="40">
        <f t="shared" si="61"/>
        <v>2.2499999999999998E-3</v>
      </c>
      <c r="AR100" s="39">
        <f t="shared" si="67"/>
        <v>0.40700797058835825</v>
      </c>
      <c r="AS100" s="37">
        <f t="shared" si="68"/>
        <v>1.054</v>
      </c>
      <c r="AT100" s="40">
        <f t="shared" si="69"/>
        <v>72.141974665309093</v>
      </c>
    </row>
    <row r="101" spans="17:46" x14ac:dyDescent="0.2">
      <c r="Q101">
        <v>94</v>
      </c>
      <c r="R101" s="39">
        <f t="shared" si="45"/>
        <v>170</v>
      </c>
      <c r="S101" s="37">
        <f t="shared" si="46"/>
        <v>6.2666666666666669E-3</v>
      </c>
      <c r="T101" s="37">
        <f t="shared" si="47"/>
        <v>5</v>
      </c>
      <c r="U101" s="40">
        <f t="shared" si="48"/>
        <v>0.32779487179487182</v>
      </c>
      <c r="V101" s="39">
        <f t="shared" si="49"/>
        <v>1</v>
      </c>
      <c r="W101" s="37">
        <f t="shared" si="50"/>
        <v>0.28761084819596078</v>
      </c>
      <c r="X101" s="40">
        <f t="shared" si="51"/>
        <v>1.7430960496724892E-3</v>
      </c>
      <c r="Y101" s="39">
        <f t="shared" si="52"/>
        <v>1.4380542409798041</v>
      </c>
      <c r="Z101" s="37">
        <f t="shared" si="71"/>
        <v>1.4380542409798041</v>
      </c>
      <c r="AA101" s="37">
        <f t="shared" si="72"/>
        <v>0.44661092563884947</v>
      </c>
      <c r="AB101" s="37">
        <v>0</v>
      </c>
      <c r="AC101" s="37">
        <f t="shared" si="53"/>
        <v>6.9811461614996476E-3</v>
      </c>
      <c r="AD101" s="40">
        <f t="shared" si="62"/>
        <v>6.9811461614996476E-3</v>
      </c>
      <c r="AE101" s="39">
        <f t="shared" si="70"/>
        <v>9.427736111120931E-2</v>
      </c>
      <c r="AF101" s="37">
        <f t="shared" si="63"/>
        <v>0.44526367995800986</v>
      </c>
      <c r="AG101" s="37">
        <f t="shared" si="54"/>
        <v>2.3196390128700638E-2</v>
      </c>
      <c r="AH101" s="37">
        <f t="shared" si="55"/>
        <v>4.5904140270179118E-2</v>
      </c>
      <c r="AI101" s="40">
        <f t="shared" si="64"/>
        <v>6.9100530398879756E-2</v>
      </c>
      <c r="AJ101" s="39">
        <f t="shared" si="65"/>
        <v>5.7137794612854116E-4</v>
      </c>
      <c r="AK101" s="37">
        <f t="shared" si="56"/>
        <v>3.4663730472078491E-2</v>
      </c>
      <c r="AL101" s="37">
        <f t="shared" si="57"/>
        <v>7.8333333333333345E-3</v>
      </c>
      <c r="AM101" s="37">
        <f t="shared" si="58"/>
        <v>0.29112499999999997</v>
      </c>
      <c r="AN101" s="40">
        <f t="shared" si="66"/>
        <v>0.29895833333333333</v>
      </c>
      <c r="AO101" s="39">
        <f t="shared" si="59"/>
        <v>9.3182080004182034E-3</v>
      </c>
      <c r="AP101" s="37">
        <f t="shared" si="60"/>
        <v>2.1600000000000001E-2</v>
      </c>
      <c r="AQ101" s="40">
        <f t="shared" si="61"/>
        <v>2.2499999999999998E-3</v>
      </c>
      <c r="AR101" s="39">
        <f t="shared" si="67"/>
        <v>0.40820821789413092</v>
      </c>
      <c r="AS101" s="37">
        <f t="shared" si="68"/>
        <v>1.0653333333333335</v>
      </c>
      <c r="AT101" s="40">
        <f t="shared" si="69"/>
        <v>72.297474913137521</v>
      </c>
    </row>
    <row r="102" spans="17:46" x14ac:dyDescent="0.2">
      <c r="Q102">
        <v>95</v>
      </c>
      <c r="R102" s="39">
        <f t="shared" si="45"/>
        <v>170</v>
      </c>
      <c r="S102" s="37">
        <f t="shared" si="46"/>
        <v>6.333333333333334E-3</v>
      </c>
      <c r="T102" s="37">
        <f t="shared" si="47"/>
        <v>5</v>
      </c>
      <c r="U102" s="40">
        <f t="shared" si="48"/>
        <v>0.33128205128205135</v>
      </c>
      <c r="V102" s="39">
        <f t="shared" si="49"/>
        <v>1</v>
      </c>
      <c r="W102" s="37">
        <f t="shared" si="50"/>
        <v>0.28913664589601917</v>
      </c>
      <c r="X102" s="40">
        <f t="shared" si="51"/>
        <v>1.7523433084607222E-3</v>
      </c>
      <c r="Y102" s="39">
        <f t="shared" si="52"/>
        <v>1.4456832294800961</v>
      </c>
      <c r="Z102" s="37">
        <f t="shared" si="71"/>
        <v>1.4456832294800961</v>
      </c>
      <c r="AA102" s="37">
        <f t="shared" si="72"/>
        <v>0.4501695930192543</v>
      </c>
      <c r="AB102" s="37">
        <v>0</v>
      </c>
      <c r="AC102" s="37">
        <f t="shared" si="53"/>
        <v>7.0928431867692378E-3</v>
      </c>
      <c r="AD102" s="40">
        <f t="shared" si="62"/>
        <v>7.0928431867692378E-3</v>
      </c>
      <c r="AE102" s="39">
        <f t="shared" si="70"/>
        <v>9.5785781153245347E-2</v>
      </c>
      <c r="AF102" s="37">
        <f t="shared" si="63"/>
        <v>0.44881161226906785</v>
      </c>
      <c r="AG102" s="37">
        <f t="shared" si="54"/>
        <v>2.3567528006984535E-2</v>
      </c>
      <c r="AH102" s="37">
        <f t="shared" si="55"/>
        <v>4.6392482187946983E-2</v>
      </c>
      <c r="AI102" s="40">
        <f t="shared" si="64"/>
        <v>6.9960010194931518E-2</v>
      </c>
      <c r="AJ102" s="39">
        <f t="shared" si="65"/>
        <v>5.8051988577724446E-4</v>
      </c>
      <c r="AK102" s="37">
        <f t="shared" si="56"/>
        <v>3.4939936627890009E-2</v>
      </c>
      <c r="AL102" s="37">
        <f t="shared" si="57"/>
        <v>7.9166666666666673E-3</v>
      </c>
      <c r="AM102" s="37">
        <f t="shared" si="58"/>
        <v>0.29112499999999997</v>
      </c>
      <c r="AN102" s="40">
        <f t="shared" si="66"/>
        <v>0.29904166666666665</v>
      </c>
      <c r="AO102" s="39">
        <f t="shared" si="59"/>
        <v>9.4672975754553253E-3</v>
      </c>
      <c r="AP102" s="37">
        <f t="shared" si="60"/>
        <v>2.1600000000000001E-2</v>
      </c>
      <c r="AQ102" s="40">
        <f t="shared" si="61"/>
        <v>2.2499999999999998E-3</v>
      </c>
      <c r="AR102" s="39">
        <f t="shared" si="67"/>
        <v>0.40941181762382273</v>
      </c>
      <c r="AS102" s="37">
        <f t="shared" si="68"/>
        <v>1.0766666666666669</v>
      </c>
      <c r="AT102" s="40">
        <f t="shared" si="69"/>
        <v>72.450188738228633</v>
      </c>
    </row>
    <row r="103" spans="17:46" x14ac:dyDescent="0.2">
      <c r="Q103">
        <v>96</v>
      </c>
      <c r="R103" s="39">
        <f t="shared" si="45"/>
        <v>170</v>
      </c>
      <c r="S103" s="37">
        <f t="shared" ref="S103:S134" si="73">Q103*$O$12</f>
        <v>6.4000000000000003E-3</v>
      </c>
      <c r="T103" s="37">
        <f t="shared" si="47"/>
        <v>5</v>
      </c>
      <c r="U103" s="40">
        <f t="shared" ref="U103:U134" si="74">(R103*S103)/(T103*EFF_est)</f>
        <v>0.33476923076923082</v>
      </c>
      <c r="V103" s="39">
        <f t="shared" ref="V103:V134" si="75">IF((S103*R103/T103)&lt;((T103*(1-(T103/R103)))/(2*Lm*Fsw)),1,2)</f>
        <v>1</v>
      </c>
      <c r="W103" s="37">
        <f t="shared" ref="W103:W134" si="76">CHOOSE(V103,SQRT((2*S103*Lm*Fsw*(R103-T103))/((T103)^2)),1-(T103/R103))</f>
        <v>0.29065443399335922</v>
      </c>
      <c r="X103" s="40">
        <f t="shared" ref="X103:X134" si="77">CHOOSE(V103,(Lm*W103*Fsw)/(R103-T103),1-W103)</f>
        <v>1.7615420242021768E-3</v>
      </c>
      <c r="Y103" s="39">
        <f t="shared" ref="Y103:Y134" si="78">(T103*W103)/(Lm*Fsw)</f>
        <v>1.4532721699667963</v>
      </c>
      <c r="Z103" s="37">
        <f t="shared" si="71"/>
        <v>1.4532721699667963</v>
      </c>
      <c r="AA103" s="37">
        <f t="shared" si="72"/>
        <v>0.45371890760289391</v>
      </c>
      <c r="AB103" s="37">
        <v>0</v>
      </c>
      <c r="AC103" s="37">
        <f t="shared" ref="AC103:AC134" si="79">(AA103^2)*Rdcr</f>
        <v>7.2051296490727185E-3</v>
      </c>
      <c r="AD103" s="40">
        <f t="shared" si="62"/>
        <v>7.2051296490727185E-3</v>
      </c>
      <c r="AE103" s="39">
        <f t="shared" si="70"/>
        <v>9.7302161287623035E-2</v>
      </c>
      <c r="AF103" s="37">
        <f t="shared" si="63"/>
        <v>0.45235021999698971</v>
      </c>
      <c r="AG103" s="37">
        <f t="shared" ref="AG103:AG134" si="80">(AF103^2)*RDS_on</f>
        <v>2.3940624419165026E-2</v>
      </c>
      <c r="AH103" s="37">
        <f t="shared" ref="AH103:AH134" si="81">((R103*U103)/2)*Fsw*(tr_sw+tf_sw)</f>
        <v>4.6880824105714848E-2</v>
      </c>
      <c r="AI103" s="40">
        <f t="shared" si="64"/>
        <v>7.0821448524879871E-2</v>
      </c>
      <c r="AJ103" s="39">
        <f t="shared" si="65"/>
        <v>5.8971006840983652E-4</v>
      </c>
      <c r="AK103" s="37">
        <f t="shared" ref="AK103:AK134" si="82">CHOOSE(V103,Z103*SQRT(X103/3),SQRT(X103*((Z103^2)+((Y103^2)/3)-(Y103*Z103))))</f>
        <v>3.5215416865888909E-2</v>
      </c>
      <c r="AL103" s="37">
        <f t="shared" ref="AL103:AL134" si="83">S103*Vd_rect</f>
        <v>8.0000000000000002E-3</v>
      </c>
      <c r="AM103" s="37">
        <f t="shared" ref="AM103:AM134" si="84">CHOOSE(V103,(R103+Vd_rect)*Qrr*Fsw,(R103+Vd_rect)*Qrr*Fsw)</f>
        <v>0.29112499999999997</v>
      </c>
      <c r="AN103" s="40">
        <f t="shared" si="66"/>
        <v>0.29912499999999997</v>
      </c>
      <c r="AO103" s="39">
        <f t="shared" ref="AO103:AO134" si="85">(AF103^2)*R_cs</f>
        <v>9.6171739119722752E-3</v>
      </c>
      <c r="AP103" s="37">
        <f t="shared" ref="AP103:AP134" si="86">Qg_tot*Vcc*Fsw</f>
        <v>2.1600000000000001E-2</v>
      </c>
      <c r="AQ103" s="40">
        <f t="shared" ref="AQ103:AQ134" si="87">IQ*T103</f>
        <v>2.2499999999999998E-3</v>
      </c>
      <c r="AR103" s="39">
        <f t="shared" si="67"/>
        <v>0.4106187520859248</v>
      </c>
      <c r="AS103" s="37">
        <f t="shared" si="68"/>
        <v>1.0880000000000001</v>
      </c>
      <c r="AT103" s="40">
        <f t="shared" si="69"/>
        <v>72.600185903560515</v>
      </c>
    </row>
    <row r="104" spans="17:46" x14ac:dyDescent="0.2">
      <c r="Q104">
        <v>97</v>
      </c>
      <c r="R104" s="39">
        <f t="shared" si="45"/>
        <v>170</v>
      </c>
      <c r="S104" s="37">
        <f t="shared" si="73"/>
        <v>6.4666666666666666E-3</v>
      </c>
      <c r="T104" s="37">
        <f t="shared" si="47"/>
        <v>5</v>
      </c>
      <c r="U104" s="40">
        <f t="shared" si="74"/>
        <v>0.33825641025641023</v>
      </c>
      <c r="V104" s="39">
        <f t="shared" si="75"/>
        <v>1</v>
      </c>
      <c r="W104" s="37">
        <f t="shared" si="76"/>
        <v>0.29216433731720232</v>
      </c>
      <c r="X104" s="40">
        <f t="shared" si="77"/>
        <v>1.7706929534375894E-3</v>
      </c>
      <c r="Y104" s="39">
        <f t="shared" si="78"/>
        <v>1.4608216865860117</v>
      </c>
      <c r="Z104" s="37">
        <f t="shared" si="71"/>
        <v>1.4608216865860117</v>
      </c>
      <c r="AA104" s="37">
        <f t="shared" si="72"/>
        <v>0.45725899101696021</v>
      </c>
      <c r="AB104" s="37">
        <v>0</v>
      </c>
      <c r="AC104" s="37">
        <f t="shared" si="79"/>
        <v>7.3180024703046985E-3</v>
      </c>
      <c r="AD104" s="40">
        <f t="shared" si="62"/>
        <v>7.3180024703046985E-3</v>
      </c>
      <c r="AE104" s="39">
        <f t="shared" si="70"/>
        <v>9.8826459945859813E-2</v>
      </c>
      <c r="AF104" s="37">
        <f t="shared" si="63"/>
        <v>0.4558796244020672</v>
      </c>
      <c r="AG104" s="37">
        <f t="shared" si="80"/>
        <v>2.4315669137561474E-2</v>
      </c>
      <c r="AH104" s="37">
        <f t="shared" si="81"/>
        <v>4.7369166023482699E-2</v>
      </c>
      <c r="AI104" s="40">
        <f t="shared" si="64"/>
        <v>7.168483516104418E-2</v>
      </c>
      <c r="AJ104" s="39">
        <f t="shared" si="65"/>
        <v>5.9894824209611992E-4</v>
      </c>
      <c r="AK104" s="37">
        <f t="shared" si="82"/>
        <v>3.5490180626176093E-2</v>
      </c>
      <c r="AL104" s="37">
        <f t="shared" si="83"/>
        <v>8.083333333333333E-3</v>
      </c>
      <c r="AM104" s="37">
        <f t="shared" si="84"/>
        <v>0.29112499999999997</v>
      </c>
      <c r="AN104" s="40">
        <f t="shared" si="66"/>
        <v>0.2992083333333333</v>
      </c>
      <c r="AO104" s="39">
        <f t="shared" si="85"/>
        <v>9.7678329014135833E-3</v>
      </c>
      <c r="AP104" s="37">
        <f t="shared" si="86"/>
        <v>2.1600000000000001E-2</v>
      </c>
      <c r="AQ104" s="40">
        <f t="shared" si="87"/>
        <v>2.2499999999999998E-3</v>
      </c>
      <c r="AR104" s="39">
        <f t="shared" si="67"/>
        <v>0.41182900386609572</v>
      </c>
      <c r="AS104" s="37">
        <f t="shared" si="68"/>
        <v>1.0993333333333333</v>
      </c>
      <c r="AT104" s="40">
        <f t="shared" si="69"/>
        <v>72.747533886443975</v>
      </c>
    </row>
    <row r="105" spans="17:46" x14ac:dyDescent="0.2">
      <c r="Q105">
        <v>98</v>
      </c>
      <c r="R105" s="39">
        <f t="shared" si="45"/>
        <v>170</v>
      </c>
      <c r="S105" s="37">
        <f t="shared" si="73"/>
        <v>6.5333333333333337E-3</v>
      </c>
      <c r="T105" s="37">
        <f t="shared" si="47"/>
        <v>5</v>
      </c>
      <c r="U105" s="40">
        <f t="shared" si="74"/>
        <v>0.34174358974358976</v>
      </c>
      <c r="V105" s="39">
        <f t="shared" si="75"/>
        <v>1</v>
      </c>
      <c r="W105" s="37">
        <f t="shared" si="76"/>
        <v>0.29366647748764246</v>
      </c>
      <c r="X105" s="40">
        <f t="shared" si="77"/>
        <v>1.7797968332584387E-3</v>
      </c>
      <c r="Y105" s="39">
        <f t="shared" si="78"/>
        <v>1.4683323874382126</v>
      </c>
      <c r="Z105" s="37">
        <f t="shared" si="71"/>
        <v>1.4683323874382126</v>
      </c>
      <c r="AA105" s="37">
        <f t="shared" si="72"/>
        <v>0.46078996207088496</v>
      </c>
      <c r="AB105" s="37">
        <v>0</v>
      </c>
      <c r="AC105" s="37">
        <f t="shared" si="79"/>
        <v>7.4314586200850668E-3</v>
      </c>
      <c r="AD105" s="40">
        <f t="shared" si="62"/>
        <v>7.4314586200850668E-3</v>
      </c>
      <c r="AE105" s="39">
        <f t="shared" si="70"/>
        <v>0.10035863620398203</v>
      </c>
      <c r="AF105" s="37">
        <f t="shared" si="63"/>
        <v>0.45939994393533162</v>
      </c>
      <c r="AG105" s="37">
        <f t="shared" si="80"/>
        <v>2.4692652093070942E-2</v>
      </c>
      <c r="AH105" s="37">
        <f t="shared" si="81"/>
        <v>4.7857507941250571E-2</v>
      </c>
      <c r="AI105" s="40">
        <f t="shared" si="64"/>
        <v>7.255016003432152E-2</v>
      </c>
      <c r="AJ105" s="39">
        <f t="shared" si="65"/>
        <v>6.0823415881201208E-4</v>
      </c>
      <c r="AK105" s="37">
        <f t="shared" si="82"/>
        <v>3.5764237130151845E-2</v>
      </c>
      <c r="AL105" s="37">
        <f t="shared" si="83"/>
        <v>8.1666666666666676E-3</v>
      </c>
      <c r="AM105" s="37">
        <f t="shared" si="84"/>
        <v>0.29112499999999997</v>
      </c>
      <c r="AN105" s="40">
        <f t="shared" si="66"/>
        <v>0.29929166666666662</v>
      </c>
      <c r="AO105" s="39">
        <f t="shared" si="85"/>
        <v>9.9192704989259344E-3</v>
      </c>
      <c r="AP105" s="37">
        <f t="shared" si="86"/>
        <v>2.1600000000000001E-2</v>
      </c>
      <c r="AQ105" s="40">
        <f t="shared" si="87"/>
        <v>2.2499999999999998E-3</v>
      </c>
      <c r="AR105" s="39">
        <f t="shared" si="67"/>
        <v>0.4130425558199991</v>
      </c>
      <c r="AS105" s="37">
        <f t="shared" si="68"/>
        <v>1.1106666666666667</v>
      </c>
      <c r="AT105" s="40">
        <f t="shared" si="69"/>
        <v>72.892297971005178</v>
      </c>
    </row>
    <row r="106" spans="17:46" x14ac:dyDescent="0.2">
      <c r="Q106">
        <v>99</v>
      </c>
      <c r="R106" s="39">
        <f t="shared" si="45"/>
        <v>170</v>
      </c>
      <c r="S106" s="37">
        <f t="shared" si="73"/>
        <v>6.6E-3</v>
      </c>
      <c r="T106" s="37">
        <f t="shared" si="47"/>
        <v>5</v>
      </c>
      <c r="U106" s="40">
        <f t="shared" si="74"/>
        <v>0.34523076923076917</v>
      </c>
      <c r="V106" s="39">
        <f t="shared" si="75"/>
        <v>1</v>
      </c>
      <c r="W106" s="37">
        <f t="shared" si="76"/>
        <v>0.29516097302997224</v>
      </c>
      <c r="X106" s="40">
        <f t="shared" si="77"/>
        <v>1.7888543819998314E-3</v>
      </c>
      <c r="Y106" s="39">
        <f t="shared" si="78"/>
        <v>1.4758048651498614</v>
      </c>
      <c r="Z106" s="37">
        <f t="shared" si="71"/>
        <v>1.4758048651498614</v>
      </c>
      <c r="AA106" s="37">
        <f t="shared" si="72"/>
        <v>0.46431193684966982</v>
      </c>
      <c r="AB106" s="37">
        <v>0</v>
      </c>
      <c r="AC106" s="37">
        <f t="shared" si="79"/>
        <v>7.5454951145382124E-3</v>
      </c>
      <c r="AD106" s="40">
        <f t="shared" si="62"/>
        <v>7.5454951145382124E-3</v>
      </c>
      <c r="AE106" s="39">
        <f t="shared" si="70"/>
        <v>0.10189864976603963</v>
      </c>
      <c r="AF106" s="37">
        <f t="shared" si="63"/>
        <v>0.46291129433160294</v>
      </c>
      <c r="AG106" s="37">
        <f t="shared" si="80"/>
        <v>2.5071563371111914E-2</v>
      </c>
      <c r="AH106" s="37">
        <f t="shared" si="81"/>
        <v>4.8345849859018422E-2</v>
      </c>
      <c r="AI106" s="40">
        <f t="shared" si="64"/>
        <v>7.3417413230130332E-2</v>
      </c>
      <c r="AJ106" s="39">
        <f t="shared" si="65"/>
        <v>6.1756757433963398E-4</v>
      </c>
      <c r="AK106" s="37">
        <f t="shared" si="82"/>
        <v>3.6037595387759684E-2</v>
      </c>
      <c r="AL106" s="37">
        <f t="shared" si="83"/>
        <v>8.2500000000000004E-3</v>
      </c>
      <c r="AM106" s="37">
        <f t="shared" si="84"/>
        <v>0.29112499999999997</v>
      </c>
      <c r="AN106" s="40">
        <f t="shared" si="66"/>
        <v>0.29937499999999995</v>
      </c>
      <c r="AO106" s="39">
        <f t="shared" si="85"/>
        <v>1.0071482721728718E-2</v>
      </c>
      <c r="AP106" s="37">
        <f t="shared" si="86"/>
        <v>2.1600000000000001E-2</v>
      </c>
      <c r="AQ106" s="40">
        <f t="shared" si="87"/>
        <v>2.2499999999999998E-3</v>
      </c>
      <c r="AR106" s="39">
        <f t="shared" si="67"/>
        <v>0.4142593910663972</v>
      </c>
      <c r="AS106" s="37">
        <f t="shared" si="68"/>
        <v>1.1219999999999999</v>
      </c>
      <c r="AT106" s="40">
        <f t="shared" si="69"/>
        <v>73.034541336223285</v>
      </c>
    </row>
    <row r="107" spans="17:46" x14ac:dyDescent="0.2">
      <c r="Q107">
        <v>100</v>
      </c>
      <c r="R107" s="39">
        <f t="shared" si="45"/>
        <v>170</v>
      </c>
      <c r="S107" s="37">
        <f t="shared" si="73"/>
        <v>6.6666666666666671E-3</v>
      </c>
      <c r="T107" s="37">
        <f t="shared" si="47"/>
        <v>5</v>
      </c>
      <c r="U107" s="40">
        <f t="shared" si="74"/>
        <v>0.3487179487179487</v>
      </c>
      <c r="V107" s="39">
        <f t="shared" si="75"/>
        <v>1</v>
      </c>
      <c r="W107" s="37">
        <f t="shared" si="76"/>
        <v>0.29664793948382651</v>
      </c>
      <c r="X107" s="40">
        <f t="shared" si="77"/>
        <v>1.7978662999019784E-3</v>
      </c>
      <c r="Y107" s="39">
        <f t="shared" si="78"/>
        <v>1.4832396974191326</v>
      </c>
      <c r="Z107" s="37">
        <f t="shared" si="71"/>
        <v>1.4832396974191326</v>
      </c>
      <c r="AA107" s="37">
        <f t="shared" si="72"/>
        <v>0.46782502880322069</v>
      </c>
      <c r="AB107" s="37">
        <v>0</v>
      </c>
      <c r="AC107" s="37">
        <f t="shared" si="79"/>
        <v>7.6601090151156995E-3</v>
      </c>
      <c r="AD107" s="40">
        <f t="shared" si="62"/>
        <v>7.6601090151156995E-3</v>
      </c>
      <c r="AE107" s="39">
        <f t="shared" si="70"/>
        <v>0.10344646094820616</v>
      </c>
      <c r="AF107" s="37">
        <f t="shared" si="63"/>
        <v>0.4664137886985541</v>
      </c>
      <c r="AG107" s="37">
        <f t="shared" si="80"/>
        <v>2.545239320771232E-2</v>
      </c>
      <c r="AH107" s="37">
        <f t="shared" si="81"/>
        <v>4.8834191776786287E-2</v>
      </c>
      <c r="AI107" s="40">
        <f t="shared" si="64"/>
        <v>7.428658498449861E-2</v>
      </c>
      <c r="AJ107" s="39">
        <f t="shared" si="65"/>
        <v>6.2694824817094625E-4</v>
      </c>
      <c r="AK107" s="37">
        <f t="shared" si="82"/>
        <v>3.6310264204419997E-2</v>
      </c>
      <c r="AL107" s="37">
        <f t="shared" si="83"/>
        <v>8.3333333333333332E-3</v>
      </c>
      <c r="AM107" s="37">
        <f t="shared" si="84"/>
        <v>0.29112499999999997</v>
      </c>
      <c r="AN107" s="40">
        <f t="shared" si="66"/>
        <v>0.29945833333333333</v>
      </c>
      <c r="AO107" s="39">
        <f t="shared" si="85"/>
        <v>1.0224465647542556E-2</v>
      </c>
      <c r="AP107" s="37">
        <f t="shared" si="86"/>
        <v>2.1600000000000001E-2</v>
      </c>
      <c r="AQ107" s="40">
        <f t="shared" si="87"/>
        <v>2.2499999999999998E-3</v>
      </c>
      <c r="AR107" s="39">
        <f t="shared" si="67"/>
        <v>0.41547949298049019</v>
      </c>
      <c r="AS107" s="37">
        <f t="shared" si="68"/>
        <v>1.1333333333333333</v>
      </c>
      <c r="AT107" s="40">
        <f t="shared" si="69"/>
        <v>73.174325139769664</v>
      </c>
    </row>
    <row r="108" spans="17:46" x14ac:dyDescent="0.2">
      <c r="Q108">
        <v>101</v>
      </c>
      <c r="R108" s="39">
        <f t="shared" si="45"/>
        <v>170</v>
      </c>
      <c r="S108" s="37">
        <f t="shared" si="73"/>
        <v>6.7333333333333334E-3</v>
      </c>
      <c r="T108" s="37">
        <f t="shared" si="47"/>
        <v>5</v>
      </c>
      <c r="U108" s="40">
        <f t="shared" si="74"/>
        <v>0.35220512820512823</v>
      </c>
      <c r="V108" s="39">
        <f t="shared" si="75"/>
        <v>1</v>
      </c>
      <c r="W108" s="37">
        <f t="shared" si="76"/>
        <v>0.29812748950742529</v>
      </c>
      <c r="X108" s="40">
        <f t="shared" si="77"/>
        <v>1.8068332697419715E-3</v>
      </c>
      <c r="Y108" s="39">
        <f t="shared" si="78"/>
        <v>1.4906374475371267</v>
      </c>
      <c r="Z108" s="37">
        <f t="shared" si="71"/>
        <v>1.4906374475371267</v>
      </c>
      <c r="AA108" s="37">
        <f t="shared" si="72"/>
        <v>0.47132934883188476</v>
      </c>
      <c r="AB108" s="37">
        <v>0</v>
      </c>
      <c r="AC108" s="37">
        <f t="shared" si="79"/>
        <v>7.775297427460099E-3</v>
      </c>
      <c r="AD108" s="40">
        <f t="shared" si="62"/>
        <v>7.775297427460099E-3</v>
      </c>
      <c r="AE108" s="39">
        <f t="shared" si="70"/>
        <v>0.10500203066343575</v>
      </c>
      <c r="AF108" s="37">
        <f t="shared" si="63"/>
        <v>0.46990753760199072</v>
      </c>
      <c r="AG108" s="37">
        <f t="shared" si="80"/>
        <v>2.583513198573446E-2</v>
      </c>
      <c r="AH108" s="37">
        <f t="shared" si="81"/>
        <v>4.9322533694554159E-2</v>
      </c>
      <c r="AI108" s="40">
        <f t="shared" si="64"/>
        <v>7.5157665680288616E-2</v>
      </c>
      <c r="AJ108" s="39">
        <f t="shared" si="65"/>
        <v>6.3637594341476211E-4</v>
      </c>
      <c r="AK108" s="37">
        <f t="shared" si="82"/>
        <v>3.6582252187669098E-2</v>
      </c>
      <c r="AL108" s="37">
        <f t="shared" si="83"/>
        <v>8.416666666666666E-3</v>
      </c>
      <c r="AM108" s="37">
        <f t="shared" si="84"/>
        <v>0.29112499999999997</v>
      </c>
      <c r="AN108" s="40">
        <f t="shared" si="66"/>
        <v>0.29954166666666665</v>
      </c>
      <c r="AO108" s="39">
        <f t="shared" si="85"/>
        <v>1.0378215413072817E-2</v>
      </c>
      <c r="AP108" s="37">
        <f t="shared" si="86"/>
        <v>2.1600000000000001E-2</v>
      </c>
      <c r="AQ108" s="40">
        <f t="shared" si="87"/>
        <v>2.2499999999999998E-3</v>
      </c>
      <c r="AR108" s="39">
        <f t="shared" si="67"/>
        <v>0.41670284518748818</v>
      </c>
      <c r="AS108" s="37">
        <f t="shared" si="68"/>
        <v>1.1446666666666667</v>
      </c>
      <c r="AT108" s="40">
        <f t="shared" si="69"/>
        <v>73.311708597880468</v>
      </c>
    </row>
    <row r="109" spans="17:46" x14ac:dyDescent="0.2">
      <c r="Q109">
        <v>102</v>
      </c>
      <c r="R109" s="39">
        <f t="shared" si="45"/>
        <v>170</v>
      </c>
      <c r="S109" s="37">
        <f t="shared" si="73"/>
        <v>6.8000000000000005E-3</v>
      </c>
      <c r="T109" s="37">
        <f t="shared" si="47"/>
        <v>5</v>
      </c>
      <c r="U109" s="40">
        <f t="shared" si="74"/>
        <v>0.35569230769230775</v>
      </c>
      <c r="V109" s="39">
        <f t="shared" si="75"/>
        <v>1</v>
      </c>
      <c r="W109" s="37">
        <f t="shared" si="76"/>
        <v>0.29959973297718406</v>
      </c>
      <c r="X109" s="40">
        <f t="shared" si="77"/>
        <v>1.8157559574374788E-3</v>
      </c>
      <c r="Y109" s="39">
        <f t="shared" si="78"/>
        <v>1.4979986648859205</v>
      </c>
      <c r="Z109" s="37">
        <f t="shared" si="71"/>
        <v>1.4979986648859205</v>
      </c>
      <c r="AA109" s="37">
        <f t="shared" si="72"/>
        <v>0.47482500536839561</v>
      </c>
      <c r="AB109" s="37">
        <v>0</v>
      </c>
      <c r="AC109" s="37">
        <f t="shared" si="79"/>
        <v>7.8910575003083919E-3</v>
      </c>
      <c r="AD109" s="40">
        <f t="shared" si="62"/>
        <v>7.8910575003083919E-3</v>
      </c>
      <c r="AE109" s="39">
        <f t="shared" si="70"/>
        <v>0.1065653204066538</v>
      </c>
      <c r="AF109" s="37">
        <f t="shared" si="63"/>
        <v>0.47339264914754825</v>
      </c>
      <c r="AG109" s="37">
        <f t="shared" si="80"/>
        <v>2.6219770231231246E-2</v>
      </c>
      <c r="AH109" s="37">
        <f t="shared" si="81"/>
        <v>4.9810875612322024E-2</v>
      </c>
      <c r="AI109" s="40">
        <f t="shared" si="64"/>
        <v>7.6030645843553263E-2</v>
      </c>
      <c r="AJ109" s="39">
        <f t="shared" si="65"/>
        <v>6.4585042670699255E-4</v>
      </c>
      <c r="AK109" s="37">
        <f t="shared" si="82"/>
        <v>3.6853567753519258E-2</v>
      </c>
      <c r="AL109" s="37">
        <f t="shared" si="83"/>
        <v>8.5000000000000006E-3</v>
      </c>
      <c r="AM109" s="37">
        <f t="shared" si="84"/>
        <v>0.29112499999999997</v>
      </c>
      <c r="AN109" s="40">
        <f t="shared" si="66"/>
        <v>0.29962499999999997</v>
      </c>
      <c r="AO109" s="39">
        <f t="shared" si="85"/>
        <v>1.0532728212545884E-2</v>
      </c>
      <c r="AP109" s="37">
        <f t="shared" si="86"/>
        <v>2.1600000000000001E-2</v>
      </c>
      <c r="AQ109" s="40">
        <f t="shared" si="87"/>
        <v>2.2499999999999998E-3</v>
      </c>
      <c r="AR109" s="39">
        <f t="shared" si="67"/>
        <v>0.41792943155640744</v>
      </c>
      <c r="AS109" s="37">
        <f t="shared" si="68"/>
        <v>1.1560000000000001</v>
      </c>
      <c r="AT109" s="40">
        <f t="shared" si="69"/>
        <v>73.446749061479167</v>
      </c>
    </row>
    <row r="110" spans="17:46" x14ac:dyDescent="0.2">
      <c r="Q110">
        <v>103</v>
      </c>
      <c r="R110" s="39">
        <f t="shared" si="45"/>
        <v>170</v>
      </c>
      <c r="S110" s="37">
        <f t="shared" si="73"/>
        <v>6.8666666666666668E-3</v>
      </c>
      <c r="T110" s="37">
        <f t="shared" si="47"/>
        <v>5</v>
      </c>
      <c r="U110" s="40">
        <f t="shared" si="74"/>
        <v>0.35917948717948717</v>
      </c>
      <c r="V110" s="39">
        <f t="shared" si="75"/>
        <v>1</v>
      </c>
      <c r="W110" s="37">
        <f t="shared" si="76"/>
        <v>0.30106477708293938</v>
      </c>
      <c r="X110" s="40">
        <f t="shared" si="77"/>
        <v>1.8246350126238746E-3</v>
      </c>
      <c r="Y110" s="39">
        <f t="shared" si="78"/>
        <v>1.5053238854146971</v>
      </c>
      <c r="Z110" s="37">
        <f t="shared" si="71"/>
        <v>1.5053238854146971</v>
      </c>
      <c r="AA110" s="37">
        <f t="shared" si="72"/>
        <v>0.4783121044564056</v>
      </c>
      <c r="AB110" s="37">
        <v>0</v>
      </c>
      <c r="AC110" s="37">
        <f t="shared" si="79"/>
        <v>8.0073864244330408E-3</v>
      </c>
      <c r="AD110" s="40">
        <f t="shared" si="62"/>
        <v>8.0073864244330408E-3</v>
      </c>
      <c r="AE110" s="39">
        <f t="shared" si="70"/>
        <v>0.10813629224045679</v>
      </c>
      <c r="AF110" s="37">
        <f t="shared" si="63"/>
        <v>0.47686922905898799</v>
      </c>
      <c r="AG110" s="37">
        <f t="shared" si="80"/>
        <v>2.6606298609927689E-2</v>
      </c>
      <c r="AH110" s="37">
        <f t="shared" si="81"/>
        <v>5.0299217530089882E-2</v>
      </c>
      <c r="AI110" s="40">
        <f t="shared" si="64"/>
        <v>7.6905516140017574E-2</v>
      </c>
      <c r="AJ110" s="39">
        <f t="shared" si="65"/>
        <v>6.5537146812398041E-4</v>
      </c>
      <c r="AK110" s="37">
        <f t="shared" si="82"/>
        <v>3.7124219132554155E-2</v>
      </c>
      <c r="AL110" s="37">
        <f t="shared" si="83"/>
        <v>8.5833333333333334E-3</v>
      </c>
      <c r="AM110" s="37">
        <f t="shared" si="84"/>
        <v>0.29112499999999997</v>
      </c>
      <c r="AN110" s="40">
        <f t="shared" si="66"/>
        <v>0.2997083333333333</v>
      </c>
      <c r="AO110" s="39">
        <f t="shared" si="85"/>
        <v>1.0688000296295738E-2</v>
      </c>
      <c r="AP110" s="37">
        <f t="shared" si="86"/>
        <v>2.1600000000000001E-2</v>
      </c>
      <c r="AQ110" s="40">
        <f t="shared" si="87"/>
        <v>2.2499999999999998E-3</v>
      </c>
      <c r="AR110" s="39">
        <f t="shared" si="67"/>
        <v>0.41915923619407963</v>
      </c>
      <c r="AS110" s="37">
        <f t="shared" si="68"/>
        <v>1.1673333333333333</v>
      </c>
      <c r="AT110" s="40">
        <f t="shared" si="69"/>
        <v>73.57950208875296</v>
      </c>
    </row>
    <row r="111" spans="17:46" x14ac:dyDescent="0.2">
      <c r="Q111">
        <v>104</v>
      </c>
      <c r="R111" s="39">
        <f t="shared" si="45"/>
        <v>170</v>
      </c>
      <c r="S111" s="37">
        <f t="shared" si="73"/>
        <v>6.9333333333333339E-3</v>
      </c>
      <c r="T111" s="37">
        <f t="shared" si="47"/>
        <v>5</v>
      </c>
      <c r="U111" s="40">
        <f t="shared" si="74"/>
        <v>0.36266666666666669</v>
      </c>
      <c r="V111" s="39">
        <f t="shared" si="75"/>
        <v>1</v>
      </c>
      <c r="W111" s="37">
        <f t="shared" si="76"/>
        <v>0.30252272641902456</v>
      </c>
      <c r="X111" s="40">
        <f t="shared" si="77"/>
        <v>1.8334710692062095E-3</v>
      </c>
      <c r="Y111" s="39">
        <f t="shared" si="78"/>
        <v>1.5126136320951231</v>
      </c>
      <c r="Z111" s="37">
        <f t="shared" si="71"/>
        <v>1.5126136320951231</v>
      </c>
      <c r="AA111" s="37">
        <f t="shared" si="72"/>
        <v>0.48179074982578352</v>
      </c>
      <c r="AB111" s="37">
        <v>0</v>
      </c>
      <c r="AC111" s="37">
        <f t="shared" si="79"/>
        <v>8.1242814316191767E-3</v>
      </c>
      <c r="AD111" s="40">
        <f t="shared" si="62"/>
        <v>8.1242814316191767E-3</v>
      </c>
      <c r="AE111" s="39">
        <f t="shared" si="70"/>
        <v>0.10971490878129958</v>
      </c>
      <c r="AF111" s="37">
        <f t="shared" si="63"/>
        <v>0.48033738075326743</v>
      </c>
      <c r="AG111" s="37">
        <f t="shared" si="80"/>
        <v>2.6994707923822404E-2</v>
      </c>
      <c r="AH111" s="37">
        <f t="shared" si="81"/>
        <v>5.0787559447857747E-2</v>
      </c>
      <c r="AI111" s="40">
        <f t="shared" si="64"/>
        <v>7.7782267371680147E-2</v>
      </c>
      <c r="AJ111" s="39">
        <f t="shared" si="65"/>
        <v>6.6493884109878536E-4</v>
      </c>
      <c r="AK111" s="37">
        <f t="shared" si="82"/>
        <v>3.7394214375773019E-2</v>
      </c>
      <c r="AL111" s="37">
        <f t="shared" si="83"/>
        <v>8.666666666666668E-3</v>
      </c>
      <c r="AM111" s="37">
        <f t="shared" si="84"/>
        <v>0.29112499999999997</v>
      </c>
      <c r="AN111" s="40">
        <f t="shared" si="66"/>
        <v>0.29979166666666662</v>
      </c>
      <c r="AO111" s="39">
        <f t="shared" si="85"/>
        <v>1.0844027969398743E-2</v>
      </c>
      <c r="AP111" s="37">
        <f t="shared" si="86"/>
        <v>2.1600000000000001E-2</v>
      </c>
      <c r="AQ111" s="40">
        <f t="shared" si="87"/>
        <v>2.2499999999999998E-3</v>
      </c>
      <c r="AR111" s="39">
        <f t="shared" si="67"/>
        <v>0.42039224343936471</v>
      </c>
      <c r="AS111" s="37">
        <f t="shared" si="68"/>
        <v>1.1786666666666668</v>
      </c>
      <c r="AT111" s="40">
        <f t="shared" si="69"/>
        <v>73.710021514373778</v>
      </c>
    </row>
    <row r="112" spans="17:46" x14ac:dyDescent="0.2">
      <c r="Q112">
        <v>105</v>
      </c>
      <c r="R112" s="39">
        <f t="shared" si="45"/>
        <v>170</v>
      </c>
      <c r="S112" s="37">
        <f t="shared" si="73"/>
        <v>7.0000000000000001E-3</v>
      </c>
      <c r="T112" s="37">
        <f t="shared" si="47"/>
        <v>5</v>
      </c>
      <c r="U112" s="40">
        <f t="shared" si="74"/>
        <v>0.36615384615384616</v>
      </c>
      <c r="V112" s="39">
        <f t="shared" si="75"/>
        <v>1</v>
      </c>
      <c r="W112" s="37">
        <f t="shared" si="76"/>
        <v>0.30397368307141326</v>
      </c>
      <c r="X112" s="40">
        <f t="shared" si="77"/>
        <v>1.8422647458873531E-3</v>
      </c>
      <c r="Y112" s="39">
        <f t="shared" si="78"/>
        <v>1.5198684153570665</v>
      </c>
      <c r="Z112" s="37">
        <f t="shared" si="71"/>
        <v>1.5198684153570665</v>
      </c>
      <c r="AA112" s="37">
        <f t="shared" si="72"/>
        <v>0.48526104296483707</v>
      </c>
      <c r="AB112" s="37">
        <v>0</v>
      </c>
      <c r="AC112" s="37">
        <f t="shared" si="79"/>
        <v>8.2417397936762511E-3</v>
      </c>
      <c r="AD112" s="40">
        <f t="shared" si="62"/>
        <v>8.2417397936762511E-3</v>
      </c>
      <c r="AE112" s="39">
        <f t="shared" si="70"/>
        <v>0.11130113318614825</v>
      </c>
      <c r="AF112" s="37">
        <f t="shared" si="63"/>
        <v>0.48379720541254501</v>
      </c>
      <c r="AG112" s="37">
        <f t="shared" si="80"/>
        <v>2.7384989107903629E-2</v>
      </c>
      <c r="AH112" s="37">
        <f t="shared" si="81"/>
        <v>5.1275901365625605E-2</v>
      </c>
      <c r="AI112" s="40">
        <f t="shared" si="64"/>
        <v>7.8660890473529227E-2</v>
      </c>
      <c r="AJ112" s="39">
        <f t="shared" si="65"/>
        <v>6.745523223402924E-4</v>
      </c>
      <c r="AK112" s="37">
        <f t="shared" si="82"/>
        <v>3.766356136019617E-2</v>
      </c>
      <c r="AL112" s="37">
        <f t="shared" si="83"/>
        <v>8.7500000000000008E-3</v>
      </c>
      <c r="AM112" s="37">
        <f t="shared" si="84"/>
        <v>0.29112499999999997</v>
      </c>
      <c r="AN112" s="40">
        <f t="shared" si="66"/>
        <v>0.29987499999999995</v>
      </c>
      <c r="AO112" s="39">
        <f t="shared" si="85"/>
        <v>1.1000807590354449E-2</v>
      </c>
      <c r="AP112" s="37">
        <f t="shared" si="86"/>
        <v>2.1600000000000001E-2</v>
      </c>
      <c r="AQ112" s="40">
        <f t="shared" si="87"/>
        <v>2.2499999999999998E-3</v>
      </c>
      <c r="AR112" s="39">
        <f t="shared" si="67"/>
        <v>0.42162843785755982</v>
      </c>
      <c r="AS112" s="37">
        <f t="shared" si="68"/>
        <v>1.19</v>
      </c>
      <c r="AT112" s="40">
        <f t="shared" si="69"/>
        <v>73.838359515543345</v>
      </c>
    </row>
    <row r="113" spans="17:46" x14ac:dyDescent="0.2">
      <c r="Q113">
        <v>106</v>
      </c>
      <c r="R113" s="39">
        <f t="shared" si="45"/>
        <v>170</v>
      </c>
      <c r="S113" s="37">
        <f t="shared" si="73"/>
        <v>7.0666666666666673E-3</v>
      </c>
      <c r="T113" s="37">
        <f t="shared" si="47"/>
        <v>5</v>
      </c>
      <c r="U113" s="40">
        <f t="shared" si="74"/>
        <v>0.36964102564102563</v>
      </c>
      <c r="V113" s="39">
        <f t="shared" si="75"/>
        <v>1</v>
      </c>
      <c r="W113" s="37">
        <f t="shared" si="76"/>
        <v>0.30541774670113719</v>
      </c>
      <c r="X113" s="40">
        <f t="shared" si="77"/>
        <v>1.8510166466735587E-3</v>
      </c>
      <c r="Y113" s="39">
        <f t="shared" si="78"/>
        <v>1.5270887335056862</v>
      </c>
      <c r="Z113" s="37">
        <f t="shared" si="71"/>
        <v>1.5270887335056862</v>
      </c>
      <c r="AA113" s="37">
        <f t="shared" si="72"/>
        <v>0.48872308318961666</v>
      </c>
      <c r="AB113" s="37">
        <v>0</v>
      </c>
      <c r="AC113" s="37">
        <f t="shared" si="79"/>
        <v>8.3597588214827743E-3</v>
      </c>
      <c r="AD113" s="40">
        <f t="shared" si="62"/>
        <v>8.3597588214827743E-3</v>
      </c>
      <c r="AE113" s="39">
        <f t="shared" si="70"/>
        <v>0.11289492913957933</v>
      </c>
      <c r="AF113" s="37">
        <f t="shared" si="63"/>
        <v>0.48724880205327409</v>
      </c>
      <c r="AG113" s="37">
        <f t="shared" si="80"/>
        <v>2.7777133226975032E-2</v>
      </c>
      <c r="AH113" s="37">
        <f t="shared" si="81"/>
        <v>5.1764243283393463E-2</v>
      </c>
      <c r="AI113" s="40">
        <f t="shared" si="64"/>
        <v>7.9541376510368494E-2</v>
      </c>
      <c r="AJ113" s="39">
        <f t="shared" si="65"/>
        <v>6.842116917550262E-4</v>
      </c>
      <c r="AK113" s="37">
        <f t="shared" si="82"/>
        <v>3.7932267794244079E-2</v>
      </c>
      <c r="AL113" s="37">
        <f t="shared" si="83"/>
        <v>8.8333333333333337E-3</v>
      </c>
      <c r="AM113" s="37">
        <f t="shared" si="84"/>
        <v>0.29112499999999997</v>
      </c>
      <c r="AN113" s="40">
        <f t="shared" si="66"/>
        <v>0.29995833333333333</v>
      </c>
      <c r="AO113" s="39">
        <f t="shared" si="85"/>
        <v>1.1158335569810482E-2</v>
      </c>
      <c r="AP113" s="37">
        <f t="shared" si="86"/>
        <v>2.1600000000000001E-2</v>
      </c>
      <c r="AQ113" s="40">
        <f t="shared" si="87"/>
        <v>2.2499999999999998E-3</v>
      </c>
      <c r="AR113" s="39">
        <f t="shared" si="67"/>
        <v>0.42286780423499509</v>
      </c>
      <c r="AS113" s="37">
        <f t="shared" si="68"/>
        <v>1.2013333333333334</v>
      </c>
      <c r="AT113" s="40">
        <f t="shared" si="69"/>
        <v>73.964566675030696</v>
      </c>
    </row>
    <row r="114" spans="17:46" x14ac:dyDescent="0.2">
      <c r="Q114">
        <v>107</v>
      </c>
      <c r="R114" s="39">
        <f t="shared" si="45"/>
        <v>170</v>
      </c>
      <c r="S114" s="37">
        <f t="shared" si="73"/>
        <v>7.1333333333333335E-3</v>
      </c>
      <c r="T114" s="37">
        <f t="shared" si="47"/>
        <v>5</v>
      </c>
      <c r="U114" s="40">
        <f t="shared" si="74"/>
        <v>0.37312820512820516</v>
      </c>
      <c r="V114" s="39">
        <f t="shared" si="75"/>
        <v>1</v>
      </c>
      <c r="W114" s="37">
        <f t="shared" si="76"/>
        <v>0.30685501462417064</v>
      </c>
      <c r="X114" s="40">
        <f t="shared" si="77"/>
        <v>1.85972736135861E-3</v>
      </c>
      <c r="Y114" s="39">
        <f t="shared" si="78"/>
        <v>1.5342750731208534</v>
      </c>
      <c r="Z114" s="37">
        <f t="shared" si="71"/>
        <v>1.5342750731208534</v>
      </c>
      <c r="AA114" s="37">
        <f t="shared" si="72"/>
        <v>0.49217696771044184</v>
      </c>
      <c r="AB114" s="37">
        <v>0</v>
      </c>
      <c r="AC114" s="37">
        <f t="shared" si="79"/>
        <v>8.4783358640625871E-3</v>
      </c>
      <c r="AD114" s="40">
        <f t="shared" si="62"/>
        <v>8.4783358640625871E-3</v>
      </c>
      <c r="AE114" s="39">
        <f t="shared" si="70"/>
        <v>0.11449626084130593</v>
      </c>
      <c r="AF114" s="37">
        <f t="shared" si="63"/>
        <v>0.49069226759253015</v>
      </c>
      <c r="AG114" s="37">
        <f t="shared" si="80"/>
        <v>2.8171131472586611E-2</v>
      </c>
      <c r="AH114" s="37">
        <f t="shared" si="81"/>
        <v>5.2252585201161335E-2</v>
      </c>
      <c r="AI114" s="40">
        <f t="shared" si="64"/>
        <v>8.0423716673747953E-2</v>
      </c>
      <c r="AJ114" s="39">
        <f t="shared" si="65"/>
        <v>6.9391673237155114E-4</v>
      </c>
      <c r="AK114" s="37">
        <f t="shared" si="82"/>
        <v>3.8200341222900822E-2</v>
      </c>
      <c r="AL114" s="37">
        <f t="shared" si="83"/>
        <v>8.9166666666666665E-3</v>
      </c>
      <c r="AM114" s="37">
        <f t="shared" si="84"/>
        <v>0.29112499999999997</v>
      </c>
      <c r="AN114" s="40">
        <f t="shared" si="66"/>
        <v>0.30004166666666665</v>
      </c>
      <c r="AO114" s="39">
        <f t="shared" si="85"/>
        <v>1.1316608369329663E-2</v>
      </c>
      <c r="AP114" s="37">
        <f t="shared" si="86"/>
        <v>2.1600000000000001E-2</v>
      </c>
      <c r="AQ114" s="40">
        <f t="shared" si="87"/>
        <v>2.2499999999999998E-3</v>
      </c>
      <c r="AR114" s="39">
        <f t="shared" si="67"/>
        <v>0.42411032757380684</v>
      </c>
      <c r="AS114" s="37">
        <f t="shared" si="68"/>
        <v>1.2126666666666668</v>
      </c>
      <c r="AT114" s="40">
        <f t="shared" si="69"/>
        <v>74.088692041360829</v>
      </c>
    </row>
    <row r="115" spans="17:46" x14ac:dyDescent="0.2">
      <c r="Q115">
        <v>108</v>
      </c>
      <c r="R115" s="39">
        <f t="shared" si="45"/>
        <v>170</v>
      </c>
      <c r="S115" s="37">
        <f t="shared" si="73"/>
        <v>7.2000000000000007E-3</v>
      </c>
      <c r="T115" s="37">
        <f t="shared" si="47"/>
        <v>5</v>
      </c>
      <c r="U115" s="40">
        <f t="shared" si="74"/>
        <v>0.37661538461538469</v>
      </c>
      <c r="V115" s="39">
        <f t="shared" si="75"/>
        <v>1</v>
      </c>
      <c r="W115" s="37">
        <f t="shared" si="76"/>
        <v>0.30828558188796312</v>
      </c>
      <c r="X115" s="40">
        <f t="shared" si="77"/>
        <v>1.8683974659876549E-3</v>
      </c>
      <c r="Y115" s="39">
        <f t="shared" si="78"/>
        <v>1.5414279094398158</v>
      </c>
      <c r="Z115" s="37">
        <f t="shared" si="71"/>
        <v>1.5414279094398158</v>
      </c>
      <c r="AA115" s="37">
        <f t="shared" si="72"/>
        <v>0.49562279169579065</v>
      </c>
      <c r="AB115" s="37">
        <v>0</v>
      </c>
      <c r="AC115" s="37">
        <f t="shared" si="79"/>
        <v>8.5974683076915186E-3</v>
      </c>
      <c r="AD115" s="40">
        <f t="shared" si="62"/>
        <v>8.5974683076915186E-3</v>
      </c>
      <c r="AE115" s="39">
        <f t="shared" si="70"/>
        <v>0.1161050929941129</v>
      </c>
      <c r="AF115" s="37">
        <f t="shared" si="63"/>
        <v>0.49412769691170605</v>
      </c>
      <c r="AG115" s="37">
        <f t="shared" si="80"/>
        <v>2.8566975160066222E-2</v>
      </c>
      <c r="AH115" s="37">
        <f t="shared" si="81"/>
        <v>5.2740927118929207E-2</v>
      </c>
      <c r="AI115" s="40">
        <f t="shared" si="64"/>
        <v>8.1307902278995425E-2</v>
      </c>
      <c r="AJ115" s="39">
        <f t="shared" si="65"/>
        <v>7.0366723026735081E-4</v>
      </c>
      <c r="AK115" s="37">
        <f t="shared" si="82"/>
        <v>3.8467789032672818E-2</v>
      </c>
      <c r="AL115" s="37">
        <f t="shared" si="83"/>
        <v>9.0000000000000011E-3</v>
      </c>
      <c r="AM115" s="37">
        <f t="shared" si="84"/>
        <v>0.29112499999999997</v>
      </c>
      <c r="AN115" s="40">
        <f t="shared" si="66"/>
        <v>0.30012499999999998</v>
      </c>
      <c r="AO115" s="39">
        <f t="shared" si="85"/>
        <v>1.1475622500197541E-2</v>
      </c>
      <c r="AP115" s="37">
        <f t="shared" si="86"/>
        <v>2.1600000000000001E-2</v>
      </c>
      <c r="AQ115" s="40">
        <f t="shared" si="87"/>
        <v>2.2499999999999998E-3</v>
      </c>
      <c r="AR115" s="39">
        <f t="shared" si="67"/>
        <v>0.42535599308688443</v>
      </c>
      <c r="AS115" s="37">
        <f t="shared" si="68"/>
        <v>1.2240000000000002</v>
      </c>
      <c r="AT115" s="40">
        <f t="shared" si="69"/>
        <v>74.210783186302848</v>
      </c>
    </row>
    <row r="116" spans="17:46" x14ac:dyDescent="0.2">
      <c r="Q116">
        <v>109</v>
      </c>
      <c r="R116" s="39">
        <f t="shared" si="45"/>
        <v>170</v>
      </c>
      <c r="S116" s="37">
        <f t="shared" si="73"/>
        <v>7.2666666666666669E-3</v>
      </c>
      <c r="T116" s="37">
        <f t="shared" si="47"/>
        <v>5</v>
      </c>
      <c r="U116" s="40">
        <f t="shared" si="74"/>
        <v>0.3801025641025641</v>
      </c>
      <c r="V116" s="39">
        <f t="shared" si="75"/>
        <v>1</v>
      </c>
      <c r="W116" s="37">
        <f t="shared" si="76"/>
        <v>0.30970954134478973</v>
      </c>
      <c r="X116" s="40">
        <f t="shared" si="77"/>
        <v>1.877027523301756E-3</v>
      </c>
      <c r="Y116" s="39">
        <f t="shared" si="78"/>
        <v>1.5485477067239488</v>
      </c>
      <c r="Z116" s="37">
        <f t="shared" si="71"/>
        <v>1.5485477067239488</v>
      </c>
      <c r="AA116" s="37">
        <f t="shared" si="72"/>
        <v>0.49906064833367492</v>
      </c>
      <c r="AB116" s="37">
        <v>0</v>
      </c>
      <c r="AC116" s="37">
        <f t="shared" si="79"/>
        <v>8.7171535750329779E-3</v>
      </c>
      <c r="AD116" s="40">
        <f t="shared" si="62"/>
        <v>8.7171535750329779E-3</v>
      </c>
      <c r="AE116" s="39">
        <f t="shared" si="70"/>
        <v>0.11772139079218366</v>
      </c>
      <c r="AF116" s="37">
        <f t="shared" si="63"/>
        <v>0.49755518291770284</v>
      </c>
      <c r="AG116" s="37">
        <f t="shared" si="80"/>
        <v>2.8964655725647444E-2</v>
      </c>
      <c r="AH116" s="37">
        <f t="shared" si="81"/>
        <v>5.3229269036697058E-2</v>
      </c>
      <c r="AI116" s="40">
        <f t="shared" si="64"/>
        <v>8.2193924762344495E-2</v>
      </c>
      <c r="AJ116" s="39">
        <f t="shared" si="65"/>
        <v>7.1346297449808281E-4</v>
      </c>
      <c r="AK116" s="37">
        <f t="shared" si="82"/>
        <v>3.873461845635251E-2</v>
      </c>
      <c r="AL116" s="37">
        <f t="shared" si="83"/>
        <v>9.0833333333333339E-3</v>
      </c>
      <c r="AM116" s="37">
        <f t="shared" si="84"/>
        <v>0.29112499999999997</v>
      </c>
      <c r="AN116" s="40">
        <f t="shared" si="66"/>
        <v>0.3002083333333333</v>
      </c>
      <c r="AO116" s="39">
        <f t="shared" si="85"/>
        <v>1.163537452226863E-2</v>
      </c>
      <c r="AP116" s="37">
        <f t="shared" si="86"/>
        <v>2.1600000000000001E-2</v>
      </c>
      <c r="AQ116" s="40">
        <f t="shared" si="87"/>
        <v>2.2499999999999998E-3</v>
      </c>
      <c r="AR116" s="39">
        <f t="shared" si="67"/>
        <v>0.42660478619297942</v>
      </c>
      <c r="AS116" s="37">
        <f t="shared" si="68"/>
        <v>1.2353333333333334</v>
      </c>
      <c r="AT116" s="40">
        <f t="shared" si="69"/>
        <v>74.330886259798248</v>
      </c>
    </row>
    <row r="117" spans="17:46" x14ac:dyDescent="0.2">
      <c r="Q117">
        <v>110</v>
      </c>
      <c r="R117" s="39">
        <f t="shared" si="45"/>
        <v>170</v>
      </c>
      <c r="S117" s="37">
        <f t="shared" si="73"/>
        <v>7.3333333333333341E-3</v>
      </c>
      <c r="T117" s="37">
        <f t="shared" si="47"/>
        <v>5</v>
      </c>
      <c r="U117" s="40">
        <f t="shared" si="74"/>
        <v>0.38358974358974363</v>
      </c>
      <c r="V117" s="39">
        <f t="shared" si="75"/>
        <v>1</v>
      </c>
      <c r="W117" s="37">
        <f t="shared" si="76"/>
        <v>0.31112698372208092</v>
      </c>
      <c r="X117" s="40">
        <f t="shared" si="77"/>
        <v>1.8856180831641263E-3</v>
      </c>
      <c r="Y117" s="39">
        <f t="shared" si="78"/>
        <v>1.5556349186104048</v>
      </c>
      <c r="Z117" s="37">
        <f t="shared" si="71"/>
        <v>1.5556349186104048</v>
      </c>
      <c r="AA117" s="37">
        <f t="shared" si="72"/>
        <v>0.5024906288906269</v>
      </c>
      <c r="AB117" s="37">
        <v>0</v>
      </c>
      <c r="AC117" s="37">
        <f t="shared" si="79"/>
        <v>8.8373891243014226E-3</v>
      </c>
      <c r="AD117" s="40">
        <f t="shared" si="62"/>
        <v>8.8373891243014226E-3</v>
      </c>
      <c r="AE117" s="39">
        <f t="shared" si="70"/>
        <v>0.11934511990980336</v>
      </c>
      <c r="AF117" s="37">
        <f t="shared" si="63"/>
        <v>0.50097481660173837</v>
      </c>
      <c r="AG117" s="37">
        <f t="shared" si="80"/>
        <v>2.9364164723690016E-2</v>
      </c>
      <c r="AH117" s="37">
        <f t="shared" si="81"/>
        <v>5.371761095446493E-2</v>
      </c>
      <c r="AI117" s="40">
        <f t="shared" si="64"/>
        <v>8.3081775678154945E-2</v>
      </c>
      <c r="AJ117" s="39">
        <f t="shared" si="65"/>
        <v>7.2330375702911107E-4</v>
      </c>
      <c r="AK117" s="37">
        <f t="shared" si="82"/>
        <v>3.9000836577596586E-2</v>
      </c>
      <c r="AL117" s="37">
        <f t="shared" si="83"/>
        <v>9.1666666666666667E-3</v>
      </c>
      <c r="AM117" s="37">
        <f t="shared" si="84"/>
        <v>0.29112499999999997</v>
      </c>
      <c r="AN117" s="40">
        <f t="shared" si="66"/>
        <v>0.30029166666666662</v>
      </c>
      <c r="AO117" s="39">
        <f t="shared" si="85"/>
        <v>1.1795861042849834E-2</v>
      </c>
      <c r="AP117" s="37">
        <f t="shared" si="86"/>
        <v>2.1600000000000001E-2</v>
      </c>
      <c r="AQ117" s="40">
        <f t="shared" si="87"/>
        <v>2.2499999999999998E-3</v>
      </c>
      <c r="AR117" s="39">
        <f t="shared" si="67"/>
        <v>0.42785669251197284</v>
      </c>
      <c r="AS117" s="37">
        <f t="shared" si="68"/>
        <v>1.2466666666666668</v>
      </c>
      <c r="AT117" s="40">
        <f t="shared" si="69"/>
        <v>74.449046042460807</v>
      </c>
    </row>
    <row r="118" spans="17:46" x14ac:dyDescent="0.2">
      <c r="Q118">
        <v>111</v>
      </c>
      <c r="R118" s="39">
        <f t="shared" si="45"/>
        <v>170</v>
      </c>
      <c r="S118" s="37">
        <f t="shared" si="73"/>
        <v>7.4000000000000003E-3</v>
      </c>
      <c r="T118" s="37">
        <f t="shared" si="47"/>
        <v>5</v>
      </c>
      <c r="U118" s="40">
        <f t="shared" si="74"/>
        <v>0.3870769230769231</v>
      </c>
      <c r="V118" s="39">
        <f t="shared" si="75"/>
        <v>1</v>
      </c>
      <c r="W118" s="37">
        <f t="shared" si="76"/>
        <v>0.31253799768988089</v>
      </c>
      <c r="X118" s="40">
        <f t="shared" si="77"/>
        <v>1.894169682968975E-3</v>
      </c>
      <c r="Y118" s="39">
        <f t="shared" si="78"/>
        <v>1.5626899884494045</v>
      </c>
      <c r="Z118" s="37">
        <f t="shared" si="71"/>
        <v>1.5626899884494045</v>
      </c>
      <c r="AA118" s="37">
        <f t="shared" si="72"/>
        <v>0.50591282276840921</v>
      </c>
      <c r="AB118" s="37">
        <v>0</v>
      </c>
      <c r="AC118" s="37">
        <f t="shared" si="79"/>
        <v>8.9581724484524942E-3</v>
      </c>
      <c r="AD118" s="40">
        <f t="shared" si="62"/>
        <v>8.9581724484524942E-3</v>
      </c>
      <c r="AE118" s="39">
        <f t="shared" si="70"/>
        <v>0.12097624649042159</v>
      </c>
      <c r="AF118" s="37">
        <f t="shared" si="63"/>
        <v>0.50438668709588586</v>
      </c>
      <c r="AG118" s="37">
        <f t="shared" si="80"/>
        <v>2.9765493823988881E-2</v>
      </c>
      <c r="AH118" s="37">
        <f t="shared" si="81"/>
        <v>5.4205952872232788E-2</v>
      </c>
      <c r="AI118" s="40">
        <f t="shared" si="64"/>
        <v>8.3971446696221669E-2</v>
      </c>
      <c r="AJ118" s="39">
        <f t="shared" si="65"/>
        <v>7.3318937266922174E-4</v>
      </c>
      <c r="AK118" s="37">
        <f t="shared" si="82"/>
        <v>3.9266450335327559E-2</v>
      </c>
      <c r="AL118" s="37">
        <f t="shared" si="83"/>
        <v>9.2500000000000013E-3</v>
      </c>
      <c r="AM118" s="37">
        <f t="shared" si="84"/>
        <v>0.29112499999999997</v>
      </c>
      <c r="AN118" s="40">
        <f t="shared" si="66"/>
        <v>0.30037499999999995</v>
      </c>
      <c r="AO118" s="39">
        <f t="shared" si="85"/>
        <v>1.1957078715619464E-2</v>
      </c>
      <c r="AP118" s="37">
        <f t="shared" si="86"/>
        <v>2.1600000000000001E-2</v>
      </c>
      <c r="AQ118" s="40">
        <f t="shared" si="87"/>
        <v>2.2499999999999998E-3</v>
      </c>
      <c r="AR118" s="39">
        <f t="shared" si="67"/>
        <v>0.42911169786029357</v>
      </c>
      <c r="AS118" s="37">
        <f t="shared" si="68"/>
        <v>1.258</v>
      </c>
      <c r="AT118" s="40">
        <f t="shared" si="69"/>
        <v>74.565305995772462</v>
      </c>
    </row>
    <row r="119" spans="17:46" x14ac:dyDescent="0.2">
      <c r="Q119">
        <v>112</v>
      </c>
      <c r="R119" s="39">
        <f t="shared" si="45"/>
        <v>170</v>
      </c>
      <c r="S119" s="37">
        <f t="shared" si="73"/>
        <v>7.4666666666666666E-3</v>
      </c>
      <c r="T119" s="37">
        <f t="shared" si="47"/>
        <v>5</v>
      </c>
      <c r="U119" s="40">
        <f t="shared" si="74"/>
        <v>0.39056410256410257</v>
      </c>
      <c r="V119" s="39">
        <f t="shared" si="75"/>
        <v>1</v>
      </c>
      <c r="W119" s="37">
        <f t="shared" si="76"/>
        <v>0.31394266992557729</v>
      </c>
      <c r="X119" s="40">
        <f t="shared" si="77"/>
        <v>1.9026828480338013E-3</v>
      </c>
      <c r="Y119" s="39">
        <f t="shared" si="78"/>
        <v>1.5697133496278866</v>
      </c>
      <c r="Z119" s="37">
        <f t="shared" si="71"/>
        <v>1.5697133496278866</v>
      </c>
      <c r="AA119" s="37">
        <f t="shared" si="72"/>
        <v>0.50932731755855443</v>
      </c>
      <c r="AB119" s="37">
        <v>0</v>
      </c>
      <c r="AC119" s="37">
        <f t="shared" si="79"/>
        <v>9.0795010743987409E-3</v>
      </c>
      <c r="AD119" s="40">
        <f t="shared" si="62"/>
        <v>9.0795010743987409E-3</v>
      </c>
      <c r="AE119" s="39">
        <f t="shared" si="70"/>
        <v>0.12261473713606137</v>
      </c>
      <c r="AF119" s="37">
        <f t="shared" si="63"/>
        <v>0.50779088172744968</v>
      </c>
      <c r="AG119" s="37">
        <f t="shared" si="80"/>
        <v>3.0168634809168274E-2</v>
      </c>
      <c r="AH119" s="37">
        <f t="shared" si="81"/>
        <v>5.4694294790000646E-2</v>
      </c>
      <c r="AI119" s="40">
        <f t="shared" si="64"/>
        <v>8.4862929599168913E-2</v>
      </c>
      <c r="AJ119" s="39">
        <f t="shared" si="65"/>
        <v>7.4311961900643236E-4</v>
      </c>
      <c r="AK119" s="37">
        <f t="shared" si="82"/>
        <v>3.9531466527966831E-2</v>
      </c>
      <c r="AL119" s="37">
        <f t="shared" si="83"/>
        <v>9.3333333333333324E-3</v>
      </c>
      <c r="AM119" s="37">
        <f t="shared" si="84"/>
        <v>0.29112499999999997</v>
      </c>
      <c r="AN119" s="40">
        <f t="shared" si="66"/>
        <v>0.30045833333333327</v>
      </c>
      <c r="AO119" s="39">
        <f t="shared" si="85"/>
        <v>1.2119024239580417E-2</v>
      </c>
      <c r="AP119" s="37">
        <f t="shared" si="86"/>
        <v>2.1600000000000001E-2</v>
      </c>
      <c r="AQ119" s="40">
        <f t="shared" si="87"/>
        <v>2.2499999999999998E-3</v>
      </c>
      <c r="AR119" s="39">
        <f t="shared" si="67"/>
        <v>0.43036978824648137</v>
      </c>
      <c r="AS119" s="37">
        <f t="shared" si="68"/>
        <v>1.2693333333333334</v>
      </c>
      <c r="AT119" s="40">
        <f t="shared" si="69"/>
        <v>74.679708310091968</v>
      </c>
    </row>
    <row r="120" spans="17:46" x14ac:dyDescent="0.2">
      <c r="Q120">
        <v>113</v>
      </c>
      <c r="R120" s="39">
        <f t="shared" si="45"/>
        <v>170</v>
      </c>
      <c r="S120" s="37">
        <f t="shared" si="73"/>
        <v>7.5333333333333337E-3</v>
      </c>
      <c r="T120" s="37">
        <f t="shared" si="47"/>
        <v>5</v>
      </c>
      <c r="U120" s="40">
        <f t="shared" si="74"/>
        <v>0.39405128205128209</v>
      </c>
      <c r="V120" s="39">
        <f t="shared" si="75"/>
        <v>1</v>
      </c>
      <c r="W120" s="37">
        <f t="shared" si="76"/>
        <v>0.31534108517603604</v>
      </c>
      <c r="X120" s="40">
        <f t="shared" si="77"/>
        <v>1.9111580919759759E-3</v>
      </c>
      <c r="Y120" s="39">
        <f t="shared" si="78"/>
        <v>1.5767054258801805</v>
      </c>
      <c r="Z120" s="37">
        <f t="shared" si="71"/>
        <v>1.5767054258801805</v>
      </c>
      <c r="AA120" s="37">
        <f t="shared" si="72"/>
        <v>0.51273419909483908</v>
      </c>
      <c r="AB120" s="37">
        <v>0</v>
      </c>
      <c r="AC120" s="37">
        <f t="shared" si="79"/>
        <v>9.2013725622499144E-3</v>
      </c>
      <c r="AD120" s="40">
        <f t="shared" si="62"/>
        <v>9.2013725622499144E-3</v>
      </c>
      <c r="AE120" s="39">
        <f t="shared" si="70"/>
        <v>0.12426055889705954</v>
      </c>
      <c r="AF120" s="37">
        <f t="shared" si="63"/>
        <v>0.51118748607128028</v>
      </c>
      <c r="AG120" s="37">
        <f t="shared" si="80"/>
        <v>3.0573579572157422E-2</v>
      </c>
      <c r="AH120" s="37">
        <f t="shared" si="81"/>
        <v>5.5182636707768518E-2</v>
      </c>
      <c r="AI120" s="40">
        <f t="shared" si="64"/>
        <v>8.575621627992594E-2</v>
      </c>
      <c r="AJ120" s="39">
        <f t="shared" si="65"/>
        <v>7.5309429634581545E-4</v>
      </c>
      <c r="AK120" s="37">
        <f t="shared" si="82"/>
        <v>3.9795891817507492E-2</v>
      </c>
      <c r="AL120" s="37">
        <f t="shared" si="83"/>
        <v>9.4166666666666669E-3</v>
      </c>
      <c r="AM120" s="37">
        <f t="shared" si="84"/>
        <v>0.29112499999999997</v>
      </c>
      <c r="AN120" s="40">
        <f t="shared" si="66"/>
        <v>0.30054166666666665</v>
      </c>
      <c r="AO120" s="39">
        <f t="shared" si="85"/>
        <v>1.2281694358046142E-2</v>
      </c>
      <c r="AP120" s="37">
        <f t="shared" si="86"/>
        <v>2.1600000000000001E-2</v>
      </c>
      <c r="AQ120" s="40">
        <f t="shared" si="87"/>
        <v>2.2499999999999998E-3</v>
      </c>
      <c r="AR120" s="39">
        <f t="shared" si="67"/>
        <v>0.43163094986688866</v>
      </c>
      <c r="AS120" s="37">
        <f t="shared" si="68"/>
        <v>1.2806666666666668</v>
      </c>
      <c r="AT120" s="40">
        <f t="shared" si="69"/>
        <v>74.792293950586711</v>
      </c>
    </row>
    <row r="121" spans="17:46" x14ac:dyDescent="0.2">
      <c r="Q121">
        <v>114</v>
      </c>
      <c r="R121" s="39">
        <f t="shared" si="45"/>
        <v>170</v>
      </c>
      <c r="S121" s="37">
        <f t="shared" si="73"/>
        <v>7.6E-3</v>
      </c>
      <c r="T121" s="37">
        <f t="shared" si="47"/>
        <v>5</v>
      </c>
      <c r="U121" s="40">
        <f t="shared" si="74"/>
        <v>0.39753846153846156</v>
      </c>
      <c r="V121" s="39">
        <f t="shared" si="75"/>
        <v>1</v>
      </c>
      <c r="W121" s="37">
        <f t="shared" si="76"/>
        <v>0.31673332631726642</v>
      </c>
      <c r="X121" s="40">
        <f t="shared" si="77"/>
        <v>1.9195959170743419E-3</v>
      </c>
      <c r="Y121" s="39">
        <f t="shared" si="78"/>
        <v>1.5836666315863324</v>
      </c>
      <c r="Z121" s="37">
        <f t="shared" si="71"/>
        <v>1.5836666315863324</v>
      </c>
      <c r="AA121" s="37">
        <f t="shared" si="72"/>
        <v>0.51613355150378359</v>
      </c>
      <c r="AB121" s="37">
        <v>0</v>
      </c>
      <c r="AC121" s="37">
        <f t="shared" si="79"/>
        <v>9.3237845045768108E-3</v>
      </c>
      <c r="AD121" s="40">
        <f t="shared" si="62"/>
        <v>9.3237845045768108E-3</v>
      </c>
      <c r="AE121" s="39">
        <f t="shared" si="70"/>
        <v>0.1259136792621256</v>
      </c>
      <c r="AF121" s="37">
        <f t="shared" si="63"/>
        <v>0.51457658400012218</v>
      </c>
      <c r="AG121" s="37">
        <f t="shared" si="80"/>
        <v>3.0980320113744474E-2</v>
      </c>
      <c r="AH121" s="37">
        <f t="shared" si="81"/>
        <v>5.5670978625536376E-2</v>
      </c>
      <c r="AI121" s="40">
        <f t="shared" si="64"/>
        <v>8.6651298739280846E-2</v>
      </c>
      <c r="AJ121" s="39">
        <f t="shared" si="65"/>
        <v>7.6311320764924616E-4</v>
      </c>
      <c r="AK121" s="37">
        <f t="shared" si="82"/>
        <v>4.0059732733433828E-2</v>
      </c>
      <c r="AL121" s="37">
        <f t="shared" si="83"/>
        <v>9.4999999999999998E-3</v>
      </c>
      <c r="AM121" s="37">
        <f t="shared" si="84"/>
        <v>0.29112499999999997</v>
      </c>
      <c r="AN121" s="40">
        <f t="shared" si="66"/>
        <v>0.30062499999999998</v>
      </c>
      <c r="AO121" s="39">
        <f t="shared" si="85"/>
        <v>1.2445085857658036E-2</v>
      </c>
      <c r="AP121" s="37">
        <f t="shared" si="86"/>
        <v>2.1600000000000001E-2</v>
      </c>
      <c r="AQ121" s="40">
        <f t="shared" si="87"/>
        <v>2.2499999999999998E-3</v>
      </c>
      <c r="AR121" s="39">
        <f t="shared" si="67"/>
        <v>0.43289516910151565</v>
      </c>
      <c r="AS121" s="37">
        <f t="shared" si="68"/>
        <v>1.292</v>
      </c>
      <c r="AT121" s="40">
        <f t="shared" si="69"/>
        <v>74.903102701191543</v>
      </c>
    </row>
    <row r="122" spans="17:46" x14ac:dyDescent="0.2">
      <c r="Q122">
        <v>115</v>
      </c>
      <c r="R122" s="39">
        <f t="shared" si="45"/>
        <v>170</v>
      </c>
      <c r="S122" s="37">
        <f t="shared" si="73"/>
        <v>7.6666666666666671E-3</v>
      </c>
      <c r="T122" s="37">
        <f t="shared" si="47"/>
        <v>5</v>
      </c>
      <c r="U122" s="40">
        <f t="shared" si="74"/>
        <v>0.40102564102564109</v>
      </c>
      <c r="V122" s="39">
        <f t="shared" si="75"/>
        <v>1</v>
      </c>
      <c r="W122" s="37">
        <f t="shared" si="76"/>
        <v>0.31811947441173732</v>
      </c>
      <c r="X122" s="40">
        <f t="shared" si="77"/>
        <v>1.9279968146165899E-3</v>
      </c>
      <c r="Y122" s="39">
        <f t="shared" si="78"/>
        <v>1.5905973720586868</v>
      </c>
      <c r="Z122" s="37">
        <f t="shared" si="71"/>
        <v>1.5905973720586868</v>
      </c>
      <c r="AA122" s="37">
        <f t="shared" si="72"/>
        <v>0.5195254572532757</v>
      </c>
      <c r="AB122" s="37">
        <v>0</v>
      </c>
      <c r="AC122" s="37">
        <f t="shared" si="79"/>
        <v>9.4467345256978828E-3</v>
      </c>
      <c r="AD122" s="40">
        <f t="shared" si="62"/>
        <v>9.4467345256978828E-3</v>
      </c>
      <c r="AE122" s="39">
        <f t="shared" si="70"/>
        <v>0.12757406614870698</v>
      </c>
      <c r="AF122" s="37">
        <f t="shared" si="63"/>
        <v>0.51795825773309034</v>
      </c>
      <c r="AG122" s="37">
        <f t="shared" si="80"/>
        <v>3.138884854020612E-2</v>
      </c>
      <c r="AH122" s="37">
        <f t="shared" si="81"/>
        <v>5.6159320543304241E-2</v>
      </c>
      <c r="AI122" s="40">
        <f t="shared" si="64"/>
        <v>8.754816908351036E-2</v>
      </c>
      <c r="AJ122" s="39">
        <f t="shared" si="65"/>
        <v>7.731761584770121E-4</v>
      </c>
      <c r="AK122" s="37">
        <f t="shared" si="82"/>
        <v>4.0322995676495291E-2</v>
      </c>
      <c r="AL122" s="37">
        <f t="shared" si="83"/>
        <v>9.5833333333333343E-3</v>
      </c>
      <c r="AM122" s="37">
        <f t="shared" si="84"/>
        <v>0.29112499999999997</v>
      </c>
      <c r="AN122" s="40">
        <f t="shared" si="66"/>
        <v>0.3007083333333333</v>
      </c>
      <c r="AO122" s="39">
        <f t="shared" si="85"/>
        <v>1.2609195567433227E-2</v>
      </c>
      <c r="AP122" s="37">
        <f t="shared" si="86"/>
        <v>2.1600000000000001E-2</v>
      </c>
      <c r="AQ122" s="40">
        <f t="shared" si="87"/>
        <v>2.2499999999999998E-3</v>
      </c>
      <c r="AR122" s="39">
        <f t="shared" si="67"/>
        <v>0.43416243250997477</v>
      </c>
      <c r="AS122" s="37">
        <f t="shared" si="68"/>
        <v>1.3033333333333335</v>
      </c>
      <c r="AT122" s="40">
        <f t="shared" si="69"/>
        <v>75.012173206692651</v>
      </c>
    </row>
    <row r="123" spans="17:46" x14ac:dyDescent="0.2">
      <c r="Q123">
        <v>116</v>
      </c>
      <c r="R123" s="39">
        <f t="shared" si="45"/>
        <v>170</v>
      </c>
      <c r="S123" s="37">
        <f t="shared" si="73"/>
        <v>7.7333333333333334E-3</v>
      </c>
      <c r="T123" s="37">
        <f t="shared" si="47"/>
        <v>5</v>
      </c>
      <c r="U123" s="40">
        <f t="shared" si="74"/>
        <v>0.4045128205128205</v>
      </c>
      <c r="V123" s="39">
        <f t="shared" si="75"/>
        <v>1</v>
      </c>
      <c r="W123" s="37">
        <f t="shared" si="76"/>
        <v>0.31949960876345374</v>
      </c>
      <c r="X123" s="40">
        <f t="shared" si="77"/>
        <v>1.9363612652330529E-3</v>
      </c>
      <c r="Y123" s="39">
        <f t="shared" si="78"/>
        <v>1.597498043817269</v>
      </c>
      <c r="Z123" s="37">
        <f t="shared" si="71"/>
        <v>1.597498043817269</v>
      </c>
      <c r="AA123" s="37">
        <f t="shared" si="72"/>
        <v>0.52290999719939346</v>
      </c>
      <c r="AB123" s="37">
        <v>0</v>
      </c>
      <c r="AC123" s="37">
        <f t="shared" si="79"/>
        <v>9.5702202809874407E-3</v>
      </c>
      <c r="AD123" s="40">
        <f t="shared" si="62"/>
        <v>9.5702202809874407E-3</v>
      </c>
      <c r="AE123" s="39">
        <f t="shared" si="70"/>
        <v>0.12924168789364734</v>
      </c>
      <c r="AF123" s="37">
        <f t="shared" si="63"/>
        <v>0.52133258788235304</v>
      </c>
      <c r="AG123" s="37">
        <f t="shared" si="80"/>
        <v>3.1799157061009033E-2</v>
      </c>
      <c r="AH123" s="37">
        <f t="shared" si="81"/>
        <v>5.6647662461072099E-2</v>
      </c>
      <c r="AI123" s="40">
        <f t="shared" si="64"/>
        <v>8.8446819522081138E-2</v>
      </c>
      <c r="AJ123" s="39">
        <f t="shared" si="65"/>
        <v>7.832829569311959E-4</v>
      </c>
      <c r="AK123" s="37">
        <f t="shared" si="82"/>
        <v>4.058568692234063E-2</v>
      </c>
      <c r="AL123" s="37">
        <f t="shared" si="83"/>
        <v>9.6666666666666672E-3</v>
      </c>
      <c r="AM123" s="37">
        <f t="shared" si="84"/>
        <v>0.29112499999999997</v>
      </c>
      <c r="AN123" s="40">
        <f t="shared" si="66"/>
        <v>0.30079166666666662</v>
      </c>
      <c r="AO123" s="39">
        <f t="shared" si="85"/>
        <v>1.2774020357841235E-2</v>
      </c>
      <c r="AP123" s="37">
        <f t="shared" si="86"/>
        <v>2.1600000000000001E-2</v>
      </c>
      <c r="AQ123" s="40">
        <f t="shared" si="87"/>
        <v>2.2499999999999998E-3</v>
      </c>
      <c r="AR123" s="39">
        <f t="shared" si="67"/>
        <v>0.43543272682757644</v>
      </c>
      <c r="AS123" s="37">
        <f t="shared" si="68"/>
        <v>1.3146666666666667</v>
      </c>
      <c r="AT123" s="40">
        <f t="shared" si="69"/>
        <v>75.119543013028945</v>
      </c>
    </row>
    <row r="124" spans="17:46" x14ac:dyDescent="0.2">
      <c r="Q124">
        <v>117</v>
      </c>
      <c r="R124" s="39">
        <f t="shared" si="45"/>
        <v>170</v>
      </c>
      <c r="S124" s="37">
        <f t="shared" si="73"/>
        <v>7.8000000000000005E-3</v>
      </c>
      <c r="T124" s="37">
        <f t="shared" si="47"/>
        <v>5</v>
      </c>
      <c r="U124" s="40">
        <f t="shared" si="74"/>
        <v>0.40800000000000003</v>
      </c>
      <c r="V124" s="39">
        <f t="shared" si="75"/>
        <v>1</v>
      </c>
      <c r="W124" s="37">
        <f t="shared" si="76"/>
        <v>0.32087380697090251</v>
      </c>
      <c r="X124" s="40">
        <f t="shared" si="77"/>
        <v>1.9446897392175909E-3</v>
      </c>
      <c r="Y124" s="39">
        <f t="shared" si="78"/>
        <v>1.6043690348545128</v>
      </c>
      <c r="Z124" s="37">
        <f t="shared" si="71"/>
        <v>1.6043690348545128</v>
      </c>
      <c r="AA124" s="37">
        <f t="shared" si="72"/>
        <v>0.52628725063151882</v>
      </c>
      <c r="AB124" s="37">
        <v>0</v>
      </c>
      <c r="AC124" s="37">
        <f t="shared" si="79"/>
        <v>9.6942394562049092E-3</v>
      </c>
      <c r="AD124" s="40">
        <f t="shared" si="62"/>
        <v>9.6942394562049092E-3</v>
      </c>
      <c r="AE124" s="39">
        <f t="shared" si="70"/>
        <v>0.13091651324412823</v>
      </c>
      <c r="AF124" s="37">
        <f t="shared" si="63"/>
        <v>0.52469965349810788</v>
      </c>
      <c r="AG124" s="37">
        <f t="shared" si="80"/>
        <v>3.2211237986581036E-2</v>
      </c>
      <c r="AH124" s="37">
        <f t="shared" si="81"/>
        <v>5.7136004378839964E-2</v>
      </c>
      <c r="AI124" s="40">
        <f t="shared" si="64"/>
        <v>8.9347242365420992E-2</v>
      </c>
      <c r="AJ124" s="39">
        <f t="shared" si="65"/>
        <v>7.9343341360077718E-4</v>
      </c>
      <c r="AK124" s="37">
        <f t="shared" si="82"/>
        <v>4.0847812625019388E-2</v>
      </c>
      <c r="AL124" s="37">
        <f t="shared" si="83"/>
        <v>9.75E-3</v>
      </c>
      <c r="AM124" s="37">
        <f t="shared" si="84"/>
        <v>0.29112499999999997</v>
      </c>
      <c r="AN124" s="40">
        <f t="shared" si="66"/>
        <v>0.30087499999999995</v>
      </c>
      <c r="AO124" s="39">
        <f t="shared" si="85"/>
        <v>1.293955713990862E-2</v>
      </c>
      <c r="AP124" s="37">
        <f t="shared" si="86"/>
        <v>2.1600000000000001E-2</v>
      </c>
      <c r="AQ124" s="40">
        <f t="shared" si="87"/>
        <v>2.2499999999999998E-3</v>
      </c>
      <c r="AR124" s="39">
        <f t="shared" si="67"/>
        <v>0.43670603896153448</v>
      </c>
      <c r="AS124" s="37">
        <f t="shared" si="68"/>
        <v>1.3260000000000001</v>
      </c>
      <c r="AT124" s="40">
        <f t="shared" si="69"/>
        <v>75.225248605898472</v>
      </c>
    </row>
    <row r="125" spans="17:46" x14ac:dyDescent="0.2">
      <c r="Q125">
        <v>118</v>
      </c>
      <c r="R125" s="39">
        <f t="shared" si="45"/>
        <v>170</v>
      </c>
      <c r="S125" s="37">
        <f t="shared" si="73"/>
        <v>7.8666666666666676E-3</v>
      </c>
      <c r="T125" s="37">
        <f t="shared" si="47"/>
        <v>5</v>
      </c>
      <c r="U125" s="40">
        <f t="shared" si="74"/>
        <v>0.41148717948717956</v>
      </c>
      <c r="V125" s="39">
        <f t="shared" si="75"/>
        <v>1</v>
      </c>
      <c r="W125" s="37">
        <f t="shared" si="76"/>
        <v>0.32224214497796533</v>
      </c>
      <c r="X125" s="40">
        <f t="shared" si="77"/>
        <v>1.9529826968361533E-3</v>
      </c>
      <c r="Y125" s="39">
        <f t="shared" si="78"/>
        <v>1.6112107248898269</v>
      </c>
      <c r="Z125" s="37">
        <f t="shared" si="71"/>
        <v>1.6112107248898269</v>
      </c>
      <c r="AA125" s="37">
        <f t="shared" si="72"/>
        <v>0.5296572953158124</v>
      </c>
      <c r="AB125" s="37">
        <v>0</v>
      </c>
      <c r="AC125" s="37">
        <f t="shared" si="79"/>
        <v>9.8187897668441607E-3</v>
      </c>
      <c r="AD125" s="40">
        <f t="shared" si="62"/>
        <v>9.8187897668441607E-3</v>
      </c>
      <c r="AE125" s="39">
        <f t="shared" si="70"/>
        <v>0.13259851134888176</v>
      </c>
      <c r="AF125" s="37">
        <f t="shared" si="63"/>
        <v>0.52805953211192591</v>
      </c>
      <c r="AG125" s="37">
        <f t="shared" si="80"/>
        <v>3.262508372614914E-2</v>
      </c>
      <c r="AH125" s="37">
        <f t="shared" si="81"/>
        <v>5.7624346296607828E-2</v>
      </c>
      <c r="AI125" s="40">
        <f t="shared" si="64"/>
        <v>9.0249430022756968E-2</v>
      </c>
      <c r="AJ125" s="39">
        <f t="shared" si="65"/>
        <v>8.0362734150837421E-4</v>
      </c>
      <c r="AK125" s="37">
        <f t="shared" si="82"/>
        <v>4.1109378820356215E-2</v>
      </c>
      <c r="AL125" s="37">
        <f t="shared" si="83"/>
        <v>9.8333333333333345E-3</v>
      </c>
      <c r="AM125" s="37">
        <f t="shared" si="84"/>
        <v>0.29112499999999997</v>
      </c>
      <c r="AN125" s="40">
        <f t="shared" si="66"/>
        <v>0.30095833333333333</v>
      </c>
      <c r="AO125" s="39">
        <f t="shared" si="85"/>
        <v>1.3105802864350508E-2</v>
      </c>
      <c r="AP125" s="37">
        <f t="shared" si="86"/>
        <v>2.1600000000000001E-2</v>
      </c>
      <c r="AQ125" s="40">
        <f t="shared" si="87"/>
        <v>2.2499999999999998E-3</v>
      </c>
      <c r="AR125" s="39">
        <f t="shared" si="67"/>
        <v>0.43798235598728491</v>
      </c>
      <c r="AS125" s="37">
        <f t="shared" si="68"/>
        <v>1.3373333333333335</v>
      </c>
      <c r="AT125" s="40">
        <f t="shared" si="69"/>
        <v>75.329325447752169</v>
      </c>
    </row>
    <row r="126" spans="17:46" x14ac:dyDescent="0.2">
      <c r="Q126">
        <v>119</v>
      </c>
      <c r="R126" s="39">
        <f t="shared" si="45"/>
        <v>170</v>
      </c>
      <c r="S126" s="37">
        <f t="shared" si="73"/>
        <v>7.9333333333333339E-3</v>
      </c>
      <c r="T126" s="37">
        <f t="shared" si="47"/>
        <v>5</v>
      </c>
      <c r="U126" s="40">
        <f t="shared" si="74"/>
        <v>0.41497435897435897</v>
      </c>
      <c r="V126" s="39">
        <f t="shared" si="75"/>
        <v>1</v>
      </c>
      <c r="W126" s="37">
        <f t="shared" si="76"/>
        <v>0.32360469712289402</v>
      </c>
      <c r="X126" s="40">
        <f t="shared" si="77"/>
        <v>1.9612405886236003E-3</v>
      </c>
      <c r="Y126" s="39">
        <f t="shared" si="78"/>
        <v>1.6180234856144704</v>
      </c>
      <c r="Z126" s="37">
        <f t="shared" si="71"/>
        <v>1.6180234856144704</v>
      </c>
      <c r="AA126" s="37">
        <f t="shared" si="72"/>
        <v>0.53302020753712309</v>
      </c>
      <c r="AB126" s="37">
        <v>0</v>
      </c>
      <c r="AC126" s="37">
        <f t="shared" si="79"/>
        <v>9.9438689575021225E-3</v>
      </c>
      <c r="AD126" s="40">
        <f t="shared" si="62"/>
        <v>9.9438689575021225E-3</v>
      </c>
      <c r="AE126" s="39">
        <f t="shared" si="70"/>
        <v>0.13428765174966453</v>
      </c>
      <c r="AF126" s="37">
        <f t="shared" si="63"/>
        <v>0.53141229977853566</v>
      </c>
      <c r="AG126" s="37">
        <f t="shared" si="80"/>
        <v>3.3040686785641732E-2</v>
      </c>
      <c r="AH126" s="37">
        <f t="shared" si="81"/>
        <v>5.811268821437568E-2</v>
      </c>
      <c r="AI126" s="40">
        <f t="shared" si="64"/>
        <v>9.1153375000017411E-2</v>
      </c>
      <c r="AJ126" s="39">
        <f t="shared" si="65"/>
        <v>8.1386455605857297E-4</v>
      </c>
      <c r="AK126" s="37">
        <f t="shared" si="82"/>
        <v>4.1370391429203672E-2</v>
      </c>
      <c r="AL126" s="37">
        <f t="shared" si="83"/>
        <v>9.9166666666666674E-3</v>
      </c>
      <c r="AM126" s="37">
        <f t="shared" si="84"/>
        <v>0.29112499999999997</v>
      </c>
      <c r="AN126" s="40">
        <f t="shared" si="66"/>
        <v>0.30104166666666665</v>
      </c>
      <c r="AO126" s="39">
        <f t="shared" si="85"/>
        <v>1.3272754520727875E-2</v>
      </c>
      <c r="AP126" s="37">
        <f t="shared" si="86"/>
        <v>2.1600000000000001E-2</v>
      </c>
      <c r="AQ126" s="40">
        <f t="shared" si="87"/>
        <v>2.2499999999999998E-3</v>
      </c>
      <c r="AR126" s="39">
        <f t="shared" si="67"/>
        <v>0.43926166514491399</v>
      </c>
      <c r="AS126" s="37">
        <f t="shared" si="68"/>
        <v>1.3486666666666667</v>
      </c>
      <c r="AT126" s="40">
        <f t="shared" si="69"/>
        <v>75.431808013252905</v>
      </c>
    </row>
    <row r="127" spans="17:46" x14ac:dyDescent="0.2">
      <c r="Q127">
        <v>120</v>
      </c>
      <c r="R127" s="39">
        <f t="shared" si="45"/>
        <v>170</v>
      </c>
      <c r="S127" s="37">
        <f t="shared" si="73"/>
        <v>8.0000000000000002E-3</v>
      </c>
      <c r="T127" s="37">
        <f t="shared" si="47"/>
        <v>5</v>
      </c>
      <c r="U127" s="40">
        <f t="shared" si="74"/>
        <v>0.4184615384615385</v>
      </c>
      <c r="V127" s="39">
        <f t="shared" si="75"/>
        <v>1</v>
      </c>
      <c r="W127" s="37">
        <f t="shared" si="76"/>
        <v>0.32496153618543838</v>
      </c>
      <c r="X127" s="40">
        <f t="shared" si="77"/>
        <v>1.969463855669323E-3</v>
      </c>
      <c r="Y127" s="39">
        <f t="shared" si="78"/>
        <v>1.6248076809271921</v>
      </c>
      <c r="Z127" s="37">
        <f t="shared" si="71"/>
        <v>1.6248076809271921</v>
      </c>
      <c r="AA127" s="37">
        <f t="shared" si="72"/>
        <v>0.53637606213940503</v>
      </c>
      <c r="AB127" s="37">
        <v>0</v>
      </c>
      <c r="AC127" s="37">
        <f t="shared" si="79"/>
        <v>1.0069474801266123E-2</v>
      </c>
      <c r="AD127" s="40">
        <f t="shared" si="62"/>
        <v>1.0069474801266123E-2</v>
      </c>
      <c r="AE127" s="39">
        <f t="shared" si="70"/>
        <v>0.13598390437298347</v>
      </c>
      <c r="AF127" s="37">
        <f t="shared" si="63"/>
        <v>0.53475803111611686</v>
      </c>
      <c r="AG127" s="37">
        <f t="shared" si="80"/>
        <v>3.3458039765652738E-2</v>
      </c>
      <c r="AH127" s="37">
        <f t="shared" si="81"/>
        <v>5.8601030132143551E-2</v>
      </c>
      <c r="AI127" s="40">
        <f t="shared" si="64"/>
        <v>9.2059069897796289E-2</v>
      </c>
      <c r="AJ127" s="39">
        <f t="shared" si="65"/>
        <v>8.2414487498777827E-4</v>
      </c>
      <c r="AK127" s="37">
        <f t="shared" si="82"/>
        <v>4.1630856260579177E-2</v>
      </c>
      <c r="AL127" s="37">
        <f t="shared" si="83"/>
        <v>0.01</v>
      </c>
      <c r="AM127" s="37">
        <f t="shared" si="84"/>
        <v>0.29112499999999997</v>
      </c>
      <c r="AN127" s="40">
        <f t="shared" si="66"/>
        <v>0.30112499999999998</v>
      </c>
      <c r="AO127" s="39">
        <f t="shared" si="85"/>
        <v>1.3440409136629732E-2</v>
      </c>
      <c r="AP127" s="37">
        <f t="shared" si="86"/>
        <v>2.1600000000000001E-2</v>
      </c>
      <c r="AQ127" s="40">
        <f t="shared" si="87"/>
        <v>2.2499999999999998E-3</v>
      </c>
      <c r="AR127" s="39">
        <f t="shared" si="67"/>
        <v>0.44054395383569211</v>
      </c>
      <c r="AS127" s="37">
        <f t="shared" si="68"/>
        <v>1.36</v>
      </c>
      <c r="AT127" s="40">
        <f t="shared" si="69"/>
        <v>75.532729823273527</v>
      </c>
    </row>
    <row r="128" spans="17:46" x14ac:dyDescent="0.2">
      <c r="Q128">
        <v>121</v>
      </c>
      <c r="R128" s="39">
        <f t="shared" si="45"/>
        <v>170</v>
      </c>
      <c r="S128" s="37">
        <f t="shared" si="73"/>
        <v>8.0666666666666664E-3</v>
      </c>
      <c r="T128" s="37">
        <f t="shared" si="47"/>
        <v>5</v>
      </c>
      <c r="U128" s="40">
        <f t="shared" si="74"/>
        <v>0.42194871794871791</v>
      </c>
      <c r="V128" s="39">
        <f t="shared" si="75"/>
        <v>1</v>
      </c>
      <c r="W128" s="37">
        <f t="shared" si="76"/>
        <v>0.32631273343220918</v>
      </c>
      <c r="X128" s="40">
        <f t="shared" si="77"/>
        <v>1.9776529298921766E-3</v>
      </c>
      <c r="Y128" s="39">
        <f t="shared" si="78"/>
        <v>1.6315636671610461</v>
      </c>
      <c r="Z128" s="37">
        <f t="shared" si="71"/>
        <v>1.6315636671610461</v>
      </c>
      <c r="AA128" s="37">
        <f t="shared" si="72"/>
        <v>0.53972493256470122</v>
      </c>
      <c r="AB128" s="37">
        <v>0</v>
      </c>
      <c r="AC128" s="37">
        <f t="shared" si="79"/>
        <v>1.0195605099118996E-2</v>
      </c>
      <c r="AD128" s="40">
        <f t="shared" si="62"/>
        <v>1.0195605099118996E-2</v>
      </c>
      <c r="AE128" s="39">
        <f t="shared" si="70"/>
        <v>0.13768723952206241</v>
      </c>
      <c r="AF128" s="37">
        <f t="shared" si="63"/>
        <v>0.53809679934516774</v>
      </c>
      <c r="AG128" s="37">
        <f t="shared" si="80"/>
        <v>3.3877135359465106E-2</v>
      </c>
      <c r="AH128" s="37">
        <f t="shared" si="81"/>
        <v>5.9089372049911409E-2</v>
      </c>
      <c r="AI128" s="40">
        <f t="shared" si="64"/>
        <v>9.2966507409376509E-2</v>
      </c>
      <c r="AJ128" s="39">
        <f t="shared" si="65"/>
        <v>8.3446811831552957E-4</v>
      </c>
      <c r="AK128" s="37">
        <f t="shared" si="82"/>
        <v>4.1890779014690786E-2</v>
      </c>
      <c r="AL128" s="37">
        <f t="shared" si="83"/>
        <v>1.0083333333333333E-2</v>
      </c>
      <c r="AM128" s="37">
        <f t="shared" si="84"/>
        <v>0.29112499999999997</v>
      </c>
      <c r="AN128" s="40">
        <f t="shared" si="66"/>
        <v>0.3012083333333333</v>
      </c>
      <c r="AO128" s="39">
        <f t="shared" si="85"/>
        <v>1.3608763776879144E-2</v>
      </c>
      <c r="AP128" s="37">
        <f t="shared" si="86"/>
        <v>2.1600000000000001E-2</v>
      </c>
      <c r="AQ128" s="40">
        <f t="shared" si="87"/>
        <v>2.2499999999999998E-3</v>
      </c>
      <c r="AR128" s="39">
        <f t="shared" si="67"/>
        <v>0.44182920961870792</v>
      </c>
      <c r="AS128" s="37">
        <f t="shared" si="68"/>
        <v>1.3713333333333333</v>
      </c>
      <c r="AT128" s="40">
        <f t="shared" si="69"/>
        <v>75.632123477503669</v>
      </c>
    </row>
    <row r="129" spans="17:46" x14ac:dyDescent="0.2">
      <c r="Q129">
        <v>122</v>
      </c>
      <c r="R129" s="39">
        <f t="shared" si="45"/>
        <v>170</v>
      </c>
      <c r="S129" s="37">
        <f t="shared" si="73"/>
        <v>8.1333333333333344E-3</v>
      </c>
      <c r="T129" s="37">
        <f t="shared" si="47"/>
        <v>5</v>
      </c>
      <c r="U129" s="40">
        <f t="shared" si="74"/>
        <v>0.42543589743589749</v>
      </c>
      <c r="V129" s="39">
        <f t="shared" si="75"/>
        <v>1</v>
      </c>
      <c r="W129" s="37">
        <f t="shared" si="76"/>
        <v>0.32765835866035831</v>
      </c>
      <c r="X129" s="40">
        <f t="shared" si="77"/>
        <v>1.9858082343052015E-3</v>
      </c>
      <c r="Y129" s="39">
        <f t="shared" si="78"/>
        <v>1.6382917933017918</v>
      </c>
      <c r="Z129" s="37">
        <f t="shared" si="71"/>
        <v>1.6382917933017918</v>
      </c>
      <c r="AA129" s="37">
        <f t="shared" si="72"/>
        <v>0.54306689089076221</v>
      </c>
      <c r="AB129" s="37">
        <v>0</v>
      </c>
      <c r="AC129" s="37">
        <f t="shared" si="79"/>
        <v>1.0322257679361567E-2</v>
      </c>
      <c r="AD129" s="40">
        <f t="shared" si="62"/>
        <v>1.0322257679361567E-2</v>
      </c>
      <c r="AE129" s="39">
        <f t="shared" si="70"/>
        <v>0.13939762786904272</v>
      </c>
      <c r="AF129" s="37">
        <f t="shared" si="63"/>
        <v>0.54142867632600877</v>
      </c>
      <c r="AG129" s="37">
        <f t="shared" si="80"/>
        <v>3.4297966351131678E-2</v>
      </c>
      <c r="AH129" s="37">
        <f t="shared" si="81"/>
        <v>5.9577713967679288E-2</v>
      </c>
      <c r="AI129" s="40">
        <f t="shared" si="64"/>
        <v>9.3875680318810967E-2</v>
      </c>
      <c r="AJ129" s="39">
        <f t="shared" si="65"/>
        <v>8.4483410829722843E-4</v>
      </c>
      <c r="AK129" s="37">
        <f t="shared" si="82"/>
        <v>4.2150165285856883E-2</v>
      </c>
      <c r="AL129" s="37">
        <f t="shared" si="83"/>
        <v>1.0166666666666668E-2</v>
      </c>
      <c r="AM129" s="37">
        <f t="shared" si="84"/>
        <v>0.29112499999999997</v>
      </c>
      <c r="AN129" s="40">
        <f t="shared" si="66"/>
        <v>0.30129166666666662</v>
      </c>
      <c r="AO129" s="39">
        <f t="shared" si="85"/>
        <v>1.3777815542762297E-2</v>
      </c>
      <c r="AP129" s="37">
        <f t="shared" si="86"/>
        <v>2.1600000000000001E-2</v>
      </c>
      <c r="AQ129" s="40">
        <f t="shared" si="87"/>
        <v>2.2499999999999998E-3</v>
      </c>
      <c r="AR129" s="39">
        <f t="shared" si="67"/>
        <v>0.44311742020760142</v>
      </c>
      <c r="AS129" s="37">
        <f t="shared" si="68"/>
        <v>1.3826666666666669</v>
      </c>
      <c r="AT129" s="40">
        <f t="shared" si="69"/>
        <v>75.730020685730921</v>
      </c>
    </row>
    <row r="130" spans="17:46" x14ac:dyDescent="0.2">
      <c r="Q130">
        <v>123</v>
      </c>
      <c r="R130" s="39">
        <f t="shared" si="45"/>
        <v>170</v>
      </c>
      <c r="S130" s="37">
        <f t="shared" si="73"/>
        <v>8.2000000000000007E-3</v>
      </c>
      <c r="T130" s="37">
        <f t="shared" si="47"/>
        <v>5</v>
      </c>
      <c r="U130" s="40">
        <f t="shared" si="74"/>
        <v>0.42892307692307696</v>
      </c>
      <c r="V130" s="39">
        <f t="shared" si="75"/>
        <v>1</v>
      </c>
      <c r="W130" s="37">
        <f t="shared" si="76"/>
        <v>0.32899848023965089</v>
      </c>
      <c r="X130" s="40">
        <f t="shared" si="77"/>
        <v>1.9939301832706115E-3</v>
      </c>
      <c r="Y130" s="39">
        <f t="shared" si="78"/>
        <v>1.6449924011982546</v>
      </c>
      <c r="Z130" s="37">
        <f t="shared" si="71"/>
        <v>1.6449924011982546</v>
      </c>
      <c r="AA130" s="37">
        <f t="shared" si="72"/>
        <v>0.54640200786735327</v>
      </c>
      <c r="AB130" s="37">
        <v>0</v>
      </c>
      <c r="AC130" s="37">
        <f t="shared" si="79"/>
        <v>1.0449430397051632E-2</v>
      </c>
      <c r="AD130" s="40">
        <f t="shared" si="62"/>
        <v>1.0449430397051632E-2</v>
      </c>
      <c r="AE130" s="39">
        <f t="shared" si="70"/>
        <v>0.14111504044740719</v>
      </c>
      <c r="AF130" s="37">
        <f t="shared" si="63"/>
        <v>0.54475373259498183</v>
      </c>
      <c r="AG130" s="37">
        <f t="shared" si="80"/>
        <v>3.4720525613611303E-2</v>
      </c>
      <c r="AH130" s="37">
        <f t="shared" si="81"/>
        <v>6.0066055885447139E-2</v>
      </c>
      <c r="AI130" s="40">
        <f t="shared" si="64"/>
        <v>9.4786581499058442E-2</v>
      </c>
      <c r="AJ130" s="39">
        <f t="shared" si="65"/>
        <v>8.5524266937822546E-4</v>
      </c>
      <c r="AK130" s="37">
        <f t="shared" si="82"/>
        <v>4.2409020565324203E-2</v>
      </c>
      <c r="AL130" s="37">
        <f t="shared" si="83"/>
        <v>1.025E-2</v>
      </c>
      <c r="AM130" s="37">
        <f t="shared" si="84"/>
        <v>0.29112499999999997</v>
      </c>
      <c r="AN130" s="40">
        <f t="shared" si="66"/>
        <v>0.30137499999999995</v>
      </c>
      <c r="AO130" s="39">
        <f t="shared" si="85"/>
        <v>1.3947561571279753E-2</v>
      </c>
      <c r="AP130" s="37">
        <f t="shared" si="86"/>
        <v>2.1600000000000001E-2</v>
      </c>
      <c r="AQ130" s="40">
        <f t="shared" si="87"/>
        <v>2.2499999999999998E-3</v>
      </c>
      <c r="AR130" s="39">
        <f t="shared" si="67"/>
        <v>0.44440857346738977</v>
      </c>
      <c r="AS130" s="37">
        <f t="shared" si="68"/>
        <v>1.3940000000000001</v>
      </c>
      <c r="AT130" s="40">
        <f t="shared" si="69"/>
        <v>75.826452297858978</v>
      </c>
    </row>
    <row r="131" spans="17:46" x14ac:dyDescent="0.2">
      <c r="Q131">
        <v>124</v>
      </c>
      <c r="R131" s="39">
        <f t="shared" si="45"/>
        <v>170</v>
      </c>
      <c r="S131" s="37">
        <f t="shared" si="73"/>
        <v>8.266666666666667E-3</v>
      </c>
      <c r="T131" s="37">
        <f t="shared" si="47"/>
        <v>5</v>
      </c>
      <c r="U131" s="40">
        <f t="shared" si="74"/>
        <v>0.43241025641025643</v>
      </c>
      <c r="V131" s="39">
        <f t="shared" si="75"/>
        <v>1</v>
      </c>
      <c r="W131" s="37">
        <f t="shared" si="76"/>
        <v>0.33033316515300126</v>
      </c>
      <c r="X131" s="40">
        <f t="shared" si="77"/>
        <v>2.0020191827454618E-3</v>
      </c>
      <c r="Y131" s="39">
        <f t="shared" si="78"/>
        <v>1.6516658257650065</v>
      </c>
      <c r="Z131" s="37">
        <f t="shared" si="71"/>
        <v>1.6516658257650065</v>
      </c>
      <c r="AA131" s="37">
        <f t="shared" si="72"/>
        <v>0.54973035295131056</v>
      </c>
      <c r="AB131" s="37">
        <v>0</v>
      </c>
      <c r="AC131" s="37">
        <f t="shared" si="79"/>
        <v>1.0577121133459039E-2</v>
      </c>
      <c r="AD131" s="40">
        <f t="shared" si="62"/>
        <v>1.0577121133459039E-2</v>
      </c>
      <c r="AE131" s="39">
        <f t="shared" si="70"/>
        <v>0.14283944864462086</v>
      </c>
      <c r="AF131" s="37">
        <f t="shared" si="63"/>
        <v>0.54807203739940002</v>
      </c>
      <c r="AG131" s="37">
        <f t="shared" si="80"/>
        <v>3.5144806106958137E-2</v>
      </c>
      <c r="AH131" s="37">
        <f t="shared" si="81"/>
        <v>6.0554397803214997E-2</v>
      </c>
      <c r="AI131" s="40">
        <f t="shared" si="64"/>
        <v>9.5699203910173142E-2</v>
      </c>
      <c r="AJ131" s="39">
        <f t="shared" si="65"/>
        <v>8.6569362814921716E-4</v>
      </c>
      <c r="AK131" s="37">
        <f t="shared" si="82"/>
        <v>4.2667350243988753E-2</v>
      </c>
      <c r="AL131" s="37">
        <f t="shared" si="83"/>
        <v>1.0333333333333333E-2</v>
      </c>
      <c r="AM131" s="37">
        <f t="shared" si="84"/>
        <v>0.29112499999999997</v>
      </c>
      <c r="AN131" s="40">
        <f t="shared" si="66"/>
        <v>0.30145833333333327</v>
      </c>
      <c r="AO131" s="39">
        <f t="shared" si="85"/>
        <v>1.411799903441908E-2</v>
      </c>
      <c r="AP131" s="37">
        <f t="shared" si="86"/>
        <v>2.1600000000000001E-2</v>
      </c>
      <c r="AQ131" s="40">
        <f t="shared" si="87"/>
        <v>2.2499999999999998E-3</v>
      </c>
      <c r="AR131" s="39">
        <f t="shared" si="67"/>
        <v>0.44570265741138448</v>
      </c>
      <c r="AS131" s="37">
        <f t="shared" si="68"/>
        <v>1.4053333333333333</v>
      </c>
      <c r="AT131" s="40">
        <f t="shared" si="69"/>
        <v>75.921448332721653</v>
      </c>
    </row>
    <row r="132" spans="17:46" x14ac:dyDescent="0.2">
      <c r="Q132">
        <v>125</v>
      </c>
      <c r="R132" s="39">
        <f t="shared" si="45"/>
        <v>170</v>
      </c>
      <c r="S132" s="37">
        <f t="shared" si="73"/>
        <v>8.3333333333333332E-3</v>
      </c>
      <c r="T132" s="37">
        <f t="shared" si="47"/>
        <v>5</v>
      </c>
      <c r="U132" s="40">
        <f t="shared" si="74"/>
        <v>0.4358974358974359</v>
      </c>
      <c r="V132" s="39">
        <f t="shared" si="75"/>
        <v>1</v>
      </c>
      <c r="W132" s="37">
        <f t="shared" si="76"/>
        <v>0.33166247903553997</v>
      </c>
      <c r="X132" s="40">
        <f t="shared" si="77"/>
        <v>2.010075630518424E-3</v>
      </c>
      <c r="Y132" s="39">
        <f t="shared" si="78"/>
        <v>1.6583123951777001</v>
      </c>
      <c r="Z132" s="37">
        <f t="shared" si="71"/>
        <v>1.6583123951777001</v>
      </c>
      <c r="AA132" s="37">
        <f t="shared" si="72"/>
        <v>0.55305199434039376</v>
      </c>
      <c r="AB132" s="37">
        <v>0</v>
      </c>
      <c r="AC132" s="37">
        <f t="shared" si="79"/>
        <v>1.0705327795536042E-2</v>
      </c>
      <c r="AD132" s="40">
        <f t="shared" si="62"/>
        <v>1.0705327795536042E-2</v>
      </c>
      <c r="AE132" s="39">
        <f t="shared" si="70"/>
        <v>0.14457082419497896</v>
      </c>
      <c r="AF132" s="37">
        <f t="shared" si="63"/>
        <v>0.55138365873129724</v>
      </c>
      <c r="AG132" s="37">
        <f t="shared" si="80"/>
        <v>3.557080087656167E-2</v>
      </c>
      <c r="AH132" s="37">
        <f t="shared" si="81"/>
        <v>6.1042739720982862E-2</v>
      </c>
      <c r="AI132" s="40">
        <f t="shared" si="64"/>
        <v>9.6613540597544539E-2</v>
      </c>
      <c r="AJ132" s="39">
        <f t="shared" si="65"/>
        <v>8.7618681330290282E-4</v>
      </c>
      <c r="AK132" s="37">
        <f t="shared" si="82"/>
        <v>4.2925159615023245E-2</v>
      </c>
      <c r="AL132" s="37">
        <f t="shared" si="83"/>
        <v>1.0416666666666666E-2</v>
      </c>
      <c r="AM132" s="37">
        <f t="shared" si="84"/>
        <v>0.29112499999999997</v>
      </c>
      <c r="AN132" s="40">
        <f t="shared" si="66"/>
        <v>0.30154166666666665</v>
      </c>
      <c r="AO132" s="39">
        <f t="shared" si="85"/>
        <v>1.428912513844785E-2</v>
      </c>
      <c r="AP132" s="37">
        <f t="shared" si="86"/>
        <v>2.1600000000000001E-2</v>
      </c>
      <c r="AQ132" s="40">
        <f t="shared" si="87"/>
        <v>2.2499999999999998E-3</v>
      </c>
      <c r="AR132" s="39">
        <f t="shared" si="67"/>
        <v>0.44699966019819515</v>
      </c>
      <c r="AS132" s="37">
        <f t="shared" si="68"/>
        <v>1.4166666666666667</v>
      </c>
      <c r="AT132" s="40">
        <f t="shared" si="69"/>
        <v>76.015038005748764</v>
      </c>
    </row>
    <row r="133" spans="17:46" x14ac:dyDescent="0.2">
      <c r="Q133">
        <v>126</v>
      </c>
      <c r="R133" s="39">
        <f t="shared" si="45"/>
        <v>170</v>
      </c>
      <c r="S133" s="37">
        <f t="shared" si="73"/>
        <v>8.4000000000000012E-3</v>
      </c>
      <c r="T133" s="37">
        <f t="shared" si="47"/>
        <v>5</v>
      </c>
      <c r="U133" s="40">
        <f t="shared" si="74"/>
        <v>0.43938461538461543</v>
      </c>
      <c r="V133" s="39">
        <f t="shared" si="75"/>
        <v>1</v>
      </c>
      <c r="W133" s="37">
        <f t="shared" si="76"/>
        <v>0.33298648621227861</v>
      </c>
      <c r="X133" s="40">
        <f t="shared" si="77"/>
        <v>2.0180999164380519E-3</v>
      </c>
      <c r="Y133" s="39">
        <f t="shared" si="78"/>
        <v>1.6649324310613933</v>
      </c>
      <c r="Z133" s="37">
        <f t="shared" si="71"/>
        <v>1.6649324310613933</v>
      </c>
      <c r="AA133" s="37">
        <f t="shared" si="72"/>
        <v>0.55636699900599274</v>
      </c>
      <c r="AB133" s="37">
        <v>0</v>
      </c>
      <c r="AC133" s="37">
        <f t="shared" si="79"/>
        <v>1.0834048315402701E-2</v>
      </c>
      <c r="AD133" s="40">
        <f t="shared" si="62"/>
        <v>1.0834048315402701E-2</v>
      </c>
      <c r="AE133" s="39">
        <f t="shared" si="70"/>
        <v>0.14630913917265659</v>
      </c>
      <c r="AF133" s="37">
        <f t="shared" si="63"/>
        <v>0.55468866336003797</v>
      </c>
      <c r="AG133" s="37">
        <f t="shared" si="80"/>
        <v>3.5998503051437029E-2</v>
      </c>
      <c r="AH133" s="37">
        <f t="shared" si="81"/>
        <v>6.1531081638750734E-2</v>
      </c>
      <c r="AI133" s="40">
        <f t="shared" si="64"/>
        <v>9.7529584690187771E-2</v>
      </c>
      <c r="AJ133" s="39">
        <f t="shared" si="65"/>
        <v>8.8672205559185799E-4</v>
      </c>
      <c r="AK133" s="37">
        <f t="shared" si="82"/>
        <v>4.3182453876415602E-2</v>
      </c>
      <c r="AL133" s="37">
        <f t="shared" si="83"/>
        <v>1.0500000000000002E-2</v>
      </c>
      <c r="AM133" s="37">
        <f t="shared" si="84"/>
        <v>0.29112499999999997</v>
      </c>
      <c r="AN133" s="40">
        <f t="shared" si="66"/>
        <v>0.30162499999999998</v>
      </c>
      <c r="AO133" s="39">
        <f t="shared" si="85"/>
        <v>1.446093712322684E-2</v>
      </c>
      <c r="AP133" s="37">
        <f t="shared" si="86"/>
        <v>2.1600000000000001E-2</v>
      </c>
      <c r="AQ133" s="40">
        <f t="shared" si="87"/>
        <v>2.2499999999999998E-3</v>
      </c>
      <c r="AR133" s="39">
        <f t="shared" si="67"/>
        <v>0.44829957012881722</v>
      </c>
      <c r="AS133" s="37">
        <f t="shared" si="68"/>
        <v>1.4280000000000002</v>
      </c>
      <c r="AT133" s="40">
        <f t="shared" si="69"/>
        <v>76.107249755536671</v>
      </c>
    </row>
    <row r="134" spans="17:46" x14ac:dyDescent="0.2">
      <c r="Q134">
        <v>127</v>
      </c>
      <c r="R134" s="39">
        <f t="shared" si="45"/>
        <v>170</v>
      </c>
      <c r="S134" s="37">
        <f t="shared" si="73"/>
        <v>8.4666666666666675E-3</v>
      </c>
      <c r="T134" s="37">
        <f t="shared" si="47"/>
        <v>5</v>
      </c>
      <c r="U134" s="40">
        <f t="shared" si="74"/>
        <v>0.44287179487179495</v>
      </c>
      <c r="V134" s="39">
        <f t="shared" si="75"/>
        <v>1</v>
      </c>
      <c r="W134" s="37">
        <f t="shared" si="76"/>
        <v>0.3343052497344306</v>
      </c>
      <c r="X134" s="40">
        <f t="shared" si="77"/>
        <v>2.0260924226329123E-3</v>
      </c>
      <c r="Y134" s="39">
        <f t="shared" si="78"/>
        <v>1.6715262486721532</v>
      </c>
      <c r="Z134" s="37">
        <f t="shared" si="71"/>
        <v>1.6715262486721532</v>
      </c>
      <c r="AA134" s="37">
        <f t="shared" si="72"/>
        <v>0.55967543272472831</v>
      </c>
      <c r="AB134" s="37">
        <v>0</v>
      </c>
      <c r="AC134" s="37">
        <f t="shared" si="79"/>
        <v>1.0963280649846417E-2</v>
      </c>
      <c r="AD134" s="40">
        <f t="shared" si="62"/>
        <v>1.0963280649846417E-2</v>
      </c>
      <c r="AE134" s="39">
        <f t="shared" si="70"/>
        <v>0.14805436598495092</v>
      </c>
      <c r="AF134" s="37">
        <f t="shared" si="63"/>
        <v>0.55798711686382141</v>
      </c>
      <c r="AG134" s="37">
        <f t="shared" si="80"/>
        <v>3.6427905842561989E-2</v>
      </c>
      <c r="AH134" s="37">
        <f t="shared" si="81"/>
        <v>6.2019423556518606E-2</v>
      </c>
      <c r="AI134" s="40">
        <f t="shared" si="64"/>
        <v>9.8447329399080602E-2</v>
      </c>
      <c r="AJ134" s="39">
        <f t="shared" si="65"/>
        <v>8.9729918778758122E-4</v>
      </c>
      <c r="AK134" s="37">
        <f t="shared" si="82"/>
        <v>4.3439238133421723E-2</v>
      </c>
      <c r="AL134" s="37">
        <f t="shared" si="83"/>
        <v>1.0583333333333333E-2</v>
      </c>
      <c r="AM134" s="37">
        <f t="shared" si="84"/>
        <v>0.29112499999999997</v>
      </c>
      <c r="AN134" s="40">
        <f t="shared" si="66"/>
        <v>0.3017083333333333</v>
      </c>
      <c r="AO134" s="39">
        <f t="shared" si="85"/>
        <v>1.4633432261541996E-2</v>
      </c>
      <c r="AP134" s="37">
        <f t="shared" si="86"/>
        <v>2.1600000000000001E-2</v>
      </c>
      <c r="AQ134" s="40">
        <f t="shared" si="87"/>
        <v>2.2499999999999998E-3</v>
      </c>
      <c r="AR134" s="39">
        <f t="shared" si="67"/>
        <v>0.44960237564380229</v>
      </c>
      <c r="AS134" s="37">
        <f t="shared" si="68"/>
        <v>1.4393333333333336</v>
      </c>
      <c r="AT134" s="40">
        <f t="shared" si="69"/>
        <v>76.19811126937384</v>
      </c>
    </row>
    <row r="135" spans="17:46" x14ac:dyDescent="0.2">
      <c r="Q135">
        <v>128</v>
      </c>
      <c r="R135" s="39">
        <f t="shared" ref="R135:R157" si="88">VOUT</f>
        <v>170</v>
      </c>
      <c r="S135" s="37">
        <f t="shared" ref="S135:S157" si="89">Q135*$O$12</f>
        <v>8.5333333333333337E-3</v>
      </c>
      <c r="T135" s="37">
        <f t="shared" ref="T135:T157" si="90">VIN_var</f>
        <v>5</v>
      </c>
      <c r="U135" s="40">
        <f t="shared" ref="U135:U157" si="91">(R135*S135)/(T135*EFF_est)</f>
        <v>0.44635897435897437</v>
      </c>
      <c r="V135" s="39">
        <f t="shared" ref="V135:V157" si="92">IF((S135*R135/T135)&lt;((T135*(1-(T135/R135)))/(2*Lm*Fsw)),1,2)</f>
        <v>1</v>
      </c>
      <c r="W135" s="37">
        <f t="shared" ref="W135:W157" si="93">CHOOSE(V135,SQRT((2*S135*Lm*Fsw*(R135-T135))/((T135)^2)),1-(T135/R135))</f>
        <v>0.33561883141444854</v>
      </c>
      <c r="X135" s="40">
        <f t="shared" ref="X135:X157" si="94">CHOOSE(V135,(Lm*W135*Fsw)/(R135-T135),1-W135)</f>
        <v>2.0340535237239302E-3</v>
      </c>
      <c r="Y135" s="39">
        <f t="shared" ref="Y135:Y157" si="95">(T135*W135)/(Lm*Fsw)</f>
        <v>1.678094157072243</v>
      </c>
      <c r="Z135" s="37">
        <f t="shared" si="71"/>
        <v>1.678094157072243</v>
      </c>
      <c r="AA135" s="37">
        <f t="shared" si="72"/>
        <v>0.56297736010899946</v>
      </c>
      <c r="AB135" s="37">
        <v>0</v>
      </c>
      <c r="AC135" s="37">
        <f t="shared" ref="AC135:AC157" si="96">(AA135^2)*Rdcr</f>
        <v>1.1093022779835433E-2</v>
      </c>
      <c r="AD135" s="40">
        <f t="shared" si="62"/>
        <v>1.1093022779835433E-2</v>
      </c>
      <c r="AE135" s="39">
        <f t="shared" si="70"/>
        <v>0.14980647736571079</v>
      </c>
      <c r="AF135" s="37">
        <f t="shared" si="63"/>
        <v>0.56127908366013657</v>
      </c>
      <c r="AG135" s="37">
        <f t="shared" ref="AG135:AG157" si="97">(AF135^2)*RDS_on</f>
        <v>3.6859002541260427E-2</v>
      </c>
      <c r="AH135" s="37">
        <f t="shared" ref="AH135:AH157" si="98">((R135*U135)/2)*Fsw*(tr_sw+tf_sw)</f>
        <v>6.250776547428645E-2</v>
      </c>
      <c r="AI135" s="40">
        <f t="shared" si="64"/>
        <v>9.9366768015546877E-2</v>
      </c>
      <c r="AJ135" s="39">
        <f t="shared" si="65"/>
        <v>9.0791804464067122E-4</v>
      </c>
      <c r="AK135" s="37">
        <f t="shared" ref="AK135:AK157" si="99">CHOOSE(V135,Z135*SQRT(X135/3),SQRT(X135*((Z135^2)+((Y135^2)/3)-(Y135*Z135))))</f>
        <v>4.3695517400936336E-2</v>
      </c>
      <c r="AL135" s="37">
        <f t="shared" ref="AL135:AL157" si="100">S135*Vd_rect</f>
        <v>1.0666666666666668E-2</v>
      </c>
      <c r="AM135" s="37">
        <f t="shared" ref="AM135:AM157" si="101">CHOOSE(V135,(R135+Vd_rect)*Qrr*Fsw,(R135+Vd_rect)*Qrr*Fsw)</f>
        <v>0.29112499999999997</v>
      </c>
      <c r="AN135" s="40">
        <f t="shared" si="66"/>
        <v>0.30179166666666662</v>
      </c>
      <c r="AO135" s="39">
        <f t="shared" ref="AO135:AO157" si="102">(AF135^2)*R_cs</f>
        <v>1.4806607858455041E-2</v>
      </c>
      <c r="AP135" s="37">
        <f t="shared" ref="AP135:AP157" si="103">Qg_tot*Vcc*Fsw</f>
        <v>2.1600000000000001E-2</v>
      </c>
      <c r="AQ135" s="40">
        <f t="shared" ref="AQ135:AQ157" si="104">IQ*T135</f>
        <v>2.2499999999999998E-3</v>
      </c>
      <c r="AR135" s="39">
        <f t="shared" si="67"/>
        <v>0.45090806532050398</v>
      </c>
      <c r="AS135" s="37">
        <f t="shared" si="68"/>
        <v>1.4506666666666668</v>
      </c>
      <c r="AT135" s="40">
        <f t="shared" si="69"/>
        <v>76.287649507768805</v>
      </c>
    </row>
    <row r="136" spans="17:46" x14ac:dyDescent="0.2">
      <c r="Q136">
        <v>129</v>
      </c>
      <c r="R136" s="39">
        <f t="shared" si="88"/>
        <v>170</v>
      </c>
      <c r="S136" s="37">
        <f t="shared" si="89"/>
        <v>8.6E-3</v>
      </c>
      <c r="T136" s="37">
        <f t="shared" si="90"/>
        <v>5</v>
      </c>
      <c r="U136" s="40">
        <f t="shared" si="91"/>
        <v>0.44984615384615384</v>
      </c>
      <c r="V136" s="39">
        <f t="shared" si="92"/>
        <v>1</v>
      </c>
      <c r="W136" s="37">
        <f t="shared" si="93"/>
        <v>0.33692729185983133</v>
      </c>
      <c r="X136" s="40">
        <f t="shared" si="94"/>
        <v>2.0419835870292805E-3</v>
      </c>
      <c r="Y136" s="39">
        <f t="shared" si="95"/>
        <v>1.684636459299157</v>
      </c>
      <c r="Z136" s="37">
        <f t="shared" si="71"/>
        <v>1.684636459299157</v>
      </c>
      <c r="AA136" s="37">
        <f t="shared" si="72"/>
        <v>0.56627284463651462</v>
      </c>
      <c r="AB136" s="37">
        <v>0</v>
      </c>
      <c r="AC136" s="37">
        <f t="shared" si="96"/>
        <v>1.1223272710045558E-2</v>
      </c>
      <c r="AD136" s="40">
        <f t="shared" ref="AD136:AD157" si="105">AB136+AC136</f>
        <v>1.1223272710045558E-2</v>
      </c>
      <c r="AE136" s="39">
        <f t="shared" si="70"/>
        <v>0.15156544636894567</v>
      </c>
      <c r="AF136" s="37">
        <f t="shared" ref="AF136:AF157" si="106">CHOOSE(V136,Z136*SQRT(W136/3),SQRT(W136*((Z136^2)+((Y136^2)/3)-(Z136*Y136))))</f>
        <v>0.56456462703520527</v>
      </c>
      <c r="AG136" s="37">
        <f t="shared" si="97"/>
        <v>3.7291786517629849E-2</v>
      </c>
      <c r="AH136" s="37">
        <f t="shared" si="98"/>
        <v>6.2996107392054315E-2</v>
      </c>
      <c r="AI136" s="40">
        <f t="shared" ref="AI136:AI157" si="107">AG136+AH136</f>
        <v>0.10028789390968416</v>
      </c>
      <c r="AJ136" s="39">
        <f t="shared" ref="AJ136:AJ156" si="108">X136*U136</f>
        <v>9.1857846284209481E-4</v>
      </c>
      <c r="AK136" s="37">
        <f t="shared" si="99"/>
        <v>4.3951296605785124E-2</v>
      </c>
      <c r="AL136" s="37">
        <f t="shared" si="100"/>
        <v>1.0749999999999999E-2</v>
      </c>
      <c r="AM136" s="37">
        <f t="shared" si="101"/>
        <v>0.29112499999999997</v>
      </c>
      <c r="AN136" s="40">
        <f t="shared" ref="AN136:AN157" si="109">AL136+AM136</f>
        <v>0.30187499999999995</v>
      </c>
      <c r="AO136" s="39">
        <f t="shared" si="102"/>
        <v>1.4980461250671819E-2</v>
      </c>
      <c r="AP136" s="37">
        <f t="shared" si="103"/>
        <v>2.1600000000000001E-2</v>
      </c>
      <c r="AQ136" s="40">
        <f t="shared" si="104"/>
        <v>2.2499999999999998E-3</v>
      </c>
      <c r="AR136" s="39">
        <f t="shared" ref="AR136:AR157" si="110">AO136+AN136+AI136+AD136+AP136+AQ136</f>
        <v>0.45221662787040151</v>
      </c>
      <c r="AS136" s="37">
        <f t="shared" ref="AS136:AS157" si="111">R136*S136</f>
        <v>1.462</v>
      </c>
      <c r="AT136" s="40">
        <f t="shared" ref="AT136:AT156" si="112">(AS136/(AS136+AR136))*100</f>
        <v>76.375890728025894</v>
      </c>
    </row>
    <row r="137" spans="17:46" x14ac:dyDescent="0.2">
      <c r="Q137">
        <v>130</v>
      </c>
      <c r="R137" s="39">
        <f t="shared" si="88"/>
        <v>170</v>
      </c>
      <c r="S137" s="37">
        <f t="shared" si="89"/>
        <v>8.6666666666666663E-3</v>
      </c>
      <c r="T137" s="37">
        <f t="shared" si="90"/>
        <v>5</v>
      </c>
      <c r="U137" s="40">
        <f t="shared" si="91"/>
        <v>0.45333333333333325</v>
      </c>
      <c r="V137" s="39">
        <f t="shared" si="92"/>
        <v>1</v>
      </c>
      <c r="W137" s="37">
        <f t="shared" si="93"/>
        <v>0.33823069050575522</v>
      </c>
      <c r="X137" s="40">
        <f t="shared" si="94"/>
        <v>2.0498829727621523E-3</v>
      </c>
      <c r="Y137" s="39">
        <f t="shared" si="95"/>
        <v>1.6911534525287764</v>
      </c>
      <c r="Z137" s="37">
        <f t="shared" si="71"/>
        <v>1.6911534525287764</v>
      </c>
      <c r="AA137" s="37">
        <f t="shared" si="72"/>
        <v>0.56956194867885379</v>
      </c>
      <c r="AB137" s="37">
        <v>0</v>
      </c>
      <c r="AC137" s="37">
        <f t="shared" si="96"/>
        <v>1.1354028468399864E-2</v>
      </c>
      <c r="AD137" s="40">
        <f t="shared" si="105"/>
        <v>1.1354028468399864E-2</v>
      </c>
      <c r="AE137" s="39">
        <f t="shared" ref="AE137:AE157" si="113">U137*W137</f>
        <v>0.153331246362609</v>
      </c>
      <c r="AF137" s="37">
        <f t="shared" si="106"/>
        <v>0.5678438091724578</v>
      </c>
      <c r="AG137" s="37">
        <f t="shared" si="97"/>
        <v>3.7726251219011943E-2</v>
      </c>
      <c r="AH137" s="37">
        <f t="shared" si="98"/>
        <v>6.3484449309822166E-2</v>
      </c>
      <c r="AI137" s="40">
        <f t="shared" si="107"/>
        <v>0.1012107005288341</v>
      </c>
      <c r="AJ137" s="39">
        <f t="shared" si="108"/>
        <v>9.2928028098550894E-4</v>
      </c>
      <c r="AK137" s="37">
        <f t="shared" si="99"/>
        <v>4.4206580588941571E-2</v>
      </c>
      <c r="AL137" s="37">
        <f t="shared" si="100"/>
        <v>1.0833333333333334E-2</v>
      </c>
      <c r="AM137" s="37">
        <f t="shared" si="101"/>
        <v>0.29112499999999997</v>
      </c>
      <c r="AN137" s="40">
        <f t="shared" si="109"/>
        <v>0.30195833333333333</v>
      </c>
      <c r="AO137" s="39">
        <f t="shared" si="102"/>
        <v>1.5154989805927874E-2</v>
      </c>
      <c r="AP137" s="37">
        <f t="shared" si="103"/>
        <v>2.1600000000000001E-2</v>
      </c>
      <c r="AQ137" s="40">
        <f t="shared" si="104"/>
        <v>2.2499999999999998E-3</v>
      </c>
      <c r="AR137" s="39">
        <f t="shared" si="110"/>
        <v>0.45352805213649516</v>
      </c>
      <c r="AS137" s="37">
        <f t="shared" si="111"/>
        <v>1.4733333333333332</v>
      </c>
      <c r="AT137" s="40">
        <f t="shared" si="112"/>
        <v>76.462860506911298</v>
      </c>
    </row>
    <row r="138" spans="17:46" x14ac:dyDescent="0.2">
      <c r="Q138">
        <v>131</v>
      </c>
      <c r="R138" s="39">
        <f t="shared" si="88"/>
        <v>170</v>
      </c>
      <c r="S138" s="37">
        <f t="shared" si="89"/>
        <v>8.7333333333333343E-3</v>
      </c>
      <c r="T138" s="37">
        <f t="shared" si="90"/>
        <v>5</v>
      </c>
      <c r="U138" s="40">
        <f t="shared" si="91"/>
        <v>0.45682051282051284</v>
      </c>
      <c r="V138" s="39">
        <f t="shared" si="92"/>
        <v>1</v>
      </c>
      <c r="W138" s="37">
        <f t="shared" si="93"/>
        <v>0.33952908564657608</v>
      </c>
      <c r="X138" s="40">
        <f t="shared" si="94"/>
        <v>2.0577520342216727E-3</v>
      </c>
      <c r="Y138" s="39">
        <f t="shared" si="95"/>
        <v>1.6976454282328806</v>
      </c>
      <c r="Z138" s="37">
        <f t="shared" si="71"/>
        <v>1.6976454282328806</v>
      </c>
      <c r="AA138" s="37">
        <f t="shared" si="72"/>
        <v>0.57284473352909493</v>
      </c>
      <c r="AB138" s="37">
        <v>0</v>
      </c>
      <c r="AC138" s="37">
        <f t="shared" si="96"/>
        <v>1.1485288105620692E-2</v>
      </c>
      <c r="AD138" s="40">
        <f t="shared" si="105"/>
        <v>1.1485288105620692E-2</v>
      </c>
      <c r="AE138" s="39">
        <f t="shared" si="113"/>
        <v>0.1551038510225487</v>
      </c>
      <c r="AF138" s="37">
        <f t="shared" si="106"/>
        <v>0.57111669118007524</v>
      </c>
      <c r="AG138" s="37">
        <f t="shared" si="97"/>
        <v>3.8162390168503861E-2</v>
      </c>
      <c r="AH138" s="37">
        <f t="shared" si="98"/>
        <v>6.3972791227590045E-2</v>
      </c>
      <c r="AI138" s="40">
        <f t="shared" si="107"/>
        <v>0.1021351813960939</v>
      </c>
      <c r="AJ138" s="39">
        <f t="shared" si="108"/>
        <v>9.4002333953059798E-4</v>
      </c>
      <c r="AK138" s="37">
        <f t="shared" si="99"/>
        <v>4.4461374107671113E-2</v>
      </c>
      <c r="AL138" s="37">
        <f t="shared" si="100"/>
        <v>1.0916666666666668E-2</v>
      </c>
      <c r="AM138" s="37">
        <f t="shared" si="101"/>
        <v>0.29112499999999997</v>
      </c>
      <c r="AN138" s="40">
        <f t="shared" si="109"/>
        <v>0.30204166666666665</v>
      </c>
      <c r="AO138" s="39">
        <f t="shared" si="102"/>
        <v>1.5330190922390439E-2</v>
      </c>
      <c r="AP138" s="37">
        <f t="shared" si="103"/>
        <v>2.1600000000000001E-2</v>
      </c>
      <c r="AQ138" s="40">
        <f t="shared" si="104"/>
        <v>2.2499999999999998E-3</v>
      </c>
      <c r="AR138" s="39">
        <f t="shared" si="110"/>
        <v>0.45484232709077171</v>
      </c>
      <c r="AS138" s="37">
        <f t="shared" si="111"/>
        <v>1.4846666666666668</v>
      </c>
      <c r="AT138" s="40">
        <f t="shared" si="112"/>
        <v>76.548583762450136</v>
      </c>
    </row>
    <row r="139" spans="17:46" x14ac:dyDescent="0.2">
      <c r="Q139">
        <v>132</v>
      </c>
      <c r="R139" s="39">
        <f t="shared" si="88"/>
        <v>170</v>
      </c>
      <c r="S139" s="37">
        <f t="shared" si="89"/>
        <v>8.8000000000000005E-3</v>
      </c>
      <c r="T139" s="37">
        <f t="shared" si="90"/>
        <v>5</v>
      </c>
      <c r="U139" s="40">
        <f t="shared" si="91"/>
        <v>0.46030769230769231</v>
      </c>
      <c r="V139" s="39">
        <f t="shared" si="92"/>
        <v>1</v>
      </c>
      <c r="W139" s="37">
        <f t="shared" si="93"/>
        <v>0.34082253446625266</v>
      </c>
      <c r="X139" s="40">
        <f t="shared" si="94"/>
        <v>2.0655911179772884E-3</v>
      </c>
      <c r="Y139" s="39">
        <f t="shared" si="95"/>
        <v>1.7041126723312636</v>
      </c>
      <c r="Z139" s="37">
        <f t="shared" si="71"/>
        <v>1.7041126723312636</v>
      </c>
      <c r="AA139" s="37">
        <f t="shared" si="72"/>
        <v>0.57612125942854653</v>
      </c>
      <c r="AB139" s="37">
        <v>0</v>
      </c>
      <c r="AC139" s="37">
        <f t="shared" si="96"/>
        <v>1.1617049694793713E-2</v>
      </c>
      <c r="AD139" s="40">
        <f t="shared" si="105"/>
        <v>1.1617049694793713E-2</v>
      </c>
      <c r="AE139" s="39">
        <f t="shared" si="113"/>
        <v>0.15688323432661969</v>
      </c>
      <c r="AF139" s="37">
        <f t="shared" si="106"/>
        <v>0.57438333311764245</v>
      </c>
      <c r="AG139" s="37">
        <f t="shared" si="97"/>
        <v>3.8600196963509914E-2</v>
      </c>
      <c r="AH139" s="37">
        <f t="shared" si="98"/>
        <v>6.446113314535791E-2</v>
      </c>
      <c r="AI139" s="40">
        <f t="shared" si="107"/>
        <v>0.10306133010886782</v>
      </c>
      <c r="AJ139" s="39">
        <f t="shared" si="108"/>
        <v>9.5080748076739185E-4</v>
      </c>
      <c r="AK139" s="37">
        <f t="shared" si="99"/>
        <v>4.4715681837606089E-2</v>
      </c>
      <c r="AL139" s="37">
        <f t="shared" si="100"/>
        <v>1.1000000000000001E-2</v>
      </c>
      <c r="AM139" s="37">
        <f t="shared" si="101"/>
        <v>0.29112499999999997</v>
      </c>
      <c r="AN139" s="40">
        <f t="shared" si="109"/>
        <v>0.30212499999999998</v>
      </c>
      <c r="AO139" s="39">
        <f t="shared" si="102"/>
        <v>1.5506062028076632E-2</v>
      </c>
      <c r="AP139" s="37">
        <f t="shared" si="103"/>
        <v>2.1600000000000001E-2</v>
      </c>
      <c r="AQ139" s="40">
        <f t="shared" si="104"/>
        <v>2.2499999999999998E-3</v>
      </c>
      <c r="AR139" s="39">
        <f t="shared" si="110"/>
        <v>0.45615944183173812</v>
      </c>
      <c r="AS139" s="37">
        <f t="shared" si="111"/>
        <v>1.496</v>
      </c>
      <c r="AT139" s="40">
        <f t="shared" si="112"/>
        <v>76.633084774893305</v>
      </c>
    </row>
    <row r="140" spans="17:46" x14ac:dyDescent="0.2">
      <c r="Q140">
        <v>133</v>
      </c>
      <c r="R140" s="39">
        <f t="shared" si="88"/>
        <v>170</v>
      </c>
      <c r="S140" s="37">
        <f t="shared" si="89"/>
        <v>8.8666666666666668E-3</v>
      </c>
      <c r="T140" s="37">
        <f t="shared" si="90"/>
        <v>5</v>
      </c>
      <c r="U140" s="40">
        <f t="shared" si="91"/>
        <v>0.46379487179487183</v>
      </c>
      <c r="V140" s="39">
        <f t="shared" si="92"/>
        <v>1</v>
      </c>
      <c r="W140" s="37">
        <f t="shared" si="93"/>
        <v>0.34211109306773435</v>
      </c>
      <c r="X140" s="40">
        <f t="shared" si="94"/>
        <v>2.0734005640468747E-3</v>
      </c>
      <c r="Y140" s="39">
        <f t="shared" si="95"/>
        <v>1.7105554653386721</v>
      </c>
      <c r="Z140" s="37">
        <f t="shared" si="71"/>
        <v>1.7105554653386721</v>
      </c>
      <c r="AA140" s="37">
        <f t="shared" si="72"/>
        <v>0.57939158559262038</v>
      </c>
      <c r="AB140" s="37">
        <v>0</v>
      </c>
      <c r="AC140" s="37">
        <f t="shared" si="96"/>
        <v>1.1749311330943578E-2</v>
      </c>
      <c r="AD140" s="40">
        <f t="shared" si="105"/>
        <v>1.1749311330943578E-2</v>
      </c>
      <c r="AE140" s="39">
        <f t="shared" si="113"/>
        <v>0.15866937054895333</v>
      </c>
      <c r="AF140" s="37">
        <f t="shared" si="106"/>
        <v>0.57764379402194199</v>
      </c>
      <c r="AG140" s="37">
        <f t="shared" si="97"/>
        <v>3.9039665274331461E-2</v>
      </c>
      <c r="AH140" s="37">
        <f t="shared" si="98"/>
        <v>6.4949475063125761E-2</v>
      </c>
      <c r="AI140" s="40">
        <f t="shared" si="107"/>
        <v>0.10398914033745722</v>
      </c>
      <c r="AJ140" s="39">
        <f t="shared" si="108"/>
        <v>9.6163254878153521E-4</v>
      </c>
      <c r="AK140" s="37">
        <f t="shared" si="99"/>
        <v>4.496950837475381E-2</v>
      </c>
      <c r="AL140" s="37">
        <f t="shared" si="100"/>
        <v>1.1083333333333334E-2</v>
      </c>
      <c r="AM140" s="37">
        <f t="shared" si="101"/>
        <v>0.29112499999999997</v>
      </c>
      <c r="AN140" s="40">
        <f t="shared" si="109"/>
        <v>0.3022083333333333</v>
      </c>
      <c r="AO140" s="39">
        <f t="shared" si="102"/>
        <v>1.5682600580286997E-2</v>
      </c>
      <c r="AP140" s="37">
        <f t="shared" si="103"/>
        <v>2.1600000000000001E-2</v>
      </c>
      <c r="AQ140" s="40">
        <f t="shared" si="104"/>
        <v>2.2499999999999998E-3</v>
      </c>
      <c r="AR140" s="39">
        <f t="shared" si="110"/>
        <v>0.45747938558202106</v>
      </c>
      <c r="AS140" s="37">
        <f t="shared" si="111"/>
        <v>1.5073333333333334</v>
      </c>
      <c r="AT140" s="40">
        <f t="shared" si="112"/>
        <v>76.716387206890346</v>
      </c>
    </row>
    <row r="141" spans="17:46" x14ac:dyDescent="0.2">
      <c r="Q141">
        <v>134</v>
      </c>
      <c r="R141" s="39">
        <f t="shared" si="88"/>
        <v>170</v>
      </c>
      <c r="S141" s="37">
        <f t="shared" si="89"/>
        <v>8.9333333333333331E-3</v>
      </c>
      <c r="T141" s="37">
        <f t="shared" si="90"/>
        <v>5</v>
      </c>
      <c r="U141" s="40">
        <f t="shared" si="91"/>
        <v>0.46728205128205125</v>
      </c>
      <c r="V141" s="39">
        <f t="shared" si="92"/>
        <v>1</v>
      </c>
      <c r="W141" s="37">
        <f t="shared" si="93"/>
        <v>0.34339481650135606</v>
      </c>
      <c r="X141" s="40">
        <f t="shared" si="94"/>
        <v>2.0811807060688243E-3</v>
      </c>
      <c r="Y141" s="39">
        <f t="shared" si="95"/>
        <v>1.7169740825067805</v>
      </c>
      <c r="Z141" s="37">
        <f t="shared" si="71"/>
        <v>1.7169740825067805</v>
      </c>
      <c r="AA141" s="37">
        <f t="shared" si="72"/>
        <v>0.58265577023587689</v>
      </c>
      <c r="AB141" s="37">
        <v>0</v>
      </c>
      <c r="AC141" s="37">
        <f t="shared" si="96"/>
        <v>1.1882071130620704E-2</v>
      </c>
      <c r="AD141" s="40">
        <f t="shared" si="105"/>
        <v>1.1882071130620704E-2</v>
      </c>
      <c r="AE141" s="39">
        <f t="shared" si="113"/>
        <v>0.16046223425437725</v>
      </c>
      <c r="AF141" s="37">
        <f t="shared" si="106"/>
        <v>0.58089813193192419</v>
      </c>
      <c r="AG141" s="37">
        <f t="shared" si="97"/>
        <v>3.9480788842793914E-2</v>
      </c>
      <c r="AH141" s="37">
        <f t="shared" si="98"/>
        <v>6.5437816980893626E-2</v>
      </c>
      <c r="AI141" s="40">
        <f t="shared" si="107"/>
        <v>0.10491860582368753</v>
      </c>
      <c r="AJ141" s="39">
        <f t="shared" si="108"/>
        <v>9.724983894204679E-4</v>
      </c>
      <c r="AK141" s="37">
        <f t="shared" si="99"/>
        <v>4.5222858237440405E-2</v>
      </c>
      <c r="AL141" s="37">
        <f t="shared" si="100"/>
        <v>1.1166666666666667E-2</v>
      </c>
      <c r="AM141" s="37">
        <f t="shared" si="101"/>
        <v>0.29112499999999997</v>
      </c>
      <c r="AN141" s="40">
        <f t="shared" si="109"/>
        <v>0.30229166666666663</v>
      </c>
      <c r="AO141" s="39">
        <f t="shared" si="102"/>
        <v>1.5859804065053964E-2</v>
      </c>
      <c r="AP141" s="37">
        <f t="shared" si="103"/>
        <v>2.1600000000000001E-2</v>
      </c>
      <c r="AQ141" s="40">
        <f t="shared" si="104"/>
        <v>2.2499999999999998E-3</v>
      </c>
      <c r="AR141" s="39">
        <f t="shared" si="110"/>
        <v>0.45880214768602878</v>
      </c>
      <c r="AS141" s="37">
        <f t="shared" si="111"/>
        <v>1.5186666666666666</v>
      </c>
      <c r="AT141" s="40">
        <f t="shared" si="112"/>
        <v>76.79851412290347</v>
      </c>
    </row>
    <row r="142" spans="17:46" x14ac:dyDescent="0.2">
      <c r="Q142">
        <v>135</v>
      </c>
      <c r="R142" s="39">
        <f t="shared" si="88"/>
        <v>170</v>
      </c>
      <c r="S142" s="37">
        <f t="shared" si="89"/>
        <v>9.0000000000000011E-3</v>
      </c>
      <c r="T142" s="37">
        <f t="shared" si="90"/>
        <v>5</v>
      </c>
      <c r="U142" s="40">
        <f t="shared" si="91"/>
        <v>0.47076923076923083</v>
      </c>
      <c r="V142" s="39">
        <f t="shared" si="92"/>
        <v>1</v>
      </c>
      <c r="W142" s="37">
        <f t="shared" si="93"/>
        <v>0.34467375879228168</v>
      </c>
      <c r="X142" s="40">
        <f t="shared" si="94"/>
        <v>2.0889318714683736E-3</v>
      </c>
      <c r="Y142" s="39">
        <f t="shared" si="95"/>
        <v>1.7233687939614086</v>
      </c>
      <c r="Z142" s="37">
        <f t="shared" si="71"/>
        <v>1.7233687939614086</v>
      </c>
      <c r="AA142" s="37">
        <f t="shared" si="72"/>
        <v>0.58591387059627842</v>
      </c>
      <c r="AB142" s="37">
        <v>0</v>
      </c>
      <c r="AC142" s="37">
        <f t="shared" si="96"/>
        <v>1.2015327231498939E-2</v>
      </c>
      <c r="AD142" s="40">
        <f t="shared" si="105"/>
        <v>1.2015327231498939E-2</v>
      </c>
      <c r="AE142" s="39">
        <f t="shared" si="113"/>
        <v>0.16226180029298184</v>
      </c>
      <c r="AF142" s="37">
        <f t="shared" si="106"/>
        <v>0.58414640391288797</v>
      </c>
      <c r="AG142" s="37">
        <f t="shared" si="97"/>
        <v>3.9923561480909989E-2</v>
      </c>
      <c r="AH142" s="37">
        <f t="shared" si="98"/>
        <v>6.5926158898661505E-2</v>
      </c>
      <c r="AI142" s="40">
        <f t="shared" si="107"/>
        <v>0.10584972037957149</v>
      </c>
      <c r="AJ142" s="39">
        <f t="shared" si="108"/>
        <v>9.8340485026049591E-4</v>
      </c>
      <c r="AK142" s="37">
        <f t="shared" si="99"/>
        <v>4.5475735868193382E-2</v>
      </c>
      <c r="AL142" s="37">
        <f t="shared" si="100"/>
        <v>1.1250000000000001E-2</v>
      </c>
      <c r="AM142" s="37">
        <f t="shared" si="101"/>
        <v>0.29112499999999997</v>
      </c>
      <c r="AN142" s="40">
        <f t="shared" si="109"/>
        <v>0.30237499999999995</v>
      </c>
      <c r="AO142" s="39">
        <f t="shared" si="102"/>
        <v>1.6037669996604869E-2</v>
      </c>
      <c r="AP142" s="37">
        <f t="shared" si="103"/>
        <v>2.1600000000000001E-2</v>
      </c>
      <c r="AQ142" s="40">
        <f t="shared" si="104"/>
        <v>2.2499999999999998E-3</v>
      </c>
      <c r="AR142" s="39">
        <f t="shared" si="110"/>
        <v>0.46012771760767524</v>
      </c>
      <c r="AS142" s="37">
        <f t="shared" si="111"/>
        <v>1.5300000000000002</v>
      </c>
      <c r="AT142" s="40">
        <f t="shared" si="112"/>
        <v>76.879488007895645</v>
      </c>
    </row>
    <row r="143" spans="17:46" x14ac:dyDescent="0.2">
      <c r="Q143">
        <v>136</v>
      </c>
      <c r="R143" s="39">
        <f t="shared" si="88"/>
        <v>170</v>
      </c>
      <c r="S143" s="37">
        <f t="shared" si="89"/>
        <v>9.0666666666666673E-3</v>
      </c>
      <c r="T143" s="37">
        <f t="shared" si="90"/>
        <v>5</v>
      </c>
      <c r="U143" s="40">
        <f t="shared" si="91"/>
        <v>0.4742564102564103</v>
      </c>
      <c r="V143" s="39">
        <f t="shared" si="92"/>
        <v>1</v>
      </c>
      <c r="W143" s="37">
        <f t="shared" si="93"/>
        <v>0.34594797296703445</v>
      </c>
      <c r="X143" s="40">
        <f t="shared" si="94"/>
        <v>2.0966543816183904E-3</v>
      </c>
      <c r="Y143" s="39">
        <f t="shared" si="95"/>
        <v>1.7297398648351725</v>
      </c>
      <c r="Z143" s="37">
        <f t="shared" si="71"/>
        <v>1.7297398648351725</v>
      </c>
      <c r="AA143" s="37">
        <f t="shared" si="72"/>
        <v>0.5891659429586793</v>
      </c>
      <c r="AB143" s="37">
        <v>0</v>
      </c>
      <c r="AC143" s="37">
        <f t="shared" si="96"/>
        <v>1.2149077791983643E-2</v>
      </c>
      <c r="AD143" s="40">
        <f t="shared" si="105"/>
        <v>1.2149077791983643E-2</v>
      </c>
      <c r="AE143" s="39">
        <f t="shared" si="113"/>
        <v>0.16406804379482742</v>
      </c>
      <c r="AF143" s="37">
        <f t="shared" si="106"/>
        <v>0.58738866607989848</v>
      </c>
      <c r="AG143" s="37">
        <f t="shared" si="97"/>
        <v>4.0367977069577329E-2</v>
      </c>
      <c r="AH143" s="37">
        <f t="shared" si="98"/>
        <v>6.6414500816429356E-2</v>
      </c>
      <c r="AI143" s="40">
        <f t="shared" si="107"/>
        <v>0.10678247788600669</v>
      </c>
      <c r="AJ143" s="39">
        <f t="shared" si="108"/>
        <v>9.9435178057471151E-4</v>
      </c>
      <c r="AK143" s="37">
        <f t="shared" si="99"/>
        <v>4.5728145635564627E-2</v>
      </c>
      <c r="AL143" s="37">
        <f t="shared" si="100"/>
        <v>1.1333333333333334E-2</v>
      </c>
      <c r="AM143" s="37">
        <f t="shared" si="101"/>
        <v>0.29112499999999997</v>
      </c>
      <c r="AN143" s="40">
        <f t="shared" si="109"/>
        <v>0.30245833333333327</v>
      </c>
      <c r="AO143" s="39">
        <f t="shared" si="102"/>
        <v>1.6216195916838757E-2</v>
      </c>
      <c r="AP143" s="37">
        <f t="shared" si="103"/>
        <v>2.1600000000000001E-2</v>
      </c>
      <c r="AQ143" s="40">
        <f t="shared" si="104"/>
        <v>2.2499999999999998E-3</v>
      </c>
      <c r="AR143" s="39">
        <f t="shared" si="110"/>
        <v>0.46145608492816237</v>
      </c>
      <c r="AS143" s="37">
        <f t="shared" si="111"/>
        <v>1.5413333333333334</v>
      </c>
      <c r="AT143" s="40">
        <f t="shared" si="112"/>
        <v>76.959330785324141</v>
      </c>
    </row>
    <row r="144" spans="17:46" x14ac:dyDescent="0.2">
      <c r="Q144">
        <v>137</v>
      </c>
      <c r="R144" s="39">
        <f t="shared" si="88"/>
        <v>170</v>
      </c>
      <c r="S144" s="37">
        <f t="shared" si="89"/>
        <v>9.1333333333333336E-3</v>
      </c>
      <c r="T144" s="37">
        <f t="shared" si="90"/>
        <v>5</v>
      </c>
      <c r="U144" s="40">
        <f t="shared" si="91"/>
        <v>0.47774358974358971</v>
      </c>
      <c r="V144" s="39">
        <f t="shared" si="92"/>
        <v>1</v>
      </c>
      <c r="W144" s="37">
        <f t="shared" si="93"/>
        <v>0.3472175110791505</v>
      </c>
      <c r="X144" s="40">
        <f t="shared" si="94"/>
        <v>2.1043485519948511E-3</v>
      </c>
      <c r="Y144" s="39">
        <f t="shared" si="95"/>
        <v>1.7360875553957527</v>
      </c>
      <c r="Z144" s="37">
        <f t="shared" ref="Z144:Z157" si="114">CHOOSE(V144,Y144,U144+(0.5*Y144))</f>
        <v>1.7360875553957527</v>
      </c>
      <c r="AA144" s="37">
        <f t="shared" ref="AA144:AA157" si="115">CHOOSE(V144,Z144*SQRT((W144+X144)/3),SQRT((U144^2)+((Y144^2)/12)))</f>
        <v>0.59241204267758107</v>
      </c>
      <c r="AB144" s="37">
        <v>0</v>
      </c>
      <c r="AC144" s="37">
        <f t="shared" si="96"/>
        <v>1.2283320990829846E-2</v>
      </c>
      <c r="AD144" s="40">
        <f t="shared" si="105"/>
        <v>1.2283320990829846E-2</v>
      </c>
      <c r="AE144" s="39">
        <f t="shared" si="113"/>
        <v>0.16588094016478799</v>
      </c>
      <c r="AF144" s="37">
        <f t="shared" si="106"/>
        <v>0.59062497362047484</v>
      </c>
      <c r="AG144" s="37">
        <f t="shared" si="97"/>
        <v>4.0814029557309832E-2</v>
      </c>
      <c r="AH144" s="37">
        <f t="shared" si="98"/>
        <v>6.6902842734197221E-2</v>
      </c>
      <c r="AI144" s="40">
        <f t="shared" si="107"/>
        <v>0.10771687229150706</v>
      </c>
      <c r="AJ144" s="39">
        <f t="shared" si="108"/>
        <v>1.0053390313017453E-3</v>
      </c>
      <c r="AK144" s="37">
        <f t="shared" si="99"/>
        <v>4.59800918358967E-2</v>
      </c>
      <c r="AL144" s="37">
        <f t="shared" si="100"/>
        <v>1.1416666666666667E-2</v>
      </c>
      <c r="AM144" s="37">
        <f t="shared" si="101"/>
        <v>0.29112499999999997</v>
      </c>
      <c r="AN144" s="40">
        <f t="shared" si="109"/>
        <v>0.30254166666666665</v>
      </c>
      <c r="AO144" s="39">
        <f t="shared" si="102"/>
        <v>1.6395379394816771E-2</v>
      </c>
      <c r="AP144" s="37">
        <f t="shared" si="103"/>
        <v>2.1600000000000001E-2</v>
      </c>
      <c r="AQ144" s="40">
        <f t="shared" si="104"/>
        <v>2.2499999999999998E-3</v>
      </c>
      <c r="AR144" s="39">
        <f t="shared" si="110"/>
        <v>0.46278723934382032</v>
      </c>
      <c r="AS144" s="37">
        <f t="shared" si="111"/>
        <v>1.5526666666666666</v>
      </c>
      <c r="AT144" s="40">
        <f t="shared" si="112"/>
        <v>77.03806383446944</v>
      </c>
    </row>
    <row r="145" spans="17:46" x14ac:dyDescent="0.2">
      <c r="Q145">
        <v>138</v>
      </c>
      <c r="R145" s="39">
        <f t="shared" si="88"/>
        <v>170</v>
      </c>
      <c r="S145" s="37">
        <f t="shared" si="89"/>
        <v>9.1999999999999998E-3</v>
      </c>
      <c r="T145" s="37">
        <f t="shared" si="90"/>
        <v>5</v>
      </c>
      <c r="U145" s="40">
        <f t="shared" si="91"/>
        <v>0.48123076923076924</v>
      </c>
      <c r="V145" s="39">
        <f t="shared" si="92"/>
        <v>1</v>
      </c>
      <c r="W145" s="37">
        <f t="shared" si="93"/>
        <v>0.34848242423399206</v>
      </c>
      <c r="X145" s="40">
        <f t="shared" si="94"/>
        <v>2.1120146923272248E-3</v>
      </c>
      <c r="Y145" s="39">
        <f t="shared" si="95"/>
        <v>1.7424121211699606</v>
      </c>
      <c r="Z145" s="37">
        <f t="shared" si="114"/>
        <v>1.7424121211699606</v>
      </c>
      <c r="AA145" s="37">
        <f t="shared" si="115"/>
        <v>0.59565222419918429</v>
      </c>
      <c r="AB145" s="37">
        <v>0</v>
      </c>
      <c r="AC145" s="37">
        <f t="shared" si="96"/>
        <v>1.2418055026770236E-2</v>
      </c>
      <c r="AD145" s="40">
        <f t="shared" si="105"/>
        <v>1.2418055026770236E-2</v>
      </c>
      <c r="AE145" s="39">
        <f t="shared" si="113"/>
        <v>0.16770046507752726</v>
      </c>
      <c r="AF145" s="37">
        <f t="shared" si="106"/>
        <v>0.59385538081657563</v>
      </c>
      <c r="AG145" s="37">
        <f t="shared" si="97"/>
        <v>4.1261712959001613E-2</v>
      </c>
      <c r="AH145" s="37">
        <f t="shared" si="98"/>
        <v>6.7391184651965086E-2</v>
      </c>
      <c r="AI145" s="40">
        <f t="shared" si="107"/>
        <v>0.10865289761096669</v>
      </c>
      <c r="AJ145" s="39">
        <f t="shared" si="108"/>
        <v>1.0163664550153168E-3</v>
      </c>
      <c r="AK145" s="37">
        <f t="shared" si="99"/>
        <v>4.6231578695034331E-2</v>
      </c>
      <c r="AL145" s="37">
        <f t="shared" si="100"/>
        <v>1.15E-2</v>
      </c>
      <c r="AM145" s="37">
        <f t="shared" si="101"/>
        <v>0.29112499999999997</v>
      </c>
      <c r="AN145" s="40">
        <f t="shared" si="109"/>
        <v>0.30262499999999998</v>
      </c>
      <c r="AO145" s="39">
        <f t="shared" si="102"/>
        <v>1.6575218026265603E-2</v>
      </c>
      <c r="AP145" s="37">
        <f t="shared" si="103"/>
        <v>2.1600000000000001E-2</v>
      </c>
      <c r="AQ145" s="40">
        <f t="shared" si="104"/>
        <v>2.2499999999999998E-3</v>
      </c>
      <c r="AR145" s="39">
        <f t="shared" si="110"/>
        <v>0.46412117066400249</v>
      </c>
      <c r="AS145" s="37">
        <f t="shared" si="111"/>
        <v>1.5640000000000001</v>
      </c>
      <c r="AT145" s="40">
        <f t="shared" si="112"/>
        <v>77.115708007128077</v>
      </c>
    </row>
    <row r="146" spans="17:46" x14ac:dyDescent="0.2">
      <c r="Q146">
        <v>139</v>
      </c>
      <c r="R146" s="39">
        <f t="shared" si="88"/>
        <v>170</v>
      </c>
      <c r="S146" s="37">
        <f t="shared" si="89"/>
        <v>9.2666666666666678E-3</v>
      </c>
      <c r="T146" s="37">
        <f t="shared" si="90"/>
        <v>5</v>
      </c>
      <c r="U146" s="40">
        <f t="shared" si="91"/>
        <v>0.48471794871794877</v>
      </c>
      <c r="V146" s="39">
        <f t="shared" si="92"/>
        <v>1</v>
      </c>
      <c r="W146" s="37">
        <f t="shared" si="93"/>
        <v>0.34974276261275228</v>
      </c>
      <c r="X146" s="40">
        <f t="shared" si="94"/>
        <v>2.1196531067439531E-3</v>
      </c>
      <c r="Y146" s="39">
        <f t="shared" si="95"/>
        <v>1.7487138130637616</v>
      </c>
      <c r="Z146" s="37">
        <f t="shared" si="114"/>
        <v>1.7487138130637616</v>
      </c>
      <c r="AA146" s="37">
        <f t="shared" si="115"/>
        <v>0.59888654108276074</v>
      </c>
      <c r="AB146" s="37">
        <v>0</v>
      </c>
      <c r="AC146" s="37">
        <f t="shared" si="96"/>
        <v>1.2553278118152565E-2</v>
      </c>
      <c r="AD146" s="40">
        <f t="shared" si="105"/>
        <v>1.2553278118152565E-2</v>
      </c>
      <c r="AE146" s="39">
        <f t="shared" si="113"/>
        <v>0.16952659447260179</v>
      </c>
      <c r="AF146" s="37">
        <f t="shared" si="106"/>
        <v>0.59707994106590589</v>
      </c>
      <c r="AG146" s="37">
        <f t="shared" si="97"/>
        <v>4.1711021354722079E-2</v>
      </c>
      <c r="AH146" s="37">
        <f t="shared" si="98"/>
        <v>6.7879526569732951E-2</v>
      </c>
      <c r="AI146" s="40">
        <f t="shared" si="107"/>
        <v>0.10959054792445502</v>
      </c>
      <c r="AJ146" s="39">
        <f t="shared" si="108"/>
        <v>1.0274339058945563E-3</v>
      </c>
      <c r="AK146" s="37">
        <f t="shared" si="99"/>
        <v>4.6482610369983204E-2</v>
      </c>
      <c r="AL146" s="37">
        <f t="shared" si="100"/>
        <v>1.1583333333333334E-2</v>
      </c>
      <c r="AM146" s="37">
        <f t="shared" si="101"/>
        <v>0.29112499999999997</v>
      </c>
      <c r="AN146" s="40">
        <f t="shared" si="109"/>
        <v>0.3027083333333333</v>
      </c>
      <c r="AO146" s="39">
        <f t="shared" si="102"/>
        <v>1.6755709433093485E-2</v>
      </c>
      <c r="AP146" s="37">
        <f t="shared" si="103"/>
        <v>2.1600000000000001E-2</v>
      </c>
      <c r="AQ146" s="40">
        <f t="shared" si="104"/>
        <v>2.2499999999999998E-3</v>
      </c>
      <c r="AR146" s="39">
        <f t="shared" si="110"/>
        <v>0.46545786880903434</v>
      </c>
      <c r="AS146" s="37">
        <f t="shared" si="111"/>
        <v>1.5753333333333335</v>
      </c>
      <c r="AT146" s="40">
        <f t="shared" si="112"/>
        <v>77.192283643696172</v>
      </c>
    </row>
    <row r="147" spans="17:46" x14ac:dyDescent="0.2">
      <c r="Q147">
        <v>140</v>
      </c>
      <c r="R147" s="39">
        <f t="shared" si="88"/>
        <v>170</v>
      </c>
      <c r="S147" s="37">
        <f t="shared" si="89"/>
        <v>9.3333333333333341E-3</v>
      </c>
      <c r="T147" s="37">
        <f t="shared" si="90"/>
        <v>5</v>
      </c>
      <c r="U147" s="40">
        <f t="shared" si="91"/>
        <v>0.48820512820512829</v>
      </c>
      <c r="V147" s="39">
        <f t="shared" si="92"/>
        <v>1</v>
      </c>
      <c r="W147" s="37">
        <f t="shared" si="93"/>
        <v>0.35099857549568486</v>
      </c>
      <c r="X147" s="40">
        <f t="shared" si="94"/>
        <v>2.1272640939132411E-3</v>
      </c>
      <c r="Y147" s="39">
        <f t="shared" si="95"/>
        <v>1.7549928774784245</v>
      </c>
      <c r="Z147" s="37">
        <f t="shared" si="114"/>
        <v>1.7549928774784245</v>
      </c>
      <c r="AA147" s="37">
        <f t="shared" si="115"/>
        <v>0.60211504602137356</v>
      </c>
      <c r="AB147" s="37">
        <v>0</v>
      </c>
      <c r="AC147" s="37">
        <f t="shared" si="96"/>
        <v>1.2688988502586228E-2</v>
      </c>
      <c r="AD147" s="40">
        <f t="shared" si="105"/>
        <v>1.2688988502586228E-2</v>
      </c>
      <c r="AE147" s="39">
        <f t="shared" si="113"/>
        <v>0.17135930454968823</v>
      </c>
      <c r="AF147" s="37">
        <f t="shared" si="106"/>
        <v>0.60029870690257459</v>
      </c>
      <c r="AG147" s="37">
        <f t="shared" si="97"/>
        <v>4.2161948888541675E-2</v>
      </c>
      <c r="AH147" s="37">
        <f t="shared" si="98"/>
        <v>6.8367868487500816E-2</v>
      </c>
      <c r="AI147" s="40">
        <f t="shared" si="107"/>
        <v>0.11052981737604249</v>
      </c>
      <c r="AJ147" s="39">
        <f t="shared" si="108"/>
        <v>1.03854123969508E-3</v>
      </c>
      <c r="AK147" s="37">
        <f t="shared" si="99"/>
        <v>4.6733190950518179E-2</v>
      </c>
      <c r="AL147" s="37">
        <f t="shared" si="100"/>
        <v>1.1666666666666667E-2</v>
      </c>
      <c r="AM147" s="37">
        <f t="shared" si="101"/>
        <v>0.29112499999999997</v>
      </c>
      <c r="AN147" s="40">
        <f t="shared" si="109"/>
        <v>0.30279166666666663</v>
      </c>
      <c r="AO147" s="39">
        <f t="shared" si="102"/>
        <v>1.693685126291845E-2</v>
      </c>
      <c r="AP147" s="37">
        <f t="shared" si="103"/>
        <v>2.1600000000000001E-2</v>
      </c>
      <c r="AQ147" s="40">
        <f t="shared" si="104"/>
        <v>2.2499999999999998E-3</v>
      </c>
      <c r="AR147" s="39">
        <f t="shared" si="110"/>
        <v>0.46679732380821376</v>
      </c>
      <c r="AS147" s="37">
        <f t="shared" si="111"/>
        <v>1.5866666666666669</v>
      </c>
      <c r="AT147" s="40">
        <f t="shared" si="112"/>
        <v>77.26781058866959</v>
      </c>
    </row>
    <row r="148" spans="17:46" x14ac:dyDescent="0.2">
      <c r="Q148">
        <v>141</v>
      </c>
      <c r="R148" s="39">
        <f t="shared" si="88"/>
        <v>170</v>
      </c>
      <c r="S148" s="37">
        <f t="shared" si="89"/>
        <v>9.4000000000000004E-3</v>
      </c>
      <c r="T148" s="37">
        <f t="shared" si="90"/>
        <v>5</v>
      </c>
      <c r="U148" s="40">
        <f t="shared" si="91"/>
        <v>0.49169230769230771</v>
      </c>
      <c r="V148" s="39">
        <f t="shared" si="92"/>
        <v>1</v>
      </c>
      <c r="W148" s="37">
        <f t="shared" si="93"/>
        <v>0.35224991128458782</v>
      </c>
      <c r="X148" s="40">
        <f t="shared" si="94"/>
        <v>2.1348479471793198E-3</v>
      </c>
      <c r="Y148" s="39">
        <f t="shared" si="95"/>
        <v>1.7612495564229393</v>
      </c>
      <c r="Z148" s="37">
        <f t="shared" si="114"/>
        <v>1.7612495564229393</v>
      </c>
      <c r="AA148" s="37">
        <f t="shared" si="115"/>
        <v>0.60533779086196771</v>
      </c>
      <c r="AB148" s="37">
        <v>0</v>
      </c>
      <c r="AC148" s="37">
        <f t="shared" si="96"/>
        <v>1.2825184436597659E-2</v>
      </c>
      <c r="AD148" s="40">
        <f t="shared" si="105"/>
        <v>1.2825184436597659E-2</v>
      </c>
      <c r="AE148" s="39">
        <f t="shared" si="113"/>
        <v>0.17319857176392964</v>
      </c>
      <c r="AF148" s="37">
        <f t="shared" si="106"/>
        <v>0.60351173001712555</v>
      </c>
      <c r="AG148" s="37">
        <f t="shared" si="97"/>
        <v>4.2614489767386875E-2</v>
      </c>
      <c r="AH148" s="37">
        <f t="shared" si="98"/>
        <v>6.8856210405268667E-2</v>
      </c>
      <c r="AI148" s="40">
        <f t="shared" si="107"/>
        <v>0.11147070017265553</v>
      </c>
      <c r="AJ148" s="39">
        <f t="shared" si="108"/>
        <v>1.0496883137207857E-3</v>
      </c>
      <c r="AK148" s="37">
        <f t="shared" si="99"/>
        <v>4.6983324460742631E-2</v>
      </c>
      <c r="AL148" s="37">
        <f t="shared" si="100"/>
        <v>1.175E-2</v>
      </c>
      <c r="AM148" s="37">
        <f t="shared" si="101"/>
        <v>0.29112499999999997</v>
      </c>
      <c r="AN148" s="40">
        <f t="shared" si="109"/>
        <v>0.30287499999999995</v>
      </c>
      <c r="AO148" s="39">
        <f t="shared" si="102"/>
        <v>1.71186411886084E-2</v>
      </c>
      <c r="AP148" s="37">
        <f t="shared" si="103"/>
        <v>2.1600000000000001E-2</v>
      </c>
      <c r="AQ148" s="40">
        <f t="shared" si="104"/>
        <v>2.2499999999999998E-3</v>
      </c>
      <c r="AR148" s="39">
        <f t="shared" si="110"/>
        <v>0.4681395257978615</v>
      </c>
      <c r="AS148" s="37">
        <f t="shared" si="111"/>
        <v>1.5980000000000001</v>
      </c>
      <c r="AT148" s="40">
        <f t="shared" si="112"/>
        <v>77.342308205585269</v>
      </c>
    </row>
    <row r="149" spans="17:46" x14ac:dyDescent="0.2">
      <c r="Q149">
        <v>142</v>
      </c>
      <c r="R149" s="39">
        <f t="shared" si="88"/>
        <v>170</v>
      </c>
      <c r="S149" s="37">
        <f t="shared" si="89"/>
        <v>9.4666666666666666E-3</v>
      </c>
      <c r="T149" s="37">
        <f t="shared" si="90"/>
        <v>5</v>
      </c>
      <c r="U149" s="40">
        <f t="shared" si="91"/>
        <v>0.49517948717948718</v>
      </c>
      <c r="V149" s="39">
        <f t="shared" si="92"/>
        <v>1</v>
      </c>
      <c r="W149" s="37">
        <f t="shared" si="93"/>
        <v>0.35349681752457118</v>
      </c>
      <c r="X149" s="40">
        <f t="shared" si="94"/>
        <v>2.1424049546943705E-3</v>
      </c>
      <c r="Y149" s="39">
        <f t="shared" si="95"/>
        <v>1.7674840876228561</v>
      </c>
      <c r="Z149" s="37">
        <f t="shared" si="114"/>
        <v>1.7674840876228561</v>
      </c>
      <c r="AA149" s="37">
        <f t="shared" si="115"/>
        <v>0.60855482662485594</v>
      </c>
      <c r="AB149" s="37">
        <v>0</v>
      </c>
      <c r="AC149" s="37">
        <f t="shared" si="96"/>
        <v>1.2961864195294296E-2</v>
      </c>
      <c r="AD149" s="40">
        <f t="shared" si="105"/>
        <v>1.2961864195294296E-2</v>
      </c>
      <c r="AE149" s="39">
        <f t="shared" si="113"/>
        <v>0.17504437282139793</v>
      </c>
      <c r="AF149" s="37">
        <f t="shared" si="106"/>
        <v>0.60671906127596387</v>
      </c>
      <c r="AG149" s="37">
        <f t="shared" si="97"/>
        <v>4.3068638259923658E-2</v>
      </c>
      <c r="AH149" s="37">
        <f t="shared" si="98"/>
        <v>6.9344552323036532E-2</v>
      </c>
      <c r="AI149" s="40">
        <f t="shared" si="107"/>
        <v>0.11241319058296019</v>
      </c>
      <c r="AJ149" s="39">
        <f t="shared" si="108"/>
        <v>1.0608749867963509E-3</v>
      </c>
      <c r="AK149" s="37">
        <f t="shared" si="99"/>
        <v>4.7233014860600823E-2</v>
      </c>
      <c r="AL149" s="37">
        <f t="shared" si="100"/>
        <v>1.1833333333333333E-2</v>
      </c>
      <c r="AM149" s="37">
        <f t="shared" si="101"/>
        <v>0.29112499999999997</v>
      </c>
      <c r="AN149" s="40">
        <f t="shared" si="109"/>
        <v>0.30295833333333327</v>
      </c>
      <c r="AO149" s="39">
        <f t="shared" si="102"/>
        <v>1.7301076907832579E-2</v>
      </c>
      <c r="AP149" s="37">
        <f t="shared" si="103"/>
        <v>2.1600000000000001E-2</v>
      </c>
      <c r="AQ149" s="40">
        <f t="shared" si="104"/>
        <v>2.2499999999999998E-3</v>
      </c>
      <c r="AR149" s="39">
        <f t="shared" si="110"/>
        <v>0.46948446501942026</v>
      </c>
      <c r="AS149" s="37">
        <f t="shared" si="111"/>
        <v>1.6093333333333333</v>
      </c>
      <c r="AT149" s="40">
        <f t="shared" si="112"/>
        <v>77.415795391426897</v>
      </c>
    </row>
    <row r="150" spans="17:46" x14ac:dyDescent="0.2">
      <c r="Q150">
        <v>143</v>
      </c>
      <c r="R150" s="39">
        <f t="shared" si="88"/>
        <v>170</v>
      </c>
      <c r="S150" s="37">
        <f t="shared" si="89"/>
        <v>9.5333333333333346E-3</v>
      </c>
      <c r="T150" s="37">
        <f t="shared" si="90"/>
        <v>5</v>
      </c>
      <c r="U150" s="40">
        <f t="shared" si="91"/>
        <v>0.49866666666666676</v>
      </c>
      <c r="V150" s="39">
        <f t="shared" si="92"/>
        <v>1</v>
      </c>
      <c r="W150" s="37">
        <f t="shared" si="93"/>
        <v>0.3547393409251362</v>
      </c>
      <c r="X150" s="40">
        <f t="shared" si="94"/>
        <v>2.1499353995462801E-3</v>
      </c>
      <c r="Y150" s="39">
        <f t="shared" si="95"/>
        <v>1.7736967046256813</v>
      </c>
      <c r="Z150" s="37">
        <f t="shared" si="114"/>
        <v>1.7736967046256813</v>
      </c>
      <c r="AA150" s="37">
        <f t="shared" si="115"/>
        <v>0.61176620352262334</v>
      </c>
      <c r="AB150" s="37">
        <v>0</v>
      </c>
      <c r="AC150" s="37">
        <f t="shared" si="96"/>
        <v>1.3099026072036935E-2</v>
      </c>
      <c r="AD150" s="40">
        <f t="shared" si="105"/>
        <v>1.3099026072036935E-2</v>
      </c>
      <c r="AE150" s="39">
        <f t="shared" si="113"/>
        <v>0.17689668467466796</v>
      </c>
      <c r="AF150" s="37">
        <f t="shared" si="106"/>
        <v>0.60992075074020313</v>
      </c>
      <c r="AG150" s="37">
        <f t="shared" si="97"/>
        <v>4.3524388695468687E-2</v>
      </c>
      <c r="AH150" s="37">
        <f t="shared" si="98"/>
        <v>6.9832894240804411E-2</v>
      </c>
      <c r="AI150" s="40">
        <f t="shared" si="107"/>
        <v>0.11335728293627309</v>
      </c>
      <c r="AJ150" s="39">
        <f t="shared" si="108"/>
        <v>1.0721011192404118E-3</v>
      </c>
      <c r="AK150" s="37">
        <f t="shared" si="99"/>
        <v>4.7482266047345158E-2</v>
      </c>
      <c r="AL150" s="37">
        <f t="shared" si="100"/>
        <v>1.1916666666666669E-2</v>
      </c>
      <c r="AM150" s="37">
        <f t="shared" si="101"/>
        <v>0.29112499999999997</v>
      </c>
      <c r="AN150" s="40">
        <f t="shared" si="109"/>
        <v>0.30304166666666665</v>
      </c>
      <c r="AO150" s="39">
        <f t="shared" si="102"/>
        <v>1.7484156142624174E-2</v>
      </c>
      <c r="AP150" s="37">
        <f t="shared" si="103"/>
        <v>2.1600000000000001E-2</v>
      </c>
      <c r="AQ150" s="40">
        <f t="shared" si="104"/>
        <v>2.2499999999999998E-3</v>
      </c>
      <c r="AR150" s="39">
        <f t="shared" si="110"/>
        <v>0.47083213181760081</v>
      </c>
      <c r="AS150" s="37">
        <f t="shared" si="111"/>
        <v>1.6206666666666669</v>
      </c>
      <c r="AT150" s="40">
        <f t="shared" si="112"/>
        <v>77.488290590517281</v>
      </c>
    </row>
    <row r="151" spans="17:46" x14ac:dyDescent="0.2">
      <c r="Q151">
        <v>144</v>
      </c>
      <c r="R151" s="39">
        <f t="shared" si="88"/>
        <v>170</v>
      </c>
      <c r="S151" s="37">
        <f t="shared" si="89"/>
        <v>9.6000000000000009E-3</v>
      </c>
      <c r="T151" s="37">
        <f t="shared" si="90"/>
        <v>5</v>
      </c>
      <c r="U151" s="40">
        <f t="shared" si="91"/>
        <v>0.50215384615384617</v>
      </c>
      <c r="V151" s="39">
        <f t="shared" si="92"/>
        <v>1</v>
      </c>
      <c r="W151" s="37">
        <f t="shared" si="93"/>
        <v>0.3559775273805918</v>
      </c>
      <c r="X151" s="40">
        <f t="shared" si="94"/>
        <v>2.1574395598823745E-3</v>
      </c>
      <c r="Y151" s="39">
        <f t="shared" si="95"/>
        <v>1.7798876369029593</v>
      </c>
      <c r="Z151" s="37">
        <f t="shared" si="114"/>
        <v>1.7798876369029593</v>
      </c>
      <c r="AA151" s="37">
        <f t="shared" si="115"/>
        <v>0.61497197097846723</v>
      </c>
      <c r="AB151" s="37">
        <v>0</v>
      </c>
      <c r="AC151" s="37">
        <f t="shared" si="96"/>
        <v>1.3236668378119928E-2</v>
      </c>
      <c r="AD151" s="40">
        <f t="shared" si="105"/>
        <v>1.3236668378119928E-2</v>
      </c>
      <c r="AE151" s="39">
        <f t="shared" si="113"/>
        <v>0.17875548451850026</v>
      </c>
      <c r="AF151" s="37">
        <f t="shared" si="106"/>
        <v>0.61311684768395081</v>
      </c>
      <c r="AG151" s="37">
        <f t="shared" si="97"/>
        <v>4.3981735462926878E-2</v>
      </c>
      <c r="AH151" s="37">
        <f t="shared" si="98"/>
        <v>7.0321236158572276E-2</v>
      </c>
      <c r="AI151" s="40">
        <f t="shared" si="107"/>
        <v>0.11430297162149916</v>
      </c>
      <c r="AJ151" s="39">
        <f t="shared" si="108"/>
        <v>1.0833665728393956E-3</v>
      </c>
      <c r="AK151" s="37">
        <f t="shared" si="99"/>
        <v>4.7731081856959706E-2</v>
      </c>
      <c r="AL151" s="37">
        <f t="shared" si="100"/>
        <v>1.2E-2</v>
      </c>
      <c r="AM151" s="37">
        <f t="shared" si="101"/>
        <v>0.29112499999999997</v>
      </c>
      <c r="AN151" s="40">
        <f t="shared" si="109"/>
        <v>0.30312499999999998</v>
      </c>
      <c r="AO151" s="39">
        <f t="shared" si="102"/>
        <v>1.7667876638953531E-2</v>
      </c>
      <c r="AP151" s="37">
        <f t="shared" si="103"/>
        <v>2.1600000000000001E-2</v>
      </c>
      <c r="AQ151" s="40">
        <f t="shared" si="104"/>
        <v>2.2499999999999998E-3</v>
      </c>
      <c r="AR151" s="39">
        <f t="shared" si="110"/>
        <v>0.47218251663857258</v>
      </c>
      <c r="AS151" s="37">
        <f t="shared" si="111"/>
        <v>1.6320000000000001</v>
      </c>
      <c r="AT151" s="40">
        <f t="shared" si="112"/>
        <v>77.559811807918493</v>
      </c>
    </row>
    <row r="152" spans="17:46" x14ac:dyDescent="0.2">
      <c r="Q152">
        <v>145</v>
      </c>
      <c r="R152" s="39">
        <f t="shared" si="88"/>
        <v>170</v>
      </c>
      <c r="S152" s="37">
        <f t="shared" si="89"/>
        <v>9.6666666666666672E-3</v>
      </c>
      <c r="T152" s="37">
        <f t="shared" si="90"/>
        <v>5</v>
      </c>
      <c r="U152" s="40">
        <f t="shared" si="91"/>
        <v>0.50564102564102564</v>
      </c>
      <c r="V152" s="39">
        <f t="shared" si="92"/>
        <v>1</v>
      </c>
      <c r="W152" s="37">
        <f t="shared" si="93"/>
        <v>0.35721142198983502</v>
      </c>
      <c r="X152" s="40">
        <f t="shared" si="94"/>
        <v>2.1649177090293033E-3</v>
      </c>
      <c r="Y152" s="39">
        <f t="shared" si="95"/>
        <v>1.7860571099491753</v>
      </c>
      <c r="Z152" s="37">
        <f t="shared" si="114"/>
        <v>1.7860571099491753</v>
      </c>
      <c r="AA152" s="37">
        <f t="shared" si="115"/>
        <v>0.61817217764400068</v>
      </c>
      <c r="AB152" s="37">
        <v>0</v>
      </c>
      <c r="AC152" s="37">
        <f t="shared" si="96"/>
        <v>1.3374789442459407E-2</v>
      </c>
      <c r="AD152" s="40">
        <f t="shared" si="105"/>
        <v>1.3374789442459407E-2</v>
      </c>
      <c r="AE152" s="39">
        <f t="shared" si="113"/>
        <v>0.18062074978562939</v>
      </c>
      <c r="AF152" s="37">
        <f t="shared" si="106"/>
        <v>0.61630740061205769</v>
      </c>
      <c r="AG152" s="37">
        <f t="shared" si="97"/>
        <v>4.4440673009755391E-2</v>
      </c>
      <c r="AH152" s="37">
        <f t="shared" si="98"/>
        <v>7.0809578076340127E-2</v>
      </c>
      <c r="AI152" s="40">
        <f t="shared" si="107"/>
        <v>0.11525025108609552</v>
      </c>
      <c r="AJ152" s="39">
        <f t="shared" si="108"/>
        <v>1.0946712108219965E-3</v>
      </c>
      <c r="AK152" s="37">
        <f t="shared" si="99"/>
        <v>4.7979466065541966E-2</v>
      </c>
      <c r="AL152" s="37">
        <f t="shared" si="100"/>
        <v>1.2083333333333335E-2</v>
      </c>
      <c r="AM152" s="37">
        <f t="shared" si="101"/>
        <v>0.29112499999999997</v>
      </c>
      <c r="AN152" s="40">
        <f t="shared" si="109"/>
        <v>0.3032083333333333</v>
      </c>
      <c r="AO152" s="39">
        <f t="shared" si="102"/>
        <v>1.7852236166311992E-2</v>
      </c>
      <c r="AP152" s="37">
        <f t="shared" si="103"/>
        <v>2.1600000000000001E-2</v>
      </c>
      <c r="AQ152" s="40">
        <f t="shared" si="104"/>
        <v>2.2499999999999998E-3</v>
      </c>
      <c r="AR152" s="39">
        <f t="shared" si="110"/>
        <v>0.47353561002820016</v>
      </c>
      <c r="AS152" s="37">
        <f t="shared" si="111"/>
        <v>1.6433333333333333</v>
      </c>
      <c r="AT152" s="40">
        <f t="shared" si="112"/>
        <v>77.630376622360103</v>
      </c>
    </row>
    <row r="153" spans="17:46" x14ac:dyDescent="0.2">
      <c r="Q153">
        <v>146</v>
      </c>
      <c r="R153" s="39">
        <f t="shared" si="88"/>
        <v>170</v>
      </c>
      <c r="S153" s="37">
        <f t="shared" si="89"/>
        <v>9.7333333333333334E-3</v>
      </c>
      <c r="T153" s="37">
        <f t="shared" si="90"/>
        <v>5</v>
      </c>
      <c r="U153" s="40">
        <f t="shared" si="91"/>
        <v>0.50912820512820511</v>
      </c>
      <c r="V153" s="39">
        <f t="shared" si="92"/>
        <v>1</v>
      </c>
      <c r="W153" s="37">
        <f t="shared" si="93"/>
        <v>0.35844106907551765</v>
      </c>
      <c r="X153" s="40">
        <f t="shared" si="94"/>
        <v>2.1723701156091974E-3</v>
      </c>
      <c r="Y153" s="39">
        <f t="shared" si="95"/>
        <v>1.7922053453775886</v>
      </c>
      <c r="Z153" s="37">
        <f t="shared" si="114"/>
        <v>1.7922053453775886</v>
      </c>
      <c r="AA153" s="37">
        <f t="shared" si="115"/>
        <v>0.62136687141653013</v>
      </c>
      <c r="AB153" s="37">
        <v>0</v>
      </c>
      <c r="AC153" s="37">
        <f t="shared" si="96"/>
        <v>1.3513387611288835E-2</v>
      </c>
      <c r="AD153" s="40">
        <f t="shared" si="105"/>
        <v>1.3513387611288835E-2</v>
      </c>
      <c r="AE153" s="39">
        <f t="shared" si="113"/>
        <v>0.18249245814265327</v>
      </c>
      <c r="AF153" s="37">
        <f t="shared" si="106"/>
        <v>0.61949245727734337</v>
      </c>
      <c r="AG153" s="37">
        <f t="shared" si="97"/>
        <v>4.4901195840951973E-2</v>
      </c>
      <c r="AH153" s="37">
        <f t="shared" si="98"/>
        <v>7.1297919994107978E-2</v>
      </c>
      <c r="AI153" s="40">
        <f t="shared" si="107"/>
        <v>0.11619911583505996</v>
      </c>
      <c r="AJ153" s="39">
        <f t="shared" si="108"/>
        <v>1.106014897834262E-3</v>
      </c>
      <c r="AK153" s="37">
        <f t="shared" si="99"/>
        <v>4.8227422390643912E-2</v>
      </c>
      <c r="AL153" s="37">
        <f t="shared" si="100"/>
        <v>1.2166666666666666E-2</v>
      </c>
      <c r="AM153" s="37">
        <f t="shared" si="101"/>
        <v>0.29112499999999997</v>
      </c>
      <c r="AN153" s="40">
        <f t="shared" si="109"/>
        <v>0.30329166666666663</v>
      </c>
      <c r="AO153" s="39">
        <f t="shared" si="102"/>
        <v>1.803723251730549E-2</v>
      </c>
      <c r="AP153" s="37">
        <f t="shared" si="103"/>
        <v>2.1600000000000001E-2</v>
      </c>
      <c r="AQ153" s="40">
        <f t="shared" si="104"/>
        <v>2.2499999999999998E-3</v>
      </c>
      <c r="AR153" s="39">
        <f t="shared" si="110"/>
        <v>0.47489140263032087</v>
      </c>
      <c r="AS153" s="37">
        <f t="shared" si="111"/>
        <v>1.6546666666666667</v>
      </c>
      <c r="AT153" s="40">
        <f t="shared" si="112"/>
        <v>77.700002198714742</v>
      </c>
    </row>
    <row r="154" spans="17:46" x14ac:dyDescent="0.2">
      <c r="Q154">
        <v>147</v>
      </c>
      <c r="R154" s="39">
        <f t="shared" si="88"/>
        <v>170</v>
      </c>
      <c r="S154" s="37">
        <f t="shared" si="89"/>
        <v>9.7999999999999997E-3</v>
      </c>
      <c r="T154" s="37">
        <f t="shared" si="90"/>
        <v>5</v>
      </c>
      <c r="U154" s="40">
        <f t="shared" si="91"/>
        <v>0.51261538461538458</v>
      </c>
      <c r="V154" s="39">
        <f t="shared" si="92"/>
        <v>1</v>
      </c>
      <c r="W154" s="37">
        <f t="shared" si="93"/>
        <v>0.35966651220262363</v>
      </c>
      <c r="X154" s="40">
        <f t="shared" si="94"/>
        <v>2.1797970436522643E-3</v>
      </c>
      <c r="Y154" s="39">
        <f t="shared" si="95"/>
        <v>1.7983325610131184</v>
      </c>
      <c r="Z154" s="37">
        <f t="shared" si="114"/>
        <v>1.7983325610131184</v>
      </c>
      <c r="AA154" s="37">
        <f t="shared" si="115"/>
        <v>0.62455609945583401</v>
      </c>
      <c r="AB154" s="37">
        <v>0</v>
      </c>
      <c r="AC154" s="37">
        <f t="shared" si="96"/>
        <v>1.3652461247861999E-2</v>
      </c>
      <c r="AD154" s="40">
        <f t="shared" si="105"/>
        <v>1.3652461247861999E-2</v>
      </c>
      <c r="AE154" s="39">
        <f t="shared" si="113"/>
        <v>0.18437058748602184</v>
      </c>
      <c r="AF154" s="37">
        <f t="shared" si="106"/>
        <v>0.62267206469732406</v>
      </c>
      <c r="AG154" s="37">
        <f t="shared" si="97"/>
        <v>4.5363298518068133E-2</v>
      </c>
      <c r="AH154" s="37">
        <f t="shared" si="98"/>
        <v>7.1786261911875843E-2</v>
      </c>
      <c r="AI154" s="40">
        <f t="shared" si="107"/>
        <v>0.11714956042994398</v>
      </c>
      <c r="AJ154" s="39">
        <f t="shared" si="108"/>
        <v>1.1173974999152837E-3</v>
      </c>
      <c r="AK154" s="37">
        <f t="shared" si="99"/>
        <v>4.8474954492574225E-2</v>
      </c>
      <c r="AL154" s="37">
        <f t="shared" si="100"/>
        <v>1.225E-2</v>
      </c>
      <c r="AM154" s="37">
        <f t="shared" si="101"/>
        <v>0.29112499999999997</v>
      </c>
      <c r="AN154" s="40">
        <f t="shared" si="109"/>
        <v>0.30337499999999995</v>
      </c>
      <c r="AO154" s="39">
        <f t="shared" si="102"/>
        <v>1.8222863507258141E-2</v>
      </c>
      <c r="AP154" s="37">
        <f t="shared" si="103"/>
        <v>2.1600000000000001E-2</v>
      </c>
      <c r="AQ154" s="40">
        <f t="shared" si="104"/>
        <v>2.2499999999999998E-3</v>
      </c>
      <c r="AR154" s="39">
        <f t="shared" si="110"/>
        <v>0.47624988518506411</v>
      </c>
      <c r="AS154" s="37">
        <f t="shared" si="111"/>
        <v>1.6659999999999999</v>
      </c>
      <c r="AT154" s="40">
        <f t="shared" si="112"/>
        <v>77.768705300039173</v>
      </c>
    </row>
    <row r="155" spans="17:46" x14ac:dyDescent="0.2">
      <c r="Q155">
        <v>148</v>
      </c>
      <c r="R155" s="39">
        <f t="shared" si="88"/>
        <v>170</v>
      </c>
      <c r="S155" s="37">
        <f t="shared" si="89"/>
        <v>9.8666666666666677E-3</v>
      </c>
      <c r="T155" s="37">
        <f t="shared" si="90"/>
        <v>5</v>
      </c>
      <c r="U155" s="40">
        <f t="shared" si="91"/>
        <v>0.51610256410256417</v>
      </c>
      <c r="V155" s="39">
        <f t="shared" si="92"/>
        <v>1</v>
      </c>
      <c r="W155" s="37">
        <f t="shared" si="93"/>
        <v>0.36088779419647876</v>
      </c>
      <c r="X155" s="40">
        <f t="shared" si="94"/>
        <v>2.1871987527059314E-3</v>
      </c>
      <c r="Y155" s="39">
        <f t="shared" si="95"/>
        <v>1.804438970982394</v>
      </c>
      <c r="Z155" s="37">
        <f t="shared" si="114"/>
        <v>1.804438970982394</v>
      </c>
      <c r="AA155" s="37">
        <f t="shared" si="115"/>
        <v>0.62773990820045467</v>
      </c>
      <c r="AB155" s="37">
        <v>0</v>
      </c>
      <c r="AC155" s="37">
        <f t="shared" si="96"/>
        <v>1.3792008732163035E-2</v>
      </c>
      <c r="AD155" s="40">
        <f t="shared" si="105"/>
        <v>1.3792008732163035E-2</v>
      </c>
      <c r="AE155" s="39">
        <f t="shared" si="113"/>
        <v>0.18625511593812116</v>
      </c>
      <c r="AF155" s="37">
        <f t="shared" si="106"/>
        <v>0.6258462691704556</v>
      </c>
      <c r="AG155" s="37">
        <f t="shared" si="97"/>
        <v>4.5826975658245672E-2</v>
      </c>
      <c r="AH155" s="37">
        <f t="shared" si="98"/>
        <v>7.2274603829643708E-2</v>
      </c>
      <c r="AI155" s="40">
        <f t="shared" si="107"/>
        <v>0.11810157948788938</v>
      </c>
      <c r="AJ155" s="39">
        <f t="shared" si="108"/>
        <v>1.1288188844734615E-3</v>
      </c>
      <c r="AK155" s="37">
        <f t="shared" si="99"/>
        <v>4.8722065975662796E-2</v>
      </c>
      <c r="AL155" s="37">
        <f t="shared" si="100"/>
        <v>1.2333333333333335E-2</v>
      </c>
      <c r="AM155" s="37">
        <f t="shared" si="101"/>
        <v>0.29112499999999997</v>
      </c>
      <c r="AN155" s="40">
        <f t="shared" si="109"/>
        <v>0.30345833333333327</v>
      </c>
      <c r="AO155" s="39">
        <f t="shared" si="102"/>
        <v>1.8409126973825185E-2</v>
      </c>
      <c r="AP155" s="37">
        <f t="shared" si="103"/>
        <v>2.1600000000000001E-2</v>
      </c>
      <c r="AQ155" s="40">
        <f t="shared" si="104"/>
        <v>2.2499999999999998E-3</v>
      </c>
      <c r="AR155" s="39">
        <f t="shared" si="110"/>
        <v>0.47761104852721087</v>
      </c>
      <c r="AS155" s="37">
        <f t="shared" si="111"/>
        <v>1.6773333333333336</v>
      </c>
      <c r="AT155" s="40">
        <f t="shared" si="112"/>
        <v>77.8365022991986</v>
      </c>
    </row>
    <row r="156" spans="17:46" x14ac:dyDescent="0.2">
      <c r="Q156">
        <v>149</v>
      </c>
      <c r="R156" s="39">
        <f t="shared" si="88"/>
        <v>170</v>
      </c>
      <c r="S156" s="37">
        <f t="shared" si="89"/>
        <v>9.9333333333333339E-3</v>
      </c>
      <c r="T156" s="37">
        <f t="shared" si="90"/>
        <v>5</v>
      </c>
      <c r="U156" s="40">
        <f t="shared" si="91"/>
        <v>0.51958974358974364</v>
      </c>
      <c r="V156" s="39">
        <f t="shared" si="92"/>
        <v>1</v>
      </c>
      <c r="W156" s="37">
        <f t="shared" si="93"/>
        <v>0.36210495716021346</v>
      </c>
      <c r="X156" s="40">
        <f t="shared" si="94"/>
        <v>2.1945754979406872E-3</v>
      </c>
      <c r="Y156" s="39">
        <f t="shared" si="95"/>
        <v>1.8105247858010676</v>
      </c>
      <c r="Z156" s="37">
        <f t="shared" si="114"/>
        <v>1.8105247858010676</v>
      </c>
      <c r="AA156" s="37">
        <f t="shared" si="115"/>
        <v>0.63091834338352371</v>
      </c>
      <c r="AB156" s="37">
        <v>0</v>
      </c>
      <c r="AC156" s="37">
        <f t="shared" si="96"/>
        <v>1.3932028460623348E-2</v>
      </c>
      <c r="AD156" s="40">
        <f t="shared" si="105"/>
        <v>1.3932028460623348E-2</v>
      </c>
      <c r="AE156" s="39">
        <f t="shared" si="113"/>
        <v>0.18814602184345042</v>
      </c>
      <c r="AF156" s="37">
        <f t="shared" si="106"/>
        <v>0.62901511629191131</v>
      </c>
      <c r="AG156" s="37">
        <f t="shared" si="97"/>
        <v>4.6292221933276027E-2</v>
      </c>
      <c r="AH156" s="37">
        <f t="shared" si="98"/>
        <v>7.2762945747411586E-2</v>
      </c>
      <c r="AI156" s="40">
        <f t="shared" si="107"/>
        <v>0.11905516768068761</v>
      </c>
      <c r="AJ156" s="39">
        <f t="shared" si="108"/>
        <v>1.1402789202633356E-3</v>
      </c>
      <c r="AK156" s="37">
        <f t="shared" si="99"/>
        <v>4.8968760389489052E-2</v>
      </c>
      <c r="AL156" s="37">
        <f t="shared" si="100"/>
        <v>1.2416666666666668E-2</v>
      </c>
      <c r="AM156" s="37">
        <f t="shared" si="101"/>
        <v>0.29112499999999997</v>
      </c>
      <c r="AN156" s="40">
        <f t="shared" si="109"/>
        <v>0.30354166666666665</v>
      </c>
      <c r="AO156" s="39">
        <f t="shared" si="102"/>
        <v>1.8596020776615155E-2</v>
      </c>
      <c r="AP156" s="37">
        <f t="shared" si="103"/>
        <v>2.1600000000000001E-2</v>
      </c>
      <c r="AQ156" s="40">
        <f t="shared" si="104"/>
        <v>2.2499999999999998E-3</v>
      </c>
      <c r="AR156" s="39">
        <f t="shared" si="110"/>
        <v>0.47897488358459278</v>
      </c>
      <c r="AS156" s="37">
        <f t="shared" si="111"/>
        <v>1.6886666666666668</v>
      </c>
      <c r="AT156" s="40">
        <f t="shared" si="112"/>
        <v>77.903409190090827</v>
      </c>
    </row>
    <row r="157" spans="17:46" ht="16" thickBot="1" x14ac:dyDescent="0.25">
      <c r="Q157">
        <v>150</v>
      </c>
      <c r="R157" s="41">
        <f t="shared" si="88"/>
        <v>170</v>
      </c>
      <c r="S157" s="42">
        <f t="shared" si="89"/>
        <v>0.01</v>
      </c>
      <c r="T157" s="42">
        <f t="shared" si="90"/>
        <v>5</v>
      </c>
      <c r="U157" s="43">
        <f t="shared" si="91"/>
        <v>0.52307692307692311</v>
      </c>
      <c r="V157" s="41">
        <f t="shared" si="92"/>
        <v>1</v>
      </c>
      <c r="W157" s="42">
        <f t="shared" si="93"/>
        <v>0.36331804249169902</v>
      </c>
      <c r="X157" s="43">
        <f t="shared" si="94"/>
        <v>2.2019275302527209E-3</v>
      </c>
      <c r="Y157" s="41">
        <f t="shared" si="95"/>
        <v>1.8165902124584954</v>
      </c>
      <c r="Z157" s="42">
        <f t="shared" si="114"/>
        <v>1.8165902124584954</v>
      </c>
      <c r="AA157" s="42">
        <f t="shared" si="115"/>
        <v>0.6340914500481355</v>
      </c>
      <c r="AB157" s="42">
        <v>0</v>
      </c>
      <c r="AC157" s="42">
        <f t="shared" si="96"/>
        <v>1.407251884584515E-2</v>
      </c>
      <c r="AD157" s="43">
        <f t="shared" si="105"/>
        <v>1.407251884584515E-2</v>
      </c>
      <c r="AE157" s="41">
        <f t="shared" si="113"/>
        <v>0.19004328376488874</v>
      </c>
      <c r="AF157" s="37">
        <f t="shared" si="106"/>
        <v>0.63217865096890846</v>
      </c>
      <c r="AG157" s="42">
        <f t="shared" si="97"/>
        <v>4.6759032068681677E-2</v>
      </c>
      <c r="AH157" s="42">
        <f t="shared" si="98"/>
        <v>7.3251287665179451E-2</v>
      </c>
      <c r="AI157" s="43">
        <f t="shared" si="107"/>
        <v>0.12001031973386113</v>
      </c>
      <c r="AJ157" s="41">
        <f>X157*U157</f>
        <v>1.1517774773629618E-3</v>
      </c>
      <c r="AK157" s="42">
        <f t="shared" si="99"/>
        <v>4.921504123007512E-2</v>
      </c>
      <c r="AL157" s="42">
        <f t="shared" si="100"/>
        <v>1.2500000000000001E-2</v>
      </c>
      <c r="AM157" s="42">
        <f t="shared" si="101"/>
        <v>0.29112499999999997</v>
      </c>
      <c r="AN157" s="43">
        <f t="shared" si="109"/>
        <v>0.30362499999999998</v>
      </c>
      <c r="AO157" s="41">
        <f t="shared" si="102"/>
        <v>1.8783542796820842E-2</v>
      </c>
      <c r="AP157" s="42">
        <f t="shared" si="103"/>
        <v>2.1600000000000001E-2</v>
      </c>
      <c r="AQ157" s="43">
        <f t="shared" si="104"/>
        <v>2.2499999999999998E-3</v>
      </c>
      <c r="AR157" s="41">
        <f t="shared" si="110"/>
        <v>0.48034138137652704</v>
      </c>
      <c r="AS157" s="42">
        <f t="shared" si="111"/>
        <v>1.7</v>
      </c>
      <c r="AT157" s="43">
        <f>(AS157/(AS157+AR157))*100</f>
        <v>77.96944159848627</v>
      </c>
    </row>
  </sheetData>
  <mergeCells count="7">
    <mergeCell ref="AO5:AQ5"/>
    <mergeCell ref="A1:M1"/>
    <mergeCell ref="R5:U5"/>
    <mergeCell ref="V5:X5"/>
    <mergeCell ref="Y5:AD5"/>
    <mergeCell ref="AE5:AI5"/>
    <mergeCell ref="AJ5:AN5"/>
  </mergeCells>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Y708"/>
  <sheetViews>
    <sheetView topLeftCell="R1" zoomScale="80" zoomScaleNormal="80" workbookViewId="0">
      <selection activeCell="AY19" sqref="AY19:AY559"/>
    </sheetView>
  </sheetViews>
  <sheetFormatPr baseColWidth="10" defaultColWidth="9.1640625" defaultRowHeight="15" x14ac:dyDescent="0.2"/>
  <cols>
    <col min="1" max="1" width="13.1640625" style="98" customWidth="1"/>
    <col min="2" max="2" width="25" style="98" customWidth="1"/>
    <col min="3" max="7" width="9.1640625" style="98"/>
    <col min="8" max="10" width="8.83203125" style="98"/>
    <col min="11" max="11" width="12" style="98" bestFit="1" customWidth="1"/>
    <col min="12" max="14" width="9.1640625" style="98"/>
    <col min="15" max="15" width="16.6640625" style="199" bestFit="1" customWidth="1"/>
    <col min="16" max="16" width="16.6640625" style="98" customWidth="1"/>
    <col min="17" max="25" width="9.1640625" style="98"/>
    <col min="26" max="26" width="8.5" style="98" customWidth="1"/>
    <col min="27" max="28" width="9.1640625" style="98"/>
    <col min="29" max="29" width="8.83203125" style="98"/>
    <col min="30" max="32" width="9.1640625" style="98"/>
    <col min="33" max="33" width="10.1640625" style="98" customWidth="1"/>
    <col min="34" max="34" width="12" style="98" bestFit="1" customWidth="1"/>
    <col min="35" max="41" width="9.1640625" style="98"/>
    <col min="42" max="42" width="8.83203125" style="98"/>
    <col min="43" max="44" width="9.1640625" style="98"/>
    <col min="45" max="45" width="8.83203125" style="98" customWidth="1"/>
    <col min="46" max="47" width="9.1640625" style="98"/>
    <col min="48" max="48" width="11.83203125" style="98" bestFit="1" customWidth="1"/>
    <col min="49" max="16384" width="9.1640625" style="98"/>
  </cols>
  <sheetData>
    <row r="1" spans="1:51" ht="28" x14ac:dyDescent="0.3">
      <c r="A1" s="244" t="s">
        <v>15</v>
      </c>
      <c r="B1" s="244"/>
      <c r="C1" s="244"/>
      <c r="D1" s="244"/>
      <c r="E1" s="244"/>
      <c r="F1" s="244"/>
      <c r="G1" s="244"/>
      <c r="H1" s="244"/>
      <c r="I1" s="244"/>
      <c r="J1" s="244"/>
      <c r="K1" s="244"/>
      <c r="L1" s="244"/>
      <c r="M1" s="244"/>
      <c r="N1" s="244" t="s">
        <v>229</v>
      </c>
      <c r="O1" s="244"/>
      <c r="P1" s="244"/>
      <c r="Q1" s="244"/>
      <c r="R1" s="244"/>
      <c r="S1" s="244"/>
      <c r="T1" s="244"/>
      <c r="U1" s="244"/>
      <c r="V1" s="244"/>
      <c r="W1" s="244"/>
      <c r="X1" s="244"/>
    </row>
    <row r="2" spans="1:51" x14ac:dyDescent="0.2">
      <c r="A2" s="158"/>
      <c r="B2" s="158" t="s">
        <v>16</v>
      </c>
      <c r="C2" s="159"/>
      <c r="D2" s="160"/>
      <c r="E2" s="158"/>
      <c r="F2" s="158"/>
      <c r="G2" s="158"/>
      <c r="H2" s="158"/>
      <c r="I2" s="158"/>
      <c r="J2" s="158"/>
      <c r="K2" s="158"/>
      <c r="L2" s="158"/>
      <c r="M2" s="158"/>
      <c r="O2" s="98"/>
    </row>
    <row r="3" spans="1:51" ht="16" thickBot="1" x14ac:dyDescent="0.25">
      <c r="A3" s="158"/>
      <c r="B3" s="158" t="s">
        <v>17</v>
      </c>
      <c r="C3" s="161"/>
      <c r="D3" s="160"/>
      <c r="E3" s="158"/>
      <c r="F3" s="162"/>
      <c r="G3" s="163"/>
      <c r="H3" s="163"/>
      <c r="I3" s="163"/>
      <c r="J3" s="163"/>
      <c r="K3" s="164"/>
      <c r="L3" s="158"/>
      <c r="M3" s="158"/>
      <c r="O3" s="98"/>
    </row>
    <row r="4" spans="1:51" ht="16" thickBot="1" x14ac:dyDescent="0.25">
      <c r="A4" s="158"/>
      <c r="B4" s="158" t="s">
        <v>18</v>
      </c>
      <c r="C4" s="165"/>
      <c r="D4" s="160"/>
      <c r="E4" s="158"/>
      <c r="F4" s="162"/>
      <c r="G4" s="163"/>
      <c r="H4" s="163"/>
      <c r="I4" s="163"/>
      <c r="J4" s="163"/>
      <c r="K4" s="164"/>
      <c r="L4" s="158"/>
      <c r="M4" s="158"/>
      <c r="N4" s="166"/>
      <c r="O4" s="167"/>
      <c r="P4" s="241" t="s">
        <v>260</v>
      </c>
      <c r="Q4" s="241"/>
      <c r="R4" s="241"/>
      <c r="S4" s="241"/>
      <c r="T4" s="241"/>
      <c r="U4" s="241"/>
      <c r="V4" s="241"/>
      <c r="W4" s="241"/>
      <c r="X4" s="241"/>
      <c r="Y4" s="241"/>
      <c r="Z4" s="241"/>
      <c r="AA4" s="241"/>
      <c r="AB4" s="241"/>
      <c r="AC4" s="241"/>
      <c r="AD4" s="241"/>
      <c r="AE4" s="242"/>
      <c r="AF4" s="240" t="s">
        <v>261</v>
      </c>
      <c r="AG4" s="241"/>
      <c r="AH4" s="241"/>
      <c r="AI4" s="241"/>
      <c r="AJ4" s="241"/>
      <c r="AK4" s="241"/>
      <c r="AL4" s="241"/>
      <c r="AM4" s="241"/>
      <c r="AN4" s="241"/>
      <c r="AO4" s="241"/>
      <c r="AP4" s="241"/>
      <c r="AQ4" s="241"/>
      <c r="AR4" s="242"/>
      <c r="AS4" s="240" t="s">
        <v>272</v>
      </c>
      <c r="AT4" s="241"/>
      <c r="AU4" s="242"/>
    </row>
    <row r="5" spans="1:51" x14ac:dyDescent="0.2">
      <c r="A5" s="158"/>
      <c r="D5" s="160"/>
      <c r="E5" s="158"/>
      <c r="F5" s="158"/>
      <c r="G5" s="158"/>
      <c r="H5" s="158"/>
      <c r="I5" s="158"/>
      <c r="J5" s="158"/>
      <c r="K5" s="158"/>
      <c r="L5" s="158"/>
      <c r="M5" s="158"/>
      <c r="N5" s="168"/>
      <c r="O5" s="169"/>
      <c r="Q5" s="243" t="s">
        <v>252</v>
      </c>
      <c r="R5" s="243"/>
      <c r="S5" s="243"/>
      <c r="T5" s="238" t="s">
        <v>254</v>
      </c>
      <c r="U5" s="238"/>
      <c r="V5" s="238"/>
      <c r="W5" s="238" t="s">
        <v>253</v>
      </c>
      <c r="X5" s="238"/>
      <c r="Y5" s="238"/>
      <c r="Z5" s="238" t="s">
        <v>257</v>
      </c>
      <c r="AA5" s="238"/>
      <c r="AB5" s="238"/>
      <c r="AC5" s="237" t="s">
        <v>259</v>
      </c>
      <c r="AD5" s="238"/>
      <c r="AE5" s="239"/>
      <c r="AG5" s="238" t="s">
        <v>268</v>
      </c>
      <c r="AH5" s="238"/>
      <c r="AI5" s="238"/>
      <c r="AJ5" s="238" t="s">
        <v>269</v>
      </c>
      <c r="AK5" s="238"/>
      <c r="AL5" s="238"/>
      <c r="AM5" s="238" t="s">
        <v>263</v>
      </c>
      <c r="AN5" s="238"/>
      <c r="AO5" s="238"/>
      <c r="AP5" s="237" t="s">
        <v>259</v>
      </c>
      <c r="AQ5" s="238"/>
      <c r="AR5" s="239"/>
      <c r="AS5" s="237" t="s">
        <v>259</v>
      </c>
      <c r="AT5" s="238"/>
      <c r="AU5" s="239"/>
      <c r="AV5" s="223"/>
    </row>
    <row r="6" spans="1:51" ht="16" thickBot="1" x14ac:dyDescent="0.25">
      <c r="A6" s="170" t="s">
        <v>19</v>
      </c>
      <c r="B6" s="170" t="s">
        <v>20</v>
      </c>
      <c r="C6" s="170" t="s">
        <v>21</v>
      </c>
      <c r="D6" s="160"/>
      <c r="E6" s="245" t="s">
        <v>22</v>
      </c>
      <c r="F6" s="245"/>
      <c r="G6" s="245"/>
      <c r="H6" s="245"/>
      <c r="I6" s="245"/>
      <c r="J6" s="245"/>
      <c r="K6" s="245"/>
      <c r="L6" s="158"/>
      <c r="M6" s="170"/>
      <c r="N6" s="168"/>
      <c r="O6" s="169"/>
      <c r="P6" s="160" t="s">
        <v>235</v>
      </c>
      <c r="Q6" s="98" t="s">
        <v>258</v>
      </c>
      <c r="R6" s="160" t="s">
        <v>255</v>
      </c>
      <c r="S6" s="160" t="s">
        <v>256</v>
      </c>
      <c r="T6" s="160" t="s">
        <v>258</v>
      </c>
      <c r="U6" s="160" t="s">
        <v>255</v>
      </c>
      <c r="V6" s="160" t="s">
        <v>256</v>
      </c>
      <c r="W6" s="160" t="s">
        <v>258</v>
      </c>
      <c r="X6" s="160" t="s">
        <v>255</v>
      </c>
      <c r="Y6" s="160" t="s">
        <v>256</v>
      </c>
      <c r="Z6" s="160" t="s">
        <v>258</v>
      </c>
      <c r="AA6" s="160" t="s">
        <v>255</v>
      </c>
      <c r="AB6" s="160" t="s">
        <v>256</v>
      </c>
      <c r="AC6" s="171" t="s">
        <v>273</v>
      </c>
      <c r="AD6" s="160" t="s">
        <v>255</v>
      </c>
      <c r="AE6" s="172" t="s">
        <v>256</v>
      </c>
      <c r="AF6" s="160" t="s">
        <v>270</v>
      </c>
      <c r="AG6" s="160" t="s">
        <v>258</v>
      </c>
      <c r="AH6" s="160" t="s">
        <v>271</v>
      </c>
      <c r="AI6" s="160" t="s">
        <v>256</v>
      </c>
      <c r="AJ6" s="160" t="s">
        <v>258</v>
      </c>
      <c r="AK6" s="160" t="s">
        <v>271</v>
      </c>
      <c r="AL6" s="160" t="s">
        <v>256</v>
      </c>
      <c r="AM6" s="160" t="s">
        <v>258</v>
      </c>
      <c r="AN6" s="160" t="s">
        <v>271</v>
      </c>
      <c r="AO6" s="160" t="s">
        <v>256</v>
      </c>
      <c r="AP6" s="171" t="s">
        <v>273</v>
      </c>
      <c r="AQ6" s="160" t="s">
        <v>255</v>
      </c>
      <c r="AR6" s="172" t="s">
        <v>256</v>
      </c>
      <c r="AS6" s="171" t="s">
        <v>273</v>
      </c>
      <c r="AT6" s="160" t="s">
        <v>255</v>
      </c>
      <c r="AU6" s="172" t="s">
        <v>256</v>
      </c>
      <c r="AV6" s="224"/>
    </row>
    <row r="7" spans="1:51" ht="16" thickBot="1" x14ac:dyDescent="0.25">
      <c r="A7" s="170"/>
      <c r="B7" s="170"/>
      <c r="C7" s="170"/>
      <c r="D7" s="160"/>
      <c r="E7" s="158"/>
      <c r="F7" s="158"/>
      <c r="G7" s="158"/>
      <c r="H7" s="158"/>
      <c r="I7" s="158"/>
      <c r="J7" s="158"/>
      <c r="K7" s="158"/>
      <c r="L7" s="158"/>
      <c r="M7" s="170"/>
      <c r="N7" s="98" t="s">
        <v>469</v>
      </c>
      <c r="O7" s="167">
        <f>fcross</f>
        <v>5000</v>
      </c>
      <c r="P7" s="173" t="str">
        <f>COMPLEX(ADC_VINmin,0)</f>
        <v>740.425531914893</v>
      </c>
      <c r="Q7" s="174" t="str">
        <f>IMSUM(COMPLEX(1,0),IMDIV(COMPLEX(0,2*PI()*O7),COMPLEX(wp_lf_VINmin,0)))</f>
        <v>1+277.716790577338i</v>
      </c>
      <c r="R7" s="174">
        <f t="shared" ref="R7:R13" si="0">IMABS(Q7)</f>
        <v>277.71859096678605</v>
      </c>
      <c r="S7" s="174">
        <f t="shared" ref="S7:S13" si="1">IMARGUMENT(Q7)</f>
        <v>1.5671955517893337</v>
      </c>
      <c r="T7" s="174" t="str">
        <f>IMSUM(COMPLEX(1,0),IMDIV(COMPLEX(0,2*PI()*O7),COMPLEX(wz_esr_VINmin,0)))</f>
        <v>1+0.00522761017557341i</v>
      </c>
      <c r="U7" s="174">
        <f t="shared" ref="U7:U13" si="2">IMABS(T7)</f>
        <v>1.0000136638607233</v>
      </c>
      <c r="V7" s="174">
        <f t="shared" ref="V7:V13" si="3">IMARGUMENT(T7)</f>
        <v>5.227562556470635E-3</v>
      </c>
      <c r="W7" s="175" t="str">
        <f>IMSUB(COMPLEX(1,0),IMDIV(COMPLEX(0,2*PI()*O7),COMPLEX(wz_RHP_VINmin,0)))</f>
        <v>1-0.0231801541280496i</v>
      </c>
      <c r="X7" s="174">
        <f t="shared" ref="X7:X13" si="4">IMABS(W7)</f>
        <v>1.0002686236933558</v>
      </c>
      <c r="Y7" s="174">
        <f t="shared" ref="Y7:Y13" si="5">IMARGUMENT(W7)</f>
        <v>-2.3176003749389072E-2</v>
      </c>
      <c r="Z7" s="175" t="str">
        <f t="shared" ref="Z7:Z13" si="6">IF(Dc_Mode_Loop="CCM",IMSUM(COMPLEX(1,0),IMDIV(COMPLEX(0,2*PI()*O7),COMPLEX(Q*(wsl/2),0)),IMDIV(IMPOWER(COMPLEX(0,2*PI()*O7),2),IMPOWER(COMPLEX(wsl/2,0),2))),COMPLEX(1,0))</f>
        <v>0.99-0.146267285197504i</v>
      </c>
      <c r="AA7" s="174">
        <f t="shared" ref="AA7:AA13" si="7">IMABS(Z7)</f>
        <v>1.0007467805189523</v>
      </c>
      <c r="AB7" s="174">
        <f t="shared" ref="AB7:AB13" si="8">IMARGUMENT(Z7)</f>
        <v>-0.14668358065612452</v>
      </c>
      <c r="AC7" s="176" t="str">
        <f t="shared" ref="AC7:AC13" si="9">(IMDIV(IMPRODUCT(P7,T7,W7),IMPRODUCT(Q7,Z7)))</f>
        <v>0.351628586708918-2.64156197669404i</v>
      </c>
      <c r="AD7" s="177">
        <f t="shared" ref="AD7:AD13" si="10">20*LOG(IMABS(AC7))</f>
        <v>8.5134962291570186</v>
      </c>
      <c r="AE7" s="167">
        <f t="shared" ref="AE7:AE13" si="11">(180/PI())*IMARGUMENT(AC7)</f>
        <v>-82.417710622935289</v>
      </c>
      <c r="AF7" s="175" t="str">
        <f t="shared" ref="AF7:AF13" si="12">COMPLEX(Adc_ea,0)</f>
        <v>-0.0000119284294234592</v>
      </c>
      <c r="AG7" s="175" t="str">
        <f t="shared" ref="AG7:AG13" si="13">COMPLEX(0,2*PI()*O7*wp0_ea)</f>
        <v>0.000566523403221847i</v>
      </c>
      <c r="AH7" s="175">
        <f t="shared" ref="AH7:AH13" si="14">IMABS(AG7)</f>
        <v>5.6652340322184695E-4</v>
      </c>
      <c r="AI7" s="175">
        <f t="shared" ref="AI7:AI13" si="15">IMARGUMENT(AG7)</f>
        <v>1.5707963267948966</v>
      </c>
      <c r="AJ7" s="175" t="str">
        <f t="shared" ref="AJ7:AJ13" si="16">IMSUM(COMPLEX(1,0),IMDIV(COMPLEX(0,2*PI()*O7),COMPLEX(wp1_ea,0)))</f>
        <v>1+0.0310448517090723i</v>
      </c>
      <c r="AK7" s="175">
        <f t="shared" ref="AK7:AK13" si="17">IMABS(AJ7)</f>
        <v>1.0004817753550728</v>
      </c>
      <c r="AL7" s="175">
        <f t="shared" ref="AL7:AL13" si="18">IMARGUMENT(AJ7)</f>
        <v>3.1034883974258871E-2</v>
      </c>
      <c r="AM7" s="175" t="str">
        <f t="shared" ref="AM7:AM13" si="19">IMSUM(COMPLEX(1,0),IMDIV(COMPLEX(0,2*PI()*O7),COMPLEX(wz_ea,0)))</f>
        <v>1+16.9646003293849i</v>
      </c>
      <c r="AN7" s="175">
        <f t="shared" ref="AN7:AN13" si="20">IMABS(AM7)</f>
        <v>16.994047909069995</v>
      </c>
      <c r="AO7" s="175">
        <f t="shared" ref="AO7:AO13" si="21">IMARGUMENT(AM7)</f>
        <v>1.5119181824138919</v>
      </c>
      <c r="AP7" s="166" t="str">
        <f t="shared" ref="AP7:AP13" si="22">IMPRODUCT(AF7,IMDIV(AM7,IMPRODUCT(AG7,AJ7)))</f>
        <v>-0.356201054560844+0.0321137016925504i</v>
      </c>
      <c r="AQ7" s="175">
        <f t="shared" ref="AQ7:AQ13" si="23">20*LOG(IMABS(AP7))</f>
        <v>-8.9309386755976163</v>
      </c>
      <c r="AR7" s="167">
        <f t="shared" ref="AR7:AR13" si="24">(180/PI())*IMARGUMENT(AP7)</f>
        <v>174.8483629520033</v>
      </c>
      <c r="AS7" s="166" t="str">
        <f t="shared" ref="AS7:AS13" si="25">IMPRODUCT(AC7,AP7)</f>
        <v>-0.0404201400775196+0.952219257326388i</v>
      </c>
      <c r="AT7" s="177">
        <f t="shared" ref="AT7:AT13" si="26">20*LOG(IMABS(AS7))</f>
        <v>-0.41744244644059819</v>
      </c>
      <c r="AU7" s="167">
        <f t="shared" ref="AU7:AU13" si="27">(180/PI())*IMARGUMENT(AS7)</f>
        <v>92.43065232906801</v>
      </c>
      <c r="AV7" s="225"/>
    </row>
    <row r="8" spans="1:51" ht="16" thickBot="1" x14ac:dyDescent="0.25">
      <c r="A8" s="170"/>
      <c r="B8" s="170"/>
      <c r="C8" s="170"/>
      <c r="D8" s="160"/>
      <c r="E8" s="158"/>
      <c r="F8" s="158"/>
      <c r="G8" s="158"/>
      <c r="H8" s="158"/>
      <c r="I8" s="158"/>
      <c r="J8" s="158"/>
      <c r="K8" s="158"/>
      <c r="L8" s="158"/>
      <c r="M8" s="170"/>
      <c r="N8" s="166" t="s">
        <v>302</v>
      </c>
      <c r="O8" s="167">
        <f>fcross</f>
        <v>5000</v>
      </c>
      <c r="P8" s="173" t="str">
        <f t="shared" ref="P8:P13" si="28">COMPLEX(Adc,0)</f>
        <v>771.276595744681</v>
      </c>
      <c r="Q8" s="174" t="str">
        <f t="shared" ref="Q8:Q13" si="29">IMSUM(COMPLEX(1,0),IMDIV(COMPLEX(0,2*PI()*O8),COMPLEX(wp_lf,0)))</f>
        <v>1+277.716790577338i</v>
      </c>
      <c r="R8" s="174">
        <f t="shared" si="0"/>
        <v>277.71859096678605</v>
      </c>
      <c r="S8" s="174">
        <f t="shared" si="1"/>
        <v>1.5671955517893337</v>
      </c>
      <c r="T8" s="174" t="str">
        <f t="shared" ref="T8:T13" si="30">IMSUM(COMPLEX(1,0),IMDIV(COMPLEX(0,2*PI()*O8),COMPLEX(wz_esr,0)))</f>
        <v>1+0.00522761017557341i</v>
      </c>
      <c r="U8" s="174">
        <f t="shared" si="2"/>
        <v>1.0000136638607233</v>
      </c>
      <c r="V8" s="174">
        <f t="shared" si="3"/>
        <v>5.227562556470635E-3</v>
      </c>
      <c r="W8" s="175" t="str">
        <f t="shared" ref="W8:W13" si="31">IMSUB(COMPLEX(1,0),IMDIV(COMPLEX(0,2*PI()*O8),COMPLEX(wz_rhp,0)))</f>
        <v>1-0.0213628300444105i</v>
      </c>
      <c r="X8" s="174">
        <f t="shared" si="4"/>
        <v>1.0002281592254372</v>
      </c>
      <c r="Y8" s="174">
        <f t="shared" si="5"/>
        <v>-2.1359581145455397E-2</v>
      </c>
      <c r="Z8" s="175" t="str">
        <f t="shared" si="6"/>
        <v>0.99-0.146267285197504i</v>
      </c>
      <c r="AA8" s="174">
        <f t="shared" si="7"/>
        <v>1.0007467805189523</v>
      </c>
      <c r="AB8" s="174">
        <f t="shared" si="8"/>
        <v>-0.14668358065612452</v>
      </c>
      <c r="AC8" s="176" t="str">
        <f t="shared" si="9"/>
        <v>0.371262268907718-2.75084591508339i</v>
      </c>
      <c r="AD8" s="177">
        <f t="shared" si="10"/>
        <v>8.8677201857434316</v>
      </c>
      <c r="AE8" s="167">
        <f t="shared" si="11"/>
        <v>-82.31363727391772</v>
      </c>
      <c r="AF8" s="175" t="str">
        <f t="shared" si="12"/>
        <v>-0.0000119284294234592</v>
      </c>
      <c r="AG8" s="175" t="str">
        <f t="shared" si="13"/>
        <v>0.000566523403221847i</v>
      </c>
      <c r="AH8" s="175">
        <f t="shared" si="14"/>
        <v>5.6652340322184695E-4</v>
      </c>
      <c r="AI8" s="175">
        <f t="shared" si="15"/>
        <v>1.5707963267948966</v>
      </c>
      <c r="AJ8" s="175" t="str">
        <f t="shared" si="16"/>
        <v>1+0.0310448517090723i</v>
      </c>
      <c r="AK8" s="175">
        <f t="shared" si="17"/>
        <v>1.0004817753550728</v>
      </c>
      <c r="AL8" s="175">
        <f t="shared" si="18"/>
        <v>3.1034883974258871E-2</v>
      </c>
      <c r="AM8" s="175" t="str">
        <f t="shared" si="19"/>
        <v>1+16.9646003293849i</v>
      </c>
      <c r="AN8" s="175">
        <f t="shared" si="20"/>
        <v>16.994047909069995</v>
      </c>
      <c r="AO8" s="175">
        <f t="shared" si="21"/>
        <v>1.5119181824138919</v>
      </c>
      <c r="AP8" s="166" t="str">
        <f t="shared" si="22"/>
        <v>-0.356201054560844+0.0321137016925504i</v>
      </c>
      <c r="AQ8" s="175">
        <f t="shared" si="23"/>
        <v>-8.9309386755976163</v>
      </c>
      <c r="AR8" s="167">
        <f t="shared" si="24"/>
        <v>174.8483629520033</v>
      </c>
      <c r="AS8" s="166" t="str">
        <f t="shared" si="25"/>
        <v>-0.043904166584422+0.991776821640495i</v>
      </c>
      <c r="AT8" s="177">
        <f t="shared" si="26"/>
        <v>-6.3218489854187127E-2</v>
      </c>
      <c r="AU8" s="167">
        <f t="shared" si="27"/>
        <v>92.534725678085593</v>
      </c>
      <c r="AV8" s="225"/>
    </row>
    <row r="9" spans="1:51" x14ac:dyDescent="0.2">
      <c r="A9" s="178" t="s">
        <v>205</v>
      </c>
      <c r="B9" s="170"/>
      <c r="C9" s="170"/>
      <c r="D9" s="160"/>
      <c r="E9" s="158"/>
      <c r="F9" s="158"/>
      <c r="G9" s="158"/>
      <c r="H9" s="158"/>
      <c r="I9" s="158"/>
      <c r="J9" s="158"/>
      <c r="K9" s="158"/>
      <c r="L9" s="158"/>
      <c r="M9" s="170"/>
      <c r="N9" s="179" t="s">
        <v>303</v>
      </c>
      <c r="O9" s="180">
        <f>wz_rhp/(2*PI())</f>
        <v>234051.38689984611</v>
      </c>
      <c r="P9" s="181" t="str">
        <f t="shared" si="28"/>
        <v>771.276595744681</v>
      </c>
      <c r="Q9" s="182" t="str">
        <f t="shared" si="29"/>
        <v>1+13000.0000000001i</v>
      </c>
      <c r="R9" s="182">
        <f t="shared" si="0"/>
        <v>13000.000038461638</v>
      </c>
      <c r="S9" s="182">
        <f t="shared" si="1"/>
        <v>1.5707194037181254</v>
      </c>
      <c r="T9" s="182" t="str">
        <f t="shared" si="30"/>
        <v>1+0.244705882352942i</v>
      </c>
      <c r="U9" s="182">
        <f t="shared" si="2"/>
        <v>1.0295052058431429</v>
      </c>
      <c r="V9" s="182">
        <f t="shared" si="3"/>
        <v>0.23998979099086684</v>
      </c>
      <c r="W9" s="183" t="str">
        <f t="shared" si="31"/>
        <v>1-i</v>
      </c>
      <c r="X9" s="182">
        <f t="shared" si="4"/>
        <v>1.4142135623730951</v>
      </c>
      <c r="Y9" s="182">
        <f t="shared" si="5"/>
        <v>-0.78539816339744828</v>
      </c>
      <c r="Z9" s="183" t="str">
        <f t="shared" si="6"/>
        <v>-20.9120206838966-6.84681219171025i</v>
      </c>
      <c r="AA9" s="182">
        <f t="shared" si="7"/>
        <v>22.004350621462827</v>
      </c>
      <c r="AB9" s="182">
        <f t="shared" si="8"/>
        <v>-2.8251822145687453</v>
      </c>
      <c r="AC9" s="184" t="str">
        <f t="shared" si="9"/>
        <v>0.00297941438263865+0.00255599749187592i</v>
      </c>
      <c r="AD9" s="185">
        <f t="shared" si="10"/>
        <v>-48.121964244366815</v>
      </c>
      <c r="AE9" s="186">
        <f t="shared" si="11"/>
        <v>40.625826767862179</v>
      </c>
      <c r="AF9" s="183" t="str">
        <f t="shared" si="12"/>
        <v>-0.0000119284294234592</v>
      </c>
      <c r="AG9" s="183" t="str">
        <f t="shared" si="13"/>
        <v>0.0265191176470588i</v>
      </c>
      <c r="AH9" s="183">
        <f t="shared" si="14"/>
        <v>2.6519117647058801E-2</v>
      </c>
      <c r="AI9" s="183">
        <f t="shared" si="15"/>
        <v>1.5707963267948966</v>
      </c>
      <c r="AJ9" s="183" t="str">
        <f t="shared" si="16"/>
        <v>1+1.45321811972169i</v>
      </c>
      <c r="AK9" s="183">
        <f t="shared" si="17"/>
        <v>1.7640416388190627</v>
      </c>
      <c r="AL9" s="183">
        <f t="shared" si="18"/>
        <v>0.96808270191372225</v>
      </c>
      <c r="AM9" s="183" t="str">
        <f t="shared" si="19"/>
        <v>1+794.117647058826i</v>
      </c>
      <c r="AN9" s="183">
        <f t="shared" si="20"/>
        <v>794.11827668820592</v>
      </c>
      <c r="AO9" s="183">
        <f t="shared" si="21"/>
        <v>1.5695370682012535</v>
      </c>
      <c r="AP9" s="179" t="str">
        <f t="shared" si="22"/>
        <v>-0.114576592095082+0.166954584642189i</v>
      </c>
      <c r="AQ9" s="183">
        <f t="shared" si="23"/>
        <v>-13.871988905949539</v>
      </c>
      <c r="AR9" s="186">
        <f t="shared" si="24"/>
        <v>124.46079675799115</v>
      </c>
      <c r="AS9" s="179" t="str">
        <f t="shared" si="25"/>
        <v>-0.00076810664600443+0.00020456940870768i</v>
      </c>
      <c r="AT9" s="185">
        <f t="shared" si="26"/>
        <v>-61.993953150316358</v>
      </c>
      <c r="AU9" s="186">
        <f t="shared" si="27"/>
        <v>165.0866235258533</v>
      </c>
      <c r="AV9" s="225"/>
    </row>
    <row r="10" spans="1:51" x14ac:dyDescent="0.2">
      <c r="A10" s="98" t="s">
        <v>25</v>
      </c>
      <c r="B10" s="187">
        <f>VIN_min</f>
        <v>4.8</v>
      </c>
      <c r="C10" s="98" t="s">
        <v>10</v>
      </c>
      <c r="E10" s="98" t="s">
        <v>28</v>
      </c>
      <c r="N10" s="168" t="s">
        <v>254</v>
      </c>
      <c r="O10" s="188">
        <f>wz_esr/(2*PI())</f>
        <v>956459.99454264017</v>
      </c>
      <c r="P10" s="189" t="str">
        <f t="shared" si="28"/>
        <v>771.276595744681</v>
      </c>
      <c r="Q10" s="160" t="str">
        <f t="shared" si="29"/>
        <v>1+53125.0000000001i</v>
      </c>
      <c r="R10" s="160">
        <f t="shared" si="0"/>
        <v>53125.000009411859</v>
      </c>
      <c r="S10" s="160">
        <f t="shared" si="1"/>
        <v>1.5707775032654872</v>
      </c>
      <c r="T10" s="160" t="str">
        <f t="shared" si="30"/>
        <v>1+i</v>
      </c>
      <c r="U10" s="160">
        <f t="shared" si="2"/>
        <v>1.4142135623730951</v>
      </c>
      <c r="V10" s="160">
        <f t="shared" si="3"/>
        <v>0.78539816339744828</v>
      </c>
      <c r="W10" s="98" t="str">
        <f t="shared" si="31"/>
        <v>1-4.08653846153845i</v>
      </c>
      <c r="X10" s="160">
        <f t="shared" si="4"/>
        <v>4.2071126200320625</v>
      </c>
      <c r="Y10" s="160">
        <f t="shared" si="5"/>
        <v>-1.33080653580403</v>
      </c>
      <c r="Z10" s="98" t="str">
        <f t="shared" si="6"/>
        <v>-364.926288464203-27.9797613603543i</v>
      </c>
      <c r="AA10" s="160">
        <f t="shared" si="7"/>
        <v>365.99735389486233</v>
      </c>
      <c r="AB10" s="160">
        <f t="shared" si="8"/>
        <v>-3.0650700048584505</v>
      </c>
      <c r="AC10" s="171" t="str">
        <f t="shared" si="9"/>
        <v>0.000137497790458201+0.000191821764854733i</v>
      </c>
      <c r="AD10" s="190">
        <f t="shared" si="10"/>
        <v>-72.541352001406509</v>
      </c>
      <c r="AE10" s="169">
        <f t="shared" si="11"/>
        <v>54.367055849326135</v>
      </c>
      <c r="AF10" s="98" t="str">
        <f t="shared" si="12"/>
        <v>-0.0000119284294234592</v>
      </c>
      <c r="AG10" s="98" t="str">
        <f t="shared" si="13"/>
        <v>0.108371394230769i</v>
      </c>
      <c r="AH10" s="98">
        <f t="shared" si="14"/>
        <v>0.108371394230769</v>
      </c>
      <c r="AI10" s="98">
        <f t="shared" si="15"/>
        <v>1.5707963267948966</v>
      </c>
      <c r="AJ10" s="98" t="str">
        <f t="shared" si="16"/>
        <v>1+5.93863173924728i</v>
      </c>
      <c r="AK10" s="98">
        <f t="shared" si="17"/>
        <v>6.022237701585281</v>
      </c>
      <c r="AL10" s="98">
        <f t="shared" si="18"/>
        <v>1.403972377639183</v>
      </c>
      <c r="AM10" s="98" t="str">
        <f t="shared" si="19"/>
        <v>1+3245.19230769231i</v>
      </c>
      <c r="AN10" s="98">
        <f t="shared" si="20"/>
        <v>3245.1924617663799</v>
      </c>
      <c r="AO10" s="98">
        <f t="shared" si="21"/>
        <v>1.5704881786565019</v>
      </c>
      <c r="AP10" s="168" t="str">
        <f t="shared" si="22"/>
        <v>-0.00983100185579653+0.058492769557715i</v>
      </c>
      <c r="AQ10" s="98">
        <f t="shared" si="23"/>
        <v>-24.536976606303277</v>
      </c>
      <c r="AR10" s="169">
        <f t="shared" si="24"/>
        <v>99.540652620532583</v>
      </c>
      <c r="AS10" s="168" t="str">
        <f t="shared" si="25"/>
        <v>-0.0000125719273209646+6.15682644569749E-06i</v>
      </c>
      <c r="AT10" s="190">
        <f t="shared" si="26"/>
        <v>-97.078328607709793</v>
      </c>
      <c r="AU10" s="169">
        <f t="shared" si="27"/>
        <v>153.90770846985876</v>
      </c>
      <c r="AV10" s="225"/>
    </row>
    <row r="11" spans="1:51" ht="16" thickBot="1" x14ac:dyDescent="0.25">
      <c r="A11" s="98" t="s">
        <v>26</v>
      </c>
      <c r="B11" s="187">
        <f>VIN_nom</f>
        <v>5</v>
      </c>
      <c r="C11" s="98" t="s">
        <v>10</v>
      </c>
      <c r="E11" s="98" t="s">
        <v>29</v>
      </c>
      <c r="N11" s="191" t="s">
        <v>252</v>
      </c>
      <c r="O11" s="192">
        <f>wp_lf/(2*PI())</f>
        <v>18.003952838449699</v>
      </c>
      <c r="P11" s="193" t="str">
        <f t="shared" si="28"/>
        <v>771.276595744681</v>
      </c>
      <c r="Q11" s="194" t="str">
        <f t="shared" si="29"/>
        <v>1+i</v>
      </c>
      <c r="R11" s="194">
        <f t="shared" si="0"/>
        <v>1.4142135623730951</v>
      </c>
      <c r="S11" s="194">
        <f t="shared" si="1"/>
        <v>0.78539816339744828</v>
      </c>
      <c r="T11" s="194" t="str">
        <f t="shared" si="30"/>
        <v>1+0.0000188235294117647i</v>
      </c>
      <c r="U11" s="194">
        <f t="shared" si="2"/>
        <v>1.0000000001771625</v>
      </c>
      <c r="V11" s="194">
        <f t="shared" si="3"/>
        <v>1.8823529409541483E-5</v>
      </c>
      <c r="W11" s="195" t="str">
        <f t="shared" si="31"/>
        <v>1-0.0000769230769230766i</v>
      </c>
      <c r="X11" s="194">
        <f t="shared" si="4"/>
        <v>1.0000000029585798</v>
      </c>
      <c r="Y11" s="194">
        <f t="shared" si="5"/>
        <v>-7.6923076771354555E-5</v>
      </c>
      <c r="Z11" s="195" t="str">
        <f t="shared" si="6"/>
        <v>0.999999870343073-0.000526677860900786i</v>
      </c>
      <c r="AA11" s="194">
        <f t="shared" si="7"/>
        <v>1.000000009037866</v>
      </c>
      <c r="AB11" s="194">
        <f t="shared" si="8"/>
        <v>-5.2667788048990194E-4</v>
      </c>
      <c r="AC11" s="196" t="str">
        <f t="shared" si="9"/>
        <v>385.818955002923-385.457551516668i</v>
      </c>
      <c r="AD11" s="197">
        <f t="shared" si="10"/>
        <v>54.733903051520933</v>
      </c>
      <c r="AE11" s="198">
        <f t="shared" si="11"/>
        <v>-44.973152439140584</v>
      </c>
      <c r="AF11" s="195" t="str">
        <f t="shared" si="12"/>
        <v>-0.0000119284294234592</v>
      </c>
      <c r="AG11" s="195" t="str">
        <f t="shared" si="13"/>
        <v>2.03993212669683E-06i</v>
      </c>
      <c r="AH11" s="195">
        <f t="shared" si="14"/>
        <v>2.0399321266968299E-6</v>
      </c>
      <c r="AI11" s="195">
        <f t="shared" si="15"/>
        <v>1.5707963267948966</v>
      </c>
      <c r="AJ11" s="195" t="str">
        <f t="shared" si="16"/>
        <v>1+0.00011178600920936i</v>
      </c>
      <c r="AK11" s="195">
        <f t="shared" si="17"/>
        <v>1.0000000062480559</v>
      </c>
      <c r="AL11" s="195">
        <f t="shared" si="18"/>
        <v>1.1178600874372985E-4</v>
      </c>
      <c r="AM11" s="195" t="str">
        <f t="shared" si="19"/>
        <v>1+0.0610859728506786i</v>
      </c>
      <c r="AN11" s="195">
        <f t="shared" si="20"/>
        <v>1.0018640107714789</v>
      </c>
      <c r="AO11" s="195">
        <f t="shared" si="21"/>
        <v>6.101016182217215E-2</v>
      </c>
      <c r="AP11" s="191" t="str">
        <f t="shared" si="22"/>
        <v>-0.356544350561436+5.84750373419345i</v>
      </c>
      <c r="AQ11" s="195">
        <f t="shared" si="23"/>
        <v>15.355526419632104</v>
      </c>
      <c r="AR11" s="198">
        <f t="shared" si="24"/>
        <v>93.489219913311018</v>
      </c>
      <c r="AS11" s="191" t="str">
        <f t="shared" si="25"/>
        <v>2116.40290312097+2393.51049247672i</v>
      </c>
      <c r="AT11" s="197">
        <f t="shared" si="26"/>
        <v>70.089429471153039</v>
      </c>
      <c r="AU11" s="198">
        <f t="shared" si="27"/>
        <v>48.51606747417047</v>
      </c>
      <c r="AV11" s="225"/>
      <c r="AX11" s="213" t="s">
        <v>537</v>
      </c>
      <c r="AY11" s="213"/>
    </row>
    <row r="12" spans="1:51" x14ac:dyDescent="0.2">
      <c r="A12" s="98" t="s">
        <v>27</v>
      </c>
      <c r="B12" s="187">
        <f>VIN_max</f>
        <v>5.5</v>
      </c>
      <c r="C12" s="98" t="s">
        <v>10</v>
      </c>
      <c r="E12" s="98" t="s">
        <v>30</v>
      </c>
      <c r="N12" s="179" t="s">
        <v>263</v>
      </c>
      <c r="O12" s="186">
        <f>wz_ea/(2*PI())</f>
        <v>294.73137609610245</v>
      </c>
      <c r="P12" s="181" t="str">
        <f t="shared" si="28"/>
        <v>771.276595744681</v>
      </c>
      <c r="Q12" s="182" t="str">
        <f t="shared" si="29"/>
        <v>1+16.3703703703704i</v>
      </c>
      <c r="R12" s="182">
        <f t="shared" si="0"/>
        <v>16.400884917073867</v>
      </c>
      <c r="S12" s="182">
        <f t="shared" si="1"/>
        <v>1.5097861649727244</v>
      </c>
      <c r="T12" s="182" t="str">
        <f t="shared" si="30"/>
        <v>1+0.000308148148148148i</v>
      </c>
      <c r="U12" s="182">
        <f t="shared" si="2"/>
        <v>1.0000000474776394</v>
      </c>
      <c r="V12" s="182">
        <f t="shared" si="3"/>
        <v>3.0814813839471719E-4</v>
      </c>
      <c r="W12" s="183" t="str">
        <f t="shared" si="31"/>
        <v>1-0.00125925925925926i</v>
      </c>
      <c r="X12" s="182">
        <f t="shared" si="4"/>
        <v>1.0000007928666266</v>
      </c>
      <c r="Y12" s="182">
        <f t="shared" si="5"/>
        <v>-1.2592585936432022E-3</v>
      </c>
      <c r="Z12" s="183" t="str">
        <f t="shared" si="6"/>
        <v>0.999965253366378-0.0086219116488203i</v>
      </c>
      <c r="AA12" s="182">
        <f t="shared" si="7"/>
        <v>1.0000024226473476</v>
      </c>
      <c r="AB12" s="182">
        <f t="shared" si="8"/>
        <v>-8.621997585509019E-3</v>
      </c>
      <c r="AC12" s="184" t="str">
        <f t="shared" si="9"/>
        <v>3.2272872051534-46.9155785113628i</v>
      </c>
      <c r="AD12" s="185">
        <f t="shared" si="10"/>
        <v>33.446843691084737</v>
      </c>
      <c r="AE12" s="186">
        <f t="shared" si="11"/>
        <v>-86.064865762494208</v>
      </c>
      <c r="AF12" s="183" t="str">
        <f t="shared" si="12"/>
        <v>-0.0000119284294234592</v>
      </c>
      <c r="AG12" s="183" t="str">
        <f t="shared" si="13"/>
        <v>0.0000333944444444444i</v>
      </c>
      <c r="AH12" s="183">
        <f t="shared" si="14"/>
        <v>3.3394444444444402E-5</v>
      </c>
      <c r="AI12" s="183">
        <f t="shared" si="15"/>
        <v>1.5707963267948966</v>
      </c>
      <c r="AJ12" s="183" t="str">
        <f t="shared" si="16"/>
        <v>1+0.00182997837298287i</v>
      </c>
      <c r="AK12" s="183">
        <f t="shared" si="17"/>
        <v>1.000001674409021</v>
      </c>
      <c r="AL12" s="183">
        <f t="shared" si="18"/>
        <v>1.8299763302304004E-3</v>
      </c>
      <c r="AM12" s="183" t="str">
        <f t="shared" si="19"/>
        <v>1+i</v>
      </c>
      <c r="AN12" s="183">
        <f t="shared" si="20"/>
        <v>1.4142135623730951</v>
      </c>
      <c r="AO12" s="183">
        <f t="shared" si="21"/>
        <v>0.78539816339744828</v>
      </c>
      <c r="AP12" s="179" t="str">
        <f t="shared" si="22"/>
        <v>-0.356543161017685+0.357850485941417i</v>
      </c>
      <c r="AQ12" s="183">
        <f t="shared" si="23"/>
        <v>-5.9315337378318764</v>
      </c>
      <c r="AR12" s="186">
        <f t="shared" si="24"/>
        <v>134.89515007966892</v>
      </c>
      <c r="AS12" s="179" t="str">
        <f t="shared" si="25"/>
        <v>15.6380953868766+17.8823149580513i</v>
      </c>
      <c r="AT12" s="185">
        <f t="shared" si="26"/>
        <v>27.515309953252864</v>
      </c>
      <c r="AU12" s="186">
        <f t="shared" si="27"/>
        <v>48.830284317174581</v>
      </c>
      <c r="AV12" s="225"/>
      <c r="AX12" t="s">
        <v>538</v>
      </c>
      <c r="AY12">
        <f>SUM(AX19:AX559)/1000</f>
        <v>4.8977881936844634</v>
      </c>
    </row>
    <row r="13" spans="1:51" ht="16" thickBot="1" x14ac:dyDescent="0.25">
      <c r="A13" s="98" t="s">
        <v>68</v>
      </c>
      <c r="B13" s="187">
        <f>Fsw</f>
        <v>100000</v>
      </c>
      <c r="C13" s="98" t="s">
        <v>69</v>
      </c>
      <c r="E13" s="98" t="s">
        <v>70</v>
      </c>
      <c r="N13" s="191" t="s">
        <v>269</v>
      </c>
      <c r="O13" s="198">
        <f>wp1_ea/(2*PI())</f>
        <v>161057.30015578837</v>
      </c>
      <c r="P13" s="193" t="str">
        <f t="shared" si="28"/>
        <v>771.276595744681</v>
      </c>
      <c r="Q13" s="194" t="str">
        <f t="shared" si="29"/>
        <v>1+8945.66329966331i</v>
      </c>
      <c r="R13" s="194">
        <f t="shared" si="0"/>
        <v>8945.6633555563149</v>
      </c>
      <c r="S13" s="194">
        <f t="shared" si="1"/>
        <v>1.5706845407861529</v>
      </c>
      <c r="T13" s="194" t="str">
        <f t="shared" si="30"/>
        <v>1+0.168388956228956i</v>
      </c>
      <c r="U13" s="194">
        <f t="shared" si="2"/>
        <v>1.0140783207326134</v>
      </c>
      <c r="V13" s="194">
        <f t="shared" si="3"/>
        <v>0.16682394915571341</v>
      </c>
      <c r="W13" s="195" t="str">
        <f t="shared" si="31"/>
        <v>1-0.688127946127944i</v>
      </c>
      <c r="X13" s="194">
        <f t="shared" si="4"/>
        <v>1.2138863498047348</v>
      </c>
      <c r="Y13" s="194">
        <f t="shared" si="5"/>
        <v>-0.60271362488117397</v>
      </c>
      <c r="Z13" s="195" t="str">
        <f t="shared" si="6"/>
        <v>-9.3757815733886-4.71148281100534i</v>
      </c>
      <c r="AA13" s="194">
        <f t="shared" si="7"/>
        <v>10.493014361483166</v>
      </c>
      <c r="AB13" s="194">
        <f t="shared" si="8"/>
        <v>-2.6759340531302693</v>
      </c>
      <c r="AC13" s="196" t="str">
        <f t="shared" si="9"/>
        <v>0.00793202806518656+0.00627592158127095i</v>
      </c>
      <c r="AD13" s="197">
        <f t="shared" si="10"/>
        <v>-39.901062777637421</v>
      </c>
      <c r="AE13" s="198">
        <f t="shared" si="11"/>
        <v>38.351493613815265</v>
      </c>
      <c r="AF13" s="195" t="str">
        <f t="shared" si="12"/>
        <v>-0.0000119284294234592</v>
      </c>
      <c r="AG13" s="195" t="str">
        <f t="shared" si="13"/>
        <v>0.018248545959596i</v>
      </c>
      <c r="AH13" s="195">
        <f t="shared" si="14"/>
        <v>1.8248545959596001E-2</v>
      </c>
      <c r="AI13" s="195">
        <f t="shared" si="15"/>
        <v>1.5707963267948966</v>
      </c>
      <c r="AJ13" s="195" t="str">
        <f t="shared" si="16"/>
        <v>1+i</v>
      </c>
      <c r="AK13" s="195">
        <f t="shared" si="17"/>
        <v>1.4142135623730951</v>
      </c>
      <c r="AL13" s="195">
        <f t="shared" si="18"/>
        <v>0.78539816339744828</v>
      </c>
      <c r="AM13" s="195" t="str">
        <f t="shared" si="19"/>
        <v>1+546.454545454545i</v>
      </c>
      <c r="AN13" s="195">
        <f t="shared" si="20"/>
        <v>546.45546044296555</v>
      </c>
      <c r="AO13" s="195">
        <f t="shared" si="21"/>
        <v>1.5689663504646663</v>
      </c>
      <c r="AP13" s="191" t="str">
        <f t="shared" si="22"/>
        <v>-0.178272177508427+0.178925842159291i</v>
      </c>
      <c r="AQ13" s="195">
        <f t="shared" si="23"/>
        <v>-11.952104563671957</v>
      </c>
      <c r="AR13" s="198">
        <f t="shared" si="24"/>
        <v>134.89515007966898</v>
      </c>
      <c r="AS13" s="191" t="str">
        <f t="shared" si="25"/>
        <v>-0.00253698446949334+0.000300422595429334i</v>
      </c>
      <c r="AT13" s="197">
        <f t="shared" si="26"/>
        <v>-51.853167341309366</v>
      </c>
      <c r="AU13" s="198">
        <f t="shared" si="27"/>
        <v>173.24664369348426</v>
      </c>
      <c r="AV13" s="225"/>
      <c r="AX13"/>
      <c r="AY13"/>
    </row>
    <row r="14" spans="1:51" x14ac:dyDescent="0.2">
      <c r="A14" s="98" t="s">
        <v>563</v>
      </c>
      <c r="B14" s="98" t="s">
        <v>495</v>
      </c>
      <c r="E14" s="98" t="s">
        <v>564</v>
      </c>
      <c r="AX14" t="s">
        <v>539</v>
      </c>
      <c r="AY14" s="23">
        <f>SUM(AY19:AY559)</f>
        <v>92.351269784302474</v>
      </c>
    </row>
    <row r="15" spans="1:51" ht="16" thickBot="1" x14ac:dyDescent="0.25">
      <c r="O15" s="199" t="s">
        <v>231</v>
      </c>
      <c r="P15" s="98">
        <f>B17</f>
        <v>5</v>
      </c>
      <c r="Q15" s="98" t="s">
        <v>10</v>
      </c>
    </row>
    <row r="16" spans="1:51" ht="16" thickBot="1" x14ac:dyDescent="0.25">
      <c r="A16" s="200" t="s">
        <v>262</v>
      </c>
      <c r="O16" s="201"/>
      <c r="P16" s="241" t="s">
        <v>260</v>
      </c>
      <c r="Q16" s="241"/>
      <c r="R16" s="241"/>
      <c r="S16" s="241"/>
      <c r="T16" s="241"/>
      <c r="U16" s="241"/>
      <c r="V16" s="241"/>
      <c r="W16" s="241"/>
      <c r="X16" s="241"/>
      <c r="Y16" s="241"/>
      <c r="Z16" s="241"/>
      <c r="AA16" s="241"/>
      <c r="AB16" s="241"/>
      <c r="AC16" s="241"/>
      <c r="AD16" s="241"/>
      <c r="AE16" s="242"/>
      <c r="AF16" s="240" t="s">
        <v>261</v>
      </c>
      <c r="AG16" s="241"/>
      <c r="AH16" s="241"/>
      <c r="AI16" s="241"/>
      <c r="AJ16" s="241"/>
      <c r="AK16" s="241"/>
      <c r="AL16" s="241"/>
      <c r="AM16" s="241"/>
      <c r="AN16" s="241"/>
      <c r="AO16" s="241"/>
      <c r="AP16" s="241"/>
      <c r="AQ16" s="241"/>
      <c r="AR16" s="242"/>
      <c r="AS16" s="240" t="s">
        <v>272</v>
      </c>
      <c r="AT16" s="241"/>
      <c r="AU16" s="242"/>
    </row>
    <row r="17" spans="1:51" x14ac:dyDescent="0.2">
      <c r="A17" s="98" t="s">
        <v>233</v>
      </c>
      <c r="B17" s="98">
        <f>VIN_var</f>
        <v>5</v>
      </c>
      <c r="C17" s="98" t="s">
        <v>10</v>
      </c>
      <c r="E17" s="98" t="s">
        <v>234</v>
      </c>
      <c r="O17" s="202"/>
      <c r="Q17" s="243" t="s">
        <v>252</v>
      </c>
      <c r="R17" s="243"/>
      <c r="S17" s="243"/>
      <c r="T17" s="238" t="s">
        <v>254</v>
      </c>
      <c r="U17" s="238"/>
      <c r="V17" s="238"/>
      <c r="W17" s="238" t="s">
        <v>253</v>
      </c>
      <c r="X17" s="238"/>
      <c r="Y17" s="238"/>
      <c r="Z17" s="238" t="s">
        <v>257</v>
      </c>
      <c r="AA17" s="238"/>
      <c r="AB17" s="238"/>
      <c r="AC17" s="237" t="s">
        <v>259</v>
      </c>
      <c r="AD17" s="238"/>
      <c r="AE17" s="239"/>
      <c r="AG17" s="238" t="s">
        <v>268</v>
      </c>
      <c r="AH17" s="238"/>
      <c r="AI17" s="238"/>
      <c r="AJ17" s="238" t="s">
        <v>269</v>
      </c>
      <c r="AK17" s="238"/>
      <c r="AL17" s="238"/>
      <c r="AM17" s="238" t="s">
        <v>263</v>
      </c>
      <c r="AN17" s="238"/>
      <c r="AO17" s="238"/>
      <c r="AP17" s="237" t="s">
        <v>259</v>
      </c>
      <c r="AQ17" s="238"/>
      <c r="AR17" s="239"/>
      <c r="AS17" s="237" t="s">
        <v>259</v>
      </c>
      <c r="AT17" s="238"/>
      <c r="AU17" s="239"/>
      <c r="AV17" s="223"/>
    </row>
    <row r="18" spans="1:51" ht="16" thickBot="1" x14ac:dyDescent="0.25">
      <c r="A18" s="98" t="s">
        <v>450</v>
      </c>
      <c r="C18" s="98" t="s">
        <v>11</v>
      </c>
      <c r="E18" s="98" t="s">
        <v>451</v>
      </c>
      <c r="N18" s="170"/>
      <c r="O18" s="203" t="s">
        <v>230</v>
      </c>
      <c r="P18" s="194" t="s">
        <v>235</v>
      </c>
      <c r="Q18" s="195" t="s">
        <v>258</v>
      </c>
      <c r="R18" s="194" t="s">
        <v>255</v>
      </c>
      <c r="S18" s="194" t="s">
        <v>256</v>
      </c>
      <c r="T18" s="194" t="s">
        <v>258</v>
      </c>
      <c r="U18" s="194" t="s">
        <v>255</v>
      </c>
      <c r="V18" s="194" t="s">
        <v>256</v>
      </c>
      <c r="W18" s="194" t="s">
        <v>258</v>
      </c>
      <c r="X18" s="194" t="s">
        <v>255</v>
      </c>
      <c r="Y18" s="194" t="s">
        <v>256</v>
      </c>
      <c r="Z18" s="194" t="s">
        <v>258</v>
      </c>
      <c r="AA18" s="194" t="s">
        <v>255</v>
      </c>
      <c r="AB18" s="194" t="s">
        <v>256</v>
      </c>
      <c r="AC18" s="196" t="s">
        <v>273</v>
      </c>
      <c r="AD18" s="194" t="s">
        <v>255</v>
      </c>
      <c r="AE18" s="204" t="s">
        <v>256</v>
      </c>
      <c r="AF18" s="194" t="s">
        <v>270</v>
      </c>
      <c r="AG18" s="194" t="s">
        <v>258</v>
      </c>
      <c r="AH18" s="194" t="s">
        <v>271</v>
      </c>
      <c r="AI18" s="194" t="s">
        <v>256</v>
      </c>
      <c r="AJ18" s="194" t="s">
        <v>258</v>
      </c>
      <c r="AK18" s="194" t="s">
        <v>271</v>
      </c>
      <c r="AL18" s="194" t="s">
        <v>256</v>
      </c>
      <c r="AM18" s="194" t="s">
        <v>258</v>
      </c>
      <c r="AN18" s="194" t="s">
        <v>271</v>
      </c>
      <c r="AO18" s="194" t="s">
        <v>256</v>
      </c>
      <c r="AP18" s="196" t="s">
        <v>273</v>
      </c>
      <c r="AQ18" s="194" t="s">
        <v>255</v>
      </c>
      <c r="AR18" s="204" t="s">
        <v>256</v>
      </c>
      <c r="AS18" s="196" t="s">
        <v>273</v>
      </c>
      <c r="AT18" s="194" t="s">
        <v>255</v>
      </c>
      <c r="AU18" s="204" t="s">
        <v>256</v>
      </c>
      <c r="AV18" s="225"/>
      <c r="AX18" s="98" t="s">
        <v>535</v>
      </c>
      <c r="AY18" s="98" t="s">
        <v>536</v>
      </c>
    </row>
    <row r="19" spans="1:51" x14ac:dyDescent="0.2">
      <c r="N19" s="170">
        <v>1</v>
      </c>
      <c r="O19" s="199">
        <f>10^(1+(N19/100))</f>
        <v>10.232929922807543</v>
      </c>
      <c r="P19" s="189" t="str">
        <f t="shared" ref="P19:P82" si="32">COMPLEX(Adc,0)</f>
        <v>771.276595744681</v>
      </c>
      <c r="Q19" s="160" t="str">
        <f t="shared" ref="Q19:Q82" si="33">IMSUM(COMPLEX(1,0),IMDIV(COMPLEX(0,2*PI()*O19),COMPLEX(wp_lf,0)))</f>
        <v>1+0.568371291272985i</v>
      </c>
      <c r="R19" s="160">
        <f>IMABS(Q19)</f>
        <v>1.150237334093847</v>
      </c>
      <c r="S19" s="160">
        <f>IMARGUMENT(Q19)</f>
        <v>0.51683836018036611</v>
      </c>
      <c r="T19" s="160" t="str">
        <f t="shared" ref="T19:T82" si="34">IMSUM(COMPLEX(1,0),IMDIV(COMPLEX(0,2*PI()*O19),COMPLEX(wz_esr,0)))</f>
        <v>1+0.0000106987537180797i</v>
      </c>
      <c r="U19" s="160">
        <f>IMABS(T19)</f>
        <v>1.0000000000572316</v>
      </c>
      <c r="V19" s="160">
        <f>IMARGUMENT(T19)</f>
        <v>1.0698753717671495E-5</v>
      </c>
      <c r="W19" s="98" t="str">
        <f t="shared" ref="W19:W82" si="35">IMSUB(COMPLEX(1,0),IMDIV(COMPLEX(0,2*PI()*O19),COMPLEX(wz_rhp,0)))</f>
        <v>1-0.0000437208685594602i</v>
      </c>
      <c r="X19" s="160">
        <f>IMABS(W19)</f>
        <v>1.000000000955757</v>
      </c>
      <c r="Y19" s="160">
        <f>IMARGUMENT(W19)</f>
        <v>-4.3720868531602515E-5</v>
      </c>
      <c r="Z19" s="98" t="str">
        <f t="shared" ref="Z19:Z82" si="36">IF(Dc_Mode_Loop="CCM",IMSUM(COMPLEX(1,0),IMDIV(COMPLEX(0,2*PI()*O19),COMPLEX(Q*(wsl/2),0)),IMDIV(IMPOWER(COMPLEX(0,2*PI()*O19),2),IMPOWER(COMPLEX(wsl/2,0),2))),COMPLEX(1,0))</f>
        <v>0.999999958114858-0.000299348575885073i</v>
      </c>
      <c r="AA19" s="160">
        <f>IMABS(Z19)</f>
        <v>1.0000000029196439</v>
      </c>
      <c r="AB19" s="160">
        <f>IMARGUMENT(Z19)</f>
        <v>-2.9934857948183145E-4</v>
      </c>
      <c r="AC19" s="171" t="str">
        <f>(IMDIV(IMPRODUCT(P19,T19,W19),IMPRODUCT(Q19,Z19)))</f>
        <v>583.043492608913-331.179771396235i</v>
      </c>
      <c r="AD19" s="190">
        <f>20*LOG(IMABS(AC19))</f>
        <v>56.528453848787009</v>
      </c>
      <c r="AE19" s="169">
        <f>(180/PI())*IMARGUMENT(AC19)</f>
        <v>-29.597397346399315</v>
      </c>
      <c r="AF19" s="98" t="str">
        <f t="shared" ref="AF19:AF82" si="37">COMPLEX(Adc_ea,0)</f>
        <v>-0.0000119284294234592</v>
      </c>
      <c r="AG19" s="98" t="str">
        <f t="shared" ref="AG19:AG82" si="38">COMPLEX(0,2*PI()*O19*wp0_ea)</f>
        <v>1.15943885695992E-06i</v>
      </c>
      <c r="AH19" s="98">
        <f>IMABS(AG19)</f>
        <v>1.15943885695992E-6</v>
      </c>
      <c r="AI19" s="98">
        <f>IMARGUMENT(AG19)</f>
        <v>1.5707963267948966</v>
      </c>
      <c r="AJ19" s="98" t="str">
        <f t="shared" ref="AJ19:AJ82" si="39">IMSUM(COMPLEX(1,0),IMDIV(COMPLEX(0,2*PI()*O19),COMPLEX(wp1_ea,0)))</f>
        <v>1+0.0000635359584005779i</v>
      </c>
      <c r="AK19" s="98">
        <f>IMABS(AJ19)</f>
        <v>1.000000002018409</v>
      </c>
      <c r="AL19" s="98">
        <f>IMARGUMENT(AJ19)</f>
        <v>6.3535958315083532E-5</v>
      </c>
      <c r="AM19" s="98" t="str">
        <f t="shared" ref="AM19:AM82" si="40">IMSUM(COMPLEX(1,0),IMDIV(COMPLEX(0,2*PI()*O19),COMPLEX(wz_ea,0)))</f>
        <v>1+0.0347195132678067i</v>
      </c>
      <c r="AN19" s="98">
        <f>IMABS(AM19)</f>
        <v>1.0006025407730852</v>
      </c>
      <c r="AO19" s="98">
        <f>IMARGUMENT(AM19)</f>
        <v>3.4705572532676421E-2</v>
      </c>
      <c r="AP19" s="168" t="str">
        <f>IMPRODUCT(AF19,IMDIV(AM19,IMPRODUCT(AG19,AJ19)))</f>
        <v>-0.356544353577551+10.2881282760812i</v>
      </c>
      <c r="AQ19" s="98">
        <f>20*LOG(IMABS(AP19))</f>
        <v>20.251940294655796</v>
      </c>
      <c r="AR19" s="169">
        <f>(180/PI())*IMARGUMENT(AP19)</f>
        <v>91.984842489448724</v>
      </c>
      <c r="AS19" s="168" t="str">
        <f>IMPRODUCT(AC19,AP19)</f>
        <v>3199.33910538787+6116.50652000533i</v>
      </c>
      <c r="AT19" s="190">
        <f>20*LOG(IMABS(AS19))</f>
        <v>76.780394143442805</v>
      </c>
      <c r="AU19" s="169">
        <f>(180/PI())*IMARGUMENT(AS19)</f>
        <v>62.38744514304944</v>
      </c>
      <c r="AV19" s="225"/>
      <c r="AX19">
        <f>SUM((AT20&lt;0)*(AT19&gt;0))*O19</f>
        <v>0</v>
      </c>
      <c r="AY19">
        <f>IF(AX19&gt;0,AU19,0)</f>
        <v>0</v>
      </c>
    </row>
    <row r="20" spans="1:51" x14ac:dyDescent="0.2">
      <c r="A20" s="98" t="s">
        <v>31</v>
      </c>
      <c r="B20" s="205">
        <f>VOUT</f>
        <v>170</v>
      </c>
      <c r="C20" s="98" t="s">
        <v>10</v>
      </c>
      <c r="E20" s="98" t="s">
        <v>206</v>
      </c>
      <c r="N20" s="170">
        <v>2</v>
      </c>
      <c r="O20" s="199">
        <f t="shared" ref="O20:O83" si="41">10^(1+(N20/100))</f>
        <v>10.471285480509</v>
      </c>
      <c r="P20" s="189" t="str">
        <f t="shared" si="32"/>
        <v>771.276595744681</v>
      </c>
      <c r="Q20" s="160" t="str">
        <f t="shared" si="33"/>
        <v>1+0.581610359373209i</v>
      </c>
      <c r="R20" s="160">
        <f t="shared" ref="R20:R83" si="42">IMABS(Q20)</f>
        <v>1.156836466459384</v>
      </c>
      <c r="S20" s="160">
        <f t="shared" ref="S20:S83" si="43">IMARGUMENT(Q20)</f>
        <v>0.52678794942046148</v>
      </c>
      <c r="T20" s="160" t="str">
        <f t="shared" si="34"/>
        <v>1+0.0000109479597058486i</v>
      </c>
      <c r="U20" s="160">
        <f t="shared" ref="U20:U83" si="44">IMABS(T20)</f>
        <v>1.000000000059929</v>
      </c>
      <c r="V20" s="160">
        <f t="shared" ref="V20:V83" si="45">IMARGUMENT(T20)</f>
        <v>1.09479597054112E-5</v>
      </c>
      <c r="W20" s="98" t="str">
        <f t="shared" si="35"/>
        <v>1-0.0000447392584133236i</v>
      </c>
      <c r="X20" s="160">
        <f t="shared" ref="X20:X83" si="46">IMABS(W20)</f>
        <v>1.0000000010008006</v>
      </c>
      <c r="Y20" s="160">
        <f t="shared" ref="Y20:Y83" si="47">IMARGUMENT(W20)</f>
        <v>-4.4739258383473552E-5</v>
      </c>
      <c r="Z20" s="98" t="str">
        <f t="shared" si="36"/>
        <v>0.999999956140872-0.000306321299952419i</v>
      </c>
      <c r="AA20" s="160">
        <f t="shared" ref="AA20:AA83" si="48">IMABS(Z20)</f>
        <v>1.0000000030572425</v>
      </c>
      <c r="AB20" s="160">
        <f t="shared" ref="AB20:AB83" si="49">IMARGUMENT(Z20)</f>
        <v>-3.0632130380641516E-4</v>
      </c>
      <c r="AC20" s="171" t="str">
        <f t="shared" ref="AC20:AC83" si="50">(IMDIV(IMPRODUCT(P20,T20,W20),IMPRODUCT(Q20,Z20)))</f>
        <v>576.414674207946-335.038549802502i</v>
      </c>
      <c r="AD20" s="190">
        <f t="shared" ref="AD20:AD83" si="51">20*LOG(IMABS(AC20))</f>
        <v>56.478763637188933</v>
      </c>
      <c r="AE20" s="169">
        <f t="shared" ref="AE20:AE83" si="52">(180/PI())*IMARGUMENT(AC20)</f>
        <v>-30.167111381058948</v>
      </c>
      <c r="AF20" s="98" t="str">
        <f t="shared" si="37"/>
        <v>-0.0000119284294234592</v>
      </c>
      <c r="AG20" s="98" t="str">
        <f t="shared" si="38"/>
        <v>0.0000011864456573051i</v>
      </c>
      <c r="AH20" s="98">
        <f t="shared" ref="AH20:AH83" si="53">IMABS(AG20)</f>
        <v>1.1864456573050999E-6</v>
      </c>
      <c r="AI20" s="98">
        <f t="shared" ref="AI20:AI83" si="54">IMARGUMENT(AG20)</f>
        <v>1.5707963267948966</v>
      </c>
      <c r="AJ20" s="98" t="str">
        <f t="shared" si="39"/>
        <v>1+0.0000650159009891529i</v>
      </c>
      <c r="AK20" s="98">
        <f t="shared" ref="AK20:AK83" si="55">IMABS(AJ20)</f>
        <v>1.0000000021135336</v>
      </c>
      <c r="AL20" s="98">
        <f t="shared" ref="AL20:AL83" si="56">IMARGUMENT(AJ20)</f>
        <v>6.5015900897544038E-5</v>
      </c>
      <c r="AM20" s="98" t="str">
        <f t="shared" si="40"/>
        <v>1+0.0355282346223453i</v>
      </c>
      <c r="AN20" s="98">
        <f t="shared" ref="AN20:AN83" si="57">IMABS(AM20)</f>
        <v>1.0006309286921828</v>
      </c>
      <c r="AO20" s="98">
        <f t="shared" ref="AO20:AO83" si="58">IMARGUMENT(AM20)</f>
        <v>3.5513297364171734E-2</v>
      </c>
      <c r="AP20" s="168" t="str">
        <f t="shared" ref="AP20:AP83" si="59">IMPRODUCT(AF20,IMDIV(AM20,IMPRODUCT(AG20,AJ20)))</f>
        <v>-0.356544353509716+10.0539429286736i</v>
      </c>
      <c r="AQ20" s="98">
        <f t="shared" ref="AQ20:AQ83" si="60">20*LOG(IMABS(AP20))</f>
        <v>20.052186716184593</v>
      </c>
      <c r="AR20" s="169">
        <f t="shared" ref="AR20:AR83" si="61">(180/PI())*IMARGUMENT(AP20)</f>
        <v>92.031036918837444</v>
      </c>
      <c r="AS20" s="168" t="str">
        <f t="shared" ref="AS20:AS83" si="62">IMPRODUCT(AC20,AP20)</f>
        <v>3162.94106125094+5914.69634087684i</v>
      </c>
      <c r="AT20" s="190">
        <f t="shared" ref="AT20:AT83" si="63">20*LOG(IMABS(AS20))</f>
        <v>76.530950353373527</v>
      </c>
      <c r="AU20" s="169">
        <f t="shared" ref="AU20:AU83" si="64">(180/PI())*IMARGUMENT(AS20)</f>
        <v>61.863925537778471</v>
      </c>
      <c r="AV20" s="225"/>
      <c r="AX20">
        <f t="shared" ref="AX20:AX83" si="65">SUM((AT21&lt;0)*(AT20&gt;0))*O20</f>
        <v>0</v>
      </c>
      <c r="AY20">
        <f t="shared" ref="AY20:AY83" si="66">IF(AX20&gt;0,AU20,0)</f>
        <v>0</v>
      </c>
    </row>
    <row r="21" spans="1:51" x14ac:dyDescent="0.2">
      <c r="A21" s="98" t="s">
        <v>33</v>
      </c>
      <c r="B21" s="205">
        <f>IOUT</f>
        <v>0.01</v>
      </c>
      <c r="C21" s="98" t="s">
        <v>11</v>
      </c>
      <c r="E21" s="98" t="s">
        <v>34</v>
      </c>
      <c r="N21" s="170">
        <v>3</v>
      </c>
      <c r="O21" s="199">
        <f t="shared" si="41"/>
        <v>10.715193052376069</v>
      </c>
      <c r="P21" s="189" t="str">
        <f t="shared" si="32"/>
        <v>771.276595744681</v>
      </c>
      <c r="Q21" s="160" t="str">
        <f t="shared" si="33"/>
        <v>1+0.595157804984496i</v>
      </c>
      <c r="R21" s="160">
        <f t="shared" si="42"/>
        <v>1.1637064977192331</v>
      </c>
      <c r="S21" s="160">
        <f t="shared" si="43"/>
        <v>0.53685145558836178</v>
      </c>
      <c r="T21" s="160" t="str">
        <f t="shared" si="34"/>
        <v>1+0.000011202970446767i</v>
      </c>
      <c r="U21" s="160">
        <f t="shared" si="44"/>
        <v>1.0000000000627531</v>
      </c>
      <c r="V21" s="160">
        <f t="shared" si="45"/>
        <v>1.1202970446298318E-5</v>
      </c>
      <c r="W21" s="98" t="str">
        <f t="shared" si="35"/>
        <v>1-0.0000457813696141918i</v>
      </c>
      <c r="X21" s="160">
        <f t="shared" si="46"/>
        <v>1.0000000010479668</v>
      </c>
      <c r="Y21" s="160">
        <f t="shared" si="47"/>
        <v>-4.5781369582206894E-5</v>
      </c>
      <c r="Z21" s="98" t="str">
        <f t="shared" si="36"/>
        <v>0.999999954073855-0.000313456439627641i</v>
      </c>
      <c r="AA21" s="160">
        <f t="shared" si="48"/>
        <v>1.0000000032013259</v>
      </c>
      <c r="AB21" s="160">
        <f t="shared" si="49"/>
        <v>-3.1345644375727218E-4</v>
      </c>
      <c r="AC21" s="171" t="str">
        <f t="shared" si="50"/>
        <v>569.633199874368-338.806552777879i</v>
      </c>
      <c r="AD21" s="190">
        <f t="shared" si="51"/>
        <v>56.42733385584846</v>
      </c>
      <c r="AE21" s="169">
        <f t="shared" si="52"/>
        <v>-30.743344095712516</v>
      </c>
      <c r="AF21" s="98" t="str">
        <f t="shared" si="37"/>
        <v>-0.0000119284294234592</v>
      </c>
      <c r="AG21" s="98" t="str">
        <f t="shared" si="38"/>
        <v>1.21408152684224E-06i</v>
      </c>
      <c r="AH21" s="98">
        <f t="shared" si="53"/>
        <v>1.2140815268422401E-6</v>
      </c>
      <c r="AI21" s="98">
        <f t="shared" si="54"/>
        <v>1.5707963267948966</v>
      </c>
      <c r="AJ21" s="98" t="str">
        <f t="shared" si="39"/>
        <v>1+0.0000665303158690195i</v>
      </c>
      <c r="AK21" s="98">
        <f t="shared" si="55"/>
        <v>1.0000000022131414</v>
      </c>
      <c r="AL21" s="98">
        <f t="shared" si="56"/>
        <v>6.653031577085883E-5</v>
      </c>
      <c r="AM21" s="98" t="str">
        <f t="shared" si="40"/>
        <v>1+0.0363557935171524i</v>
      </c>
      <c r="AN21" s="98">
        <f t="shared" si="57"/>
        <v>1.0006606536295219</v>
      </c>
      <c r="AO21" s="98">
        <f t="shared" si="58"/>
        <v>3.6339788527316903E-2</v>
      </c>
      <c r="AP21" s="168" t="str">
        <f t="shared" si="59"/>
        <v>-0.356544353438687+9.82508831488659i</v>
      </c>
      <c r="AQ21" s="98">
        <f t="shared" si="60"/>
        <v>19.85244473621707</v>
      </c>
      <c r="AR21" s="169">
        <f t="shared" si="61"/>
        <v>92.078304604709842</v>
      </c>
      <c r="AS21" s="168" t="str">
        <f t="shared" si="62"/>
        <v>3125.70480175853+5717.49605915809i</v>
      </c>
      <c r="AT21" s="190">
        <f t="shared" si="63"/>
        <v>76.27977859206554</v>
      </c>
      <c r="AU21" s="169">
        <f t="shared" si="64"/>
        <v>61.334960508997327</v>
      </c>
      <c r="AV21" s="225"/>
      <c r="AX21">
        <f t="shared" si="65"/>
        <v>0</v>
      </c>
      <c r="AY21">
        <f t="shared" si="66"/>
        <v>0</v>
      </c>
    </row>
    <row r="22" spans="1:51" x14ac:dyDescent="0.2">
      <c r="N22" s="170">
        <v>4</v>
      </c>
      <c r="O22" s="199">
        <f t="shared" si="41"/>
        <v>10.964781961431854</v>
      </c>
      <c r="P22" s="189" t="str">
        <f t="shared" si="32"/>
        <v>771.276595744681</v>
      </c>
      <c r="Q22" s="160" t="str">
        <f t="shared" si="33"/>
        <v>1+0.60902081114183i</v>
      </c>
      <c r="R22" s="160">
        <f t="shared" si="42"/>
        <v>1.1708570999075218</v>
      </c>
      <c r="S22" s="160">
        <f t="shared" si="43"/>
        <v>0.54702606054941483</v>
      </c>
      <c r="T22" s="160" t="str">
        <f t="shared" si="34"/>
        <v>1+0.000011463921150905i</v>
      </c>
      <c r="U22" s="160">
        <f t="shared" si="44"/>
        <v>1.0000000000657108</v>
      </c>
      <c r="V22" s="160">
        <f t="shared" si="45"/>
        <v>1.1463921150402798E-5</v>
      </c>
      <c r="W22" s="98" t="str">
        <f t="shared" si="35"/>
        <v>1-0.0000468477547032175i</v>
      </c>
      <c r="X22" s="160">
        <f t="shared" si="46"/>
        <v>1.000000001097356</v>
      </c>
      <c r="Y22" s="160">
        <f t="shared" si="47"/>
        <v>-4.6847754668945059E-5</v>
      </c>
      <c r="Z22" s="98" t="str">
        <f t="shared" si="36"/>
        <v>0.999999951909423-0.000320757778056241i</v>
      </c>
      <c r="AA22" s="160">
        <f t="shared" si="48"/>
        <v>1.0000000033522003</v>
      </c>
      <c r="AB22" s="160">
        <f t="shared" si="49"/>
        <v>-3.2075778248122041E-4</v>
      </c>
      <c r="AC22" s="171" t="str">
        <f t="shared" si="50"/>
        <v>562.701172400365-342.47662220133i</v>
      </c>
      <c r="AD22" s="190">
        <f t="shared" si="51"/>
        <v>56.374125164730941</v>
      </c>
      <c r="AE22" s="169">
        <f t="shared" si="52"/>
        <v>-31.325933830290882</v>
      </c>
      <c r="AF22" s="98" t="str">
        <f t="shared" si="37"/>
        <v>-0.0000119284294234592</v>
      </c>
      <c r="AG22" s="98" t="str">
        <f t="shared" si="38"/>
        <v>1.24236111847518E-06i</v>
      </c>
      <c r="AH22" s="98">
        <f t="shared" si="53"/>
        <v>1.2423611184751799E-6</v>
      </c>
      <c r="AI22" s="98">
        <f t="shared" si="54"/>
        <v>1.5707963267948966</v>
      </c>
      <c r="AJ22" s="98" t="str">
        <f t="shared" si="39"/>
        <v>1+0.0000680800060029928i</v>
      </c>
      <c r="AK22" s="98">
        <f t="shared" si="55"/>
        <v>1.0000000023174436</v>
      </c>
      <c r="AL22" s="98">
        <f t="shared" si="56"/>
        <v>6.8080005897811752E-5</v>
      </c>
      <c r="AM22" s="98" t="str">
        <f t="shared" si="40"/>
        <v>1+0.0372026287349081i</v>
      </c>
      <c r="AN22" s="98">
        <f t="shared" si="57"/>
        <v>1.0006917785136378</v>
      </c>
      <c r="AO22" s="98">
        <f t="shared" si="58"/>
        <v>3.7185479719560037E-2</v>
      </c>
      <c r="AP22" s="168" t="str">
        <f t="shared" si="59"/>
        <v>-0.356544353364311+9.60144309297453i</v>
      </c>
      <c r="AQ22" s="98">
        <f t="shared" si="60"/>
        <v>19.652714899929919</v>
      </c>
      <c r="AR22" s="169">
        <f t="shared" si="61"/>
        <v>92.126670350092922</v>
      </c>
      <c r="AS22" s="168" t="str">
        <f t="shared" si="62"/>
        <v>3087.64187308938+5524.85139095732i</v>
      </c>
      <c r="AT22" s="190">
        <f t="shared" si="63"/>
        <v>76.02684006466086</v>
      </c>
      <c r="AU22" s="169">
        <f t="shared" si="64"/>
        <v>60.800736519802037</v>
      </c>
      <c r="AV22" s="225"/>
      <c r="AX22">
        <f t="shared" si="65"/>
        <v>0</v>
      </c>
      <c r="AY22">
        <f t="shared" si="66"/>
        <v>0</v>
      </c>
    </row>
    <row r="23" spans="1:51" x14ac:dyDescent="0.2">
      <c r="A23" s="98" t="s">
        <v>207</v>
      </c>
      <c r="N23" s="170">
        <v>5</v>
      </c>
      <c r="O23" s="199">
        <f t="shared" si="41"/>
        <v>11.220184543019636</v>
      </c>
      <c r="P23" s="189" t="str">
        <f t="shared" si="32"/>
        <v>771.276595744681</v>
      </c>
      <c r="Q23" s="160" t="str">
        <f t="shared" si="33"/>
        <v>1+0.623206728194575i</v>
      </c>
      <c r="R23" s="160">
        <f t="shared" si="42"/>
        <v>1.1782981906406318</v>
      </c>
      <c r="S23" s="160">
        <f t="shared" si="43"/>
        <v>0.55730873212460741</v>
      </c>
      <c r="T23" s="160" t="str">
        <f t="shared" si="34"/>
        <v>1+0.0000117309501777802i</v>
      </c>
      <c r="U23" s="160">
        <f t="shared" si="44"/>
        <v>1.0000000000688076</v>
      </c>
      <c r="V23" s="160">
        <f t="shared" si="45"/>
        <v>1.1730950177242081E-5</v>
      </c>
      <c r="W23" s="98" t="str">
        <f t="shared" si="35"/>
        <v>1-0.0000479389790918902i</v>
      </c>
      <c r="X23" s="160">
        <f t="shared" si="46"/>
        <v>1.0000000011490728</v>
      </c>
      <c r="Y23" s="160">
        <f t="shared" si="47"/>
        <v>-4.7938979055166611E-5</v>
      </c>
      <c r="Z23" s="98" t="str">
        <f t="shared" si="36"/>
        <v>0.999999949642984-0.000328229186504497i</v>
      </c>
      <c r="AA23" s="160">
        <f t="shared" si="48"/>
        <v>1.0000000035101846</v>
      </c>
      <c r="AB23" s="160">
        <f t="shared" si="49"/>
        <v>-3.2822919124594787E-4</v>
      </c>
      <c r="AC23" s="171" t="str">
        <f t="shared" si="50"/>
        <v>555.621115104534-346.04158817584i</v>
      </c>
      <c r="AD23" s="190">
        <f t="shared" si="51"/>
        <v>56.31909882367075</v>
      </c>
      <c r="AE23" s="169">
        <f t="shared" si="52"/>
        <v>-31.914706656394863</v>
      </c>
      <c r="AF23" s="98" t="str">
        <f t="shared" si="37"/>
        <v>-0.0000119284294234592</v>
      </c>
      <c r="AG23" s="98" t="str">
        <f t="shared" si="38"/>
        <v>1.27129942641773E-06i</v>
      </c>
      <c r="AH23" s="98">
        <f t="shared" si="53"/>
        <v>1.27129942641773E-6</v>
      </c>
      <c r="AI23" s="98">
        <f t="shared" si="54"/>
        <v>1.5707963267948966</v>
      </c>
      <c r="AJ23" s="98" t="str">
        <f t="shared" si="39"/>
        <v>1+0.0000696657930572941i</v>
      </c>
      <c r="AK23" s="98">
        <f t="shared" si="55"/>
        <v>1.0000000024266613</v>
      </c>
      <c r="AL23" s="98">
        <f t="shared" si="56"/>
        <v>6.9665792944590581E-5</v>
      </c>
      <c r="AM23" s="98" t="str">
        <f t="shared" si="40"/>
        <v>1+0.0380691892788541i</v>
      </c>
      <c r="AN23" s="98">
        <f t="shared" si="57"/>
        <v>1.0007243692307835</v>
      </c>
      <c r="AO23" s="98">
        <f t="shared" si="58"/>
        <v>3.8050814496139486E-2</v>
      </c>
      <c r="AP23" s="168" t="str">
        <f t="shared" si="59"/>
        <v>-0.356544353286431+9.38288868328049i</v>
      </c>
      <c r="AQ23" s="98">
        <f t="shared" si="60"/>
        <v>19.452997778054375</v>
      </c>
      <c r="AR23" s="169">
        <f t="shared" si="61"/>
        <v>92.176159521751842</v>
      </c>
      <c r="AS23" s="168" t="str">
        <f t="shared" si="62"/>
        <v>3048.76613048226+5336.71024737238i</v>
      </c>
      <c r="AT23" s="190">
        <f t="shared" si="63"/>
        <v>75.772096601725124</v>
      </c>
      <c r="AU23" s="169">
        <f t="shared" si="64"/>
        <v>60.261452865357022</v>
      </c>
      <c r="AV23" s="225"/>
      <c r="AX23">
        <f t="shared" si="65"/>
        <v>0</v>
      </c>
      <c r="AY23">
        <f t="shared" si="66"/>
        <v>0</v>
      </c>
    </row>
    <row r="24" spans="1:51" x14ac:dyDescent="0.2">
      <c r="A24" s="98" t="s">
        <v>208</v>
      </c>
      <c r="B24" s="205">
        <f>Lm</f>
        <v>9.9999999999999991E-6</v>
      </c>
      <c r="C24" s="98" t="s">
        <v>98</v>
      </c>
      <c r="E24" s="98" t="s">
        <v>209</v>
      </c>
      <c r="N24" s="170">
        <v>6</v>
      </c>
      <c r="O24" s="199">
        <f t="shared" si="41"/>
        <v>11.481536214968834</v>
      </c>
      <c r="P24" s="189" t="str">
        <f t="shared" si="32"/>
        <v>771.276595744681</v>
      </c>
      <c r="Q24" s="160" t="str">
        <f t="shared" si="33"/>
        <v>1+0.637723077703726i</v>
      </c>
      <c r="R24" s="160">
        <f t="shared" si="42"/>
        <v>1.1860399334912433</v>
      </c>
      <c r="S24" s="160">
        <f t="shared" si="43"/>
        <v>0.5676962241561031</v>
      </c>
      <c r="T24" s="160" t="str">
        <f t="shared" si="34"/>
        <v>1+0.0000120041991097172i</v>
      </c>
      <c r="U24" s="160">
        <f t="shared" si="44"/>
        <v>1.0000000000720504</v>
      </c>
      <c r="V24" s="160">
        <f t="shared" si="45"/>
        <v>1.2004199109140597E-5</v>
      </c>
      <c r="W24" s="98" t="str">
        <f t="shared" si="35"/>
        <v>1-0.0000490556213618248i</v>
      </c>
      <c r="X24" s="160">
        <f t="shared" si="46"/>
        <v>1.0000000012032269</v>
      </c>
      <c r="Y24" s="160">
        <f t="shared" si="47"/>
        <v>-4.905562132247477E-5</v>
      </c>
      <c r="Z24" s="98" t="str">
        <f t="shared" si="36"/>
        <v>0.99999994726973-0.000335874626412064i</v>
      </c>
      <c r="AA24" s="160">
        <f t="shared" si="48"/>
        <v>1.0000000036756136</v>
      </c>
      <c r="AB24" s="160">
        <f t="shared" si="49"/>
        <v>-3.3587463149262046E-4</v>
      </c>
      <c r="AC24" s="171" t="str">
        <f t="shared" si="50"/>
        <v>548.395980602987-349.49429720689i</v>
      </c>
      <c r="AD24" s="190">
        <f t="shared" si="51"/>
        <v>56.262216802650698</v>
      </c>
      <c r="AE24" s="169">
        <f t="shared" si="52"/>
        <v>-32.509476380945138</v>
      </c>
      <c r="AF24" s="98" t="str">
        <f t="shared" si="37"/>
        <v>-0.0000119284294234592</v>
      </c>
      <c r="AG24" s="98" t="str">
        <f t="shared" si="38"/>
        <v>1.30091179414381E-06i</v>
      </c>
      <c r="AH24" s="98">
        <f t="shared" si="53"/>
        <v>1.30091179414381E-6</v>
      </c>
      <c r="AI24" s="98">
        <f t="shared" si="54"/>
        <v>1.5707963267948966</v>
      </c>
      <c r="AJ24" s="98" t="str">
        <f t="shared" si="39"/>
        <v>1+0.0000712885178372103i</v>
      </c>
      <c r="AK24" s="98">
        <f t="shared" si="55"/>
        <v>1.0000000025410263</v>
      </c>
      <c r="AL24" s="98">
        <f t="shared" si="56"/>
        <v>7.1288517716446291E-5</v>
      </c>
      <c r="AM24" s="98" t="str">
        <f t="shared" si="40"/>
        <v>1+0.038955934610861i</v>
      </c>
      <c r="AN24" s="98">
        <f t="shared" si="57"/>
        <v>1.0007584947635497</v>
      </c>
      <c r="AO24" s="98">
        <f t="shared" si="58"/>
        <v>3.8936246482318075E-2</v>
      </c>
      <c r="AP24" s="168" t="str">
        <f t="shared" si="59"/>
        <v>-0.356544353204877+9.16930920536349i</v>
      </c>
      <c r="AQ24" s="98">
        <f t="shared" si="60"/>
        <v>19.25329396806697</v>
      </c>
      <c r="AR24" s="169">
        <f t="shared" si="61"/>
        <v>92.226798062325031</v>
      </c>
      <c r="AS24" s="168" t="str">
        <f t="shared" si="62"/>
        <v>3009.09378639693+5153.02253127373i</v>
      </c>
      <c r="AT24" s="190">
        <f t="shared" si="63"/>
        <v>75.515510770717668</v>
      </c>
      <c r="AU24" s="169">
        <f t="shared" si="64"/>
        <v>59.717321681379929</v>
      </c>
      <c r="AV24" s="225"/>
      <c r="AX24">
        <f t="shared" si="65"/>
        <v>0</v>
      </c>
      <c r="AY24">
        <f t="shared" si="66"/>
        <v>0</v>
      </c>
    </row>
    <row r="25" spans="1:51" x14ac:dyDescent="0.2">
      <c r="N25" s="170">
        <v>7</v>
      </c>
      <c r="O25" s="199">
        <f t="shared" si="41"/>
        <v>11.748975549395301</v>
      </c>
      <c r="P25" s="189" t="str">
        <f t="shared" si="32"/>
        <v>771.276595744681</v>
      </c>
      <c r="Q25" s="160" t="str">
        <f t="shared" si="33"/>
        <v>1+0.652577556429938i</v>
      </c>
      <c r="R25" s="160">
        <f t="shared" si="42"/>
        <v>1.1940927380886581</v>
      </c>
      <c r="S25" s="160">
        <f t="shared" si="43"/>
        <v>0.57818507743498737</v>
      </c>
      <c r="T25" s="160" t="str">
        <f t="shared" si="34"/>
        <v>1+0.0000122838128269164i</v>
      </c>
      <c r="U25" s="160">
        <f t="shared" si="44"/>
        <v>1.0000000000754459</v>
      </c>
      <c r="V25" s="160">
        <f t="shared" si="45"/>
        <v>1.2283812826298557E-5</v>
      </c>
      <c r="W25" s="98" t="str">
        <f t="shared" si="35"/>
        <v>1-0.0000501982735715334i</v>
      </c>
      <c r="X25" s="160">
        <f t="shared" si="46"/>
        <v>1.0000000012599333</v>
      </c>
      <c r="Y25" s="160">
        <f t="shared" si="47"/>
        <v>-5.019827352936908E-5</v>
      </c>
      <c r="Z25" s="98" t="str">
        <f t="shared" si="36"/>
        <v>0.999999944784629-0.000343698151492382i</v>
      </c>
      <c r="AA25" s="160">
        <f t="shared" si="48"/>
        <v>1.0000000038488401</v>
      </c>
      <c r="AB25" s="160">
        <f t="shared" si="49"/>
        <v>-3.4369815693629624E-4</v>
      </c>
      <c r="AC25" s="171" t="str">
        <f t="shared" si="50"/>
        <v>541.029157465137-352.827641731951i</v>
      </c>
      <c r="AD25" s="190">
        <f t="shared" si="51"/>
        <v>56.203441894086687</v>
      </c>
      <c r="AE25" s="169">
        <f t="shared" si="52"/>
        <v>-33.110044599231436</v>
      </c>
      <c r="AF25" s="98" t="str">
        <f t="shared" si="37"/>
        <v>-0.0000119284294234592</v>
      </c>
      <c r="AG25" s="98" t="str">
        <f t="shared" si="38"/>
        <v>1.33121392252274E-06i</v>
      </c>
      <c r="AH25" s="98">
        <f t="shared" si="53"/>
        <v>1.33121392252274E-6</v>
      </c>
      <c r="AI25" s="98">
        <f t="shared" si="54"/>
        <v>1.5707963267948966</v>
      </c>
      <c r="AJ25" s="98" t="str">
        <f t="shared" si="39"/>
        <v>1+0.0000729490407328989i</v>
      </c>
      <c r="AK25" s="98">
        <f t="shared" si="55"/>
        <v>1.0000000026607812</v>
      </c>
      <c r="AL25" s="98">
        <f t="shared" si="56"/>
        <v>7.2949040603497936E-5</v>
      </c>
      <c r="AM25" s="98" t="str">
        <f t="shared" si="40"/>
        <v>1+0.0398633348950414i</v>
      </c>
      <c r="AN25" s="98">
        <f t="shared" si="57"/>
        <v>1.0007942273359465</v>
      </c>
      <c r="AO25" s="98">
        <f t="shared" si="58"/>
        <v>3.9842239589329261E-2</v>
      </c>
      <c r="AP25" s="168" t="str">
        <f t="shared" si="59"/>
        <v>-0.356544353119483+8.96059141655739i</v>
      </c>
      <c r="AQ25" s="98">
        <f t="shared" si="60"/>
        <v>19.05360409543556</v>
      </c>
      <c r="AR25" s="169">
        <f t="shared" si="61"/>
        <v>92.278612502671493</v>
      </c>
      <c r="AS25" s="168" t="str">
        <f t="shared" si="62"/>
        <v>2968.64344706032+4973.73992777337i</v>
      </c>
      <c r="AT25" s="190">
        <f t="shared" si="63"/>
        <v>75.25704598952224</v>
      </c>
      <c r="AU25" s="169">
        <f t="shared" si="64"/>
        <v>59.168567903440049</v>
      </c>
      <c r="AV25" s="225"/>
      <c r="AX25">
        <f t="shared" si="65"/>
        <v>0</v>
      </c>
      <c r="AY25">
        <f t="shared" si="66"/>
        <v>0</v>
      </c>
    </row>
    <row r="26" spans="1:51" x14ac:dyDescent="0.2">
      <c r="A26" s="98" t="s">
        <v>160</v>
      </c>
      <c r="B26" s="205">
        <f>R_cs</f>
        <v>4.7E-2</v>
      </c>
      <c r="C26" s="206" t="s">
        <v>36</v>
      </c>
      <c r="E26" s="98" t="s">
        <v>210</v>
      </c>
      <c r="N26" s="170">
        <v>8</v>
      </c>
      <c r="O26" s="199">
        <f t="shared" si="41"/>
        <v>12.022644346174133</v>
      </c>
      <c r="P26" s="189" t="str">
        <f t="shared" si="32"/>
        <v>771.276595744681</v>
      </c>
      <c r="Q26" s="160" t="str">
        <f t="shared" si="33"/>
        <v>1+0.667778040414453i</v>
      </c>
      <c r="R26" s="160">
        <f t="shared" si="42"/>
        <v>1.2024672599533706</v>
      </c>
      <c r="S26" s="160">
        <f t="shared" si="43"/>
        <v>0.58877162152910123</v>
      </c>
      <c r="T26" s="160" t="str">
        <f t="shared" si="34"/>
        <v>1+0.000012569939584272i</v>
      </c>
      <c r="U26" s="160">
        <f t="shared" si="44"/>
        <v>1.0000000000790017</v>
      </c>
      <c r="V26" s="160">
        <f t="shared" si="45"/>
        <v>1.2569939583609969E-5</v>
      </c>
      <c r="W26" s="98" t="str">
        <f t="shared" si="35"/>
        <v>1-0.0000513675415703423i</v>
      </c>
      <c r="X26" s="160">
        <f t="shared" si="46"/>
        <v>1.0000000013193122</v>
      </c>
      <c r="Y26" s="160">
        <f t="shared" si="47"/>
        <v>-5.1367541525162417E-5</v>
      </c>
      <c r="Z26" s="98" t="str">
        <f t="shared" si="36"/>
        <v>0.999999942182409-0.000351703909882003i</v>
      </c>
      <c r="AA26" s="160">
        <f t="shared" si="48"/>
        <v>1.0000000040302306</v>
      </c>
      <c r="AB26" s="160">
        <f t="shared" si="49"/>
        <v>-3.5170391571526211E-4</v>
      </c>
      <c r="AC26" s="171" t="str">
        <f t="shared" si="50"/>
        <v>533.52447457194-356.034590830898i</v>
      </c>
      <c r="AD26" s="190">
        <f t="shared" si="51"/>
        <v>56.14273782654454</v>
      </c>
      <c r="AE26" s="169">
        <f t="shared" si="52"/>
        <v>-33.716200799528977</v>
      </c>
      <c r="AF26" s="98" t="str">
        <f t="shared" si="37"/>
        <v>-0.0000119284294234592</v>
      </c>
      <c r="AG26" s="98" t="str">
        <f t="shared" si="38"/>
        <v>1.36222187814409E-06i</v>
      </c>
      <c r="AH26" s="98">
        <f t="shared" si="53"/>
        <v>1.3622218781440901E-6</v>
      </c>
      <c r="AI26" s="98">
        <f t="shared" si="54"/>
        <v>1.5707963267948966</v>
      </c>
      <c r="AJ26" s="98" t="str">
        <f t="shared" si="39"/>
        <v>1+0.0000746482421755786i</v>
      </c>
      <c r="AK26" s="98">
        <f t="shared" si="55"/>
        <v>1.00000000278618</v>
      </c>
      <c r="AL26" s="98">
        <f t="shared" si="56"/>
        <v>7.4648242036922982E-5</v>
      </c>
      <c r="AM26" s="98" t="str">
        <f t="shared" si="40"/>
        <v>1+0.0407918712470366i</v>
      </c>
      <c r="AN26" s="98">
        <f t="shared" si="57"/>
        <v>1.0008316425652393</v>
      </c>
      <c r="AO26" s="98">
        <f t="shared" si="58"/>
        <v>4.0769268234033387E-2</v>
      </c>
      <c r="AP26" s="168" t="str">
        <f t="shared" si="59"/>
        <v>-0.356544353030062+8.7566246519278i</v>
      </c>
      <c r="AQ26" s="98">
        <f t="shared" si="60"/>
        <v>18.853928814922142</v>
      </c>
      <c r="AR26" s="169">
        <f t="shared" si="61"/>
        <v>92.331629974430101</v>
      </c>
      <c r="AS26" s="168" t="str">
        <f t="shared" si="62"/>
        <v>2927.43613639691+4798.8156892876i</v>
      </c>
      <c r="AT26" s="190">
        <f t="shared" si="63"/>
        <v>74.996666641466675</v>
      </c>
      <c r="AU26" s="169">
        <f t="shared" si="64"/>
        <v>58.615429174901145</v>
      </c>
      <c r="AV26" s="225"/>
      <c r="AX26">
        <f t="shared" si="65"/>
        <v>0</v>
      </c>
      <c r="AY26">
        <f t="shared" si="66"/>
        <v>0</v>
      </c>
    </row>
    <row r="27" spans="1:51" x14ac:dyDescent="0.2">
      <c r="A27" s="98" t="s">
        <v>161</v>
      </c>
      <c r="B27" s="205">
        <f>R_sl</f>
        <v>0</v>
      </c>
      <c r="C27" s="206" t="s">
        <v>36</v>
      </c>
      <c r="E27" s="98" t="s">
        <v>211</v>
      </c>
      <c r="N27" s="170">
        <v>9</v>
      </c>
      <c r="O27" s="199">
        <f t="shared" si="41"/>
        <v>12.302687708123818</v>
      </c>
      <c r="P27" s="189" t="str">
        <f t="shared" si="32"/>
        <v>771.276595744681</v>
      </c>
      <c r="Q27" s="160" t="str">
        <f t="shared" si="33"/>
        <v>1+0.683332589155084i</v>
      </c>
      <c r="R27" s="160">
        <f t="shared" si="42"/>
        <v>1.2111744000767977</v>
      </c>
      <c r="S27" s="160">
        <f t="shared" si="43"/>
        <v>0.59945197754337987</v>
      </c>
      <c r="T27" s="160" t="str">
        <f t="shared" si="34"/>
        <v>1+0.000012862731089978i</v>
      </c>
      <c r="U27" s="160">
        <f t="shared" si="44"/>
        <v>1.0000000000827249</v>
      </c>
      <c r="V27" s="160">
        <f t="shared" si="45"/>
        <v>1.2862731089268622E-5</v>
      </c>
      <c r="W27" s="98" t="str">
        <f t="shared" si="35"/>
        <v>1-0.0000525640453196216i</v>
      </c>
      <c r="X27" s="160">
        <f t="shared" si="46"/>
        <v>1.0000000013814894</v>
      </c>
      <c r="Y27" s="160">
        <f t="shared" si="47"/>
        <v>-5.256404527121048E-5</v>
      </c>
      <c r="Z27" s="98" t="str">
        <f t="shared" si="36"/>
        <v>0.99999993945755-0.000359896146339996i</v>
      </c>
      <c r="AA27" s="160">
        <f t="shared" si="48"/>
        <v>1.00000000422017</v>
      </c>
      <c r="AB27" s="160">
        <f t="shared" si="49"/>
        <v>-3.5989615259044577E-4</v>
      </c>
      <c r="AC27" s="171" t="str">
        <f t="shared" si="50"/>
        <v>525.886203008364-359.108221922597i</v>
      </c>
      <c r="AD27" s="190">
        <f t="shared" si="51"/>
        <v>56.080069379271563</v>
      </c>
      <c r="AE27" s="169">
        <f t="shared" si="52"/>
        <v>-34.327722521143826</v>
      </c>
      <c r="AF27" s="98" t="str">
        <f t="shared" si="37"/>
        <v>-0.0000119284294234592</v>
      </c>
      <c r="AG27" s="98" t="str">
        <f t="shared" si="38"/>
        <v>1.39395210183638E-06i</v>
      </c>
      <c r="AH27" s="98">
        <f t="shared" si="53"/>
        <v>1.3939521018363799E-6</v>
      </c>
      <c r="AI27" s="98">
        <f t="shared" si="54"/>
        <v>1.5707963267948966</v>
      </c>
      <c r="AJ27" s="98" t="str">
        <f t="shared" si="39"/>
        <v>1+0.0000763870231043463i</v>
      </c>
      <c r="AK27" s="98">
        <f t="shared" si="55"/>
        <v>1.0000000029174887</v>
      </c>
      <c r="AL27" s="98">
        <f t="shared" si="56"/>
        <v>7.6387022955774121E-5</v>
      </c>
      <c r="AM27" s="98" t="str">
        <f t="shared" si="40"/>
        <v>1+0.0417420359891114i</v>
      </c>
      <c r="AN27" s="98">
        <f t="shared" si="57"/>
        <v>1.000870819620852</v>
      </c>
      <c r="AO27" s="98">
        <f t="shared" si="58"/>
        <v>4.1717817562280143E-2</v>
      </c>
      <c r="AP27" s="168" t="str">
        <f t="shared" si="59"/>
        <v>-0.356544352936427+8.55730076559623i</v>
      </c>
      <c r="AQ27" s="98">
        <f t="shared" si="60"/>
        <v>18.654268811946011</v>
      </c>
      <c r="AR27" s="169">
        <f t="shared" si="61"/>
        <v>92.385878222790467</v>
      </c>
      <c r="AS27" s="168" t="str">
        <f t="shared" si="62"/>
        <v>2885.49530642033+4628.20441623951i</v>
      </c>
      <c r="AT27" s="190">
        <f t="shared" si="63"/>
        <v>74.734338191217574</v>
      </c>
      <c r="AU27" s="169">
        <f t="shared" si="64"/>
        <v>58.058155701646619</v>
      </c>
      <c r="AV27" s="225"/>
      <c r="AX27">
        <f t="shared" si="65"/>
        <v>0</v>
      </c>
      <c r="AY27">
        <f t="shared" si="66"/>
        <v>0</v>
      </c>
    </row>
    <row r="28" spans="1:51" x14ac:dyDescent="0.2">
      <c r="A28" s="98" t="s">
        <v>146</v>
      </c>
      <c r="B28" s="207">
        <f>Rsl_int</f>
        <v>1333</v>
      </c>
      <c r="C28" s="206" t="s">
        <v>36</v>
      </c>
      <c r="E28" s="98" t="s">
        <v>212</v>
      </c>
      <c r="N28" s="170">
        <v>10</v>
      </c>
      <c r="O28" s="199">
        <f t="shared" si="41"/>
        <v>12.58925411794168</v>
      </c>
      <c r="P28" s="189" t="str">
        <f t="shared" si="32"/>
        <v>771.276595744681</v>
      </c>
      <c r="Q28" s="160" t="str">
        <f t="shared" si="33"/>
        <v>1+0.699249449879462i</v>
      </c>
      <c r="R28" s="160">
        <f t="shared" si="42"/>
        <v>1.2202253042601314</v>
      </c>
      <c r="S28" s="160">
        <f t="shared" si="43"/>
        <v>0.6102220618389429</v>
      </c>
      <c r="T28" s="160" t="str">
        <f t="shared" si="34"/>
        <v>1+0.0000131623425859663i</v>
      </c>
      <c r="U28" s="160">
        <f t="shared" si="44"/>
        <v>1.0000000000866236</v>
      </c>
      <c r="V28" s="160">
        <f t="shared" si="45"/>
        <v>1.3162342585206186E-5</v>
      </c>
      <c r="W28" s="98" t="str">
        <f t="shared" si="35"/>
        <v>1-0.0000537884192214968i</v>
      </c>
      <c r="X28" s="160">
        <f t="shared" si="46"/>
        <v>1.0000000014465971</v>
      </c>
      <c r="Y28" s="160">
        <f t="shared" si="47"/>
        <v>-5.3788419169623356E-5</v>
      </c>
      <c r="Z28" s="98" t="str">
        <f t="shared" si="36"/>
        <v>0.999999936604272-0.000368279204498566i</v>
      </c>
      <c r="AA28" s="160">
        <f t="shared" si="48"/>
        <v>1.0000000044190602</v>
      </c>
      <c r="AB28" s="160">
        <f t="shared" si="49"/>
        <v>-3.6827921119604357E-4</v>
      </c>
      <c r="AC28" s="171" t="str">
        <f t="shared" si="50"/>
        <v>518.119055339278-362.041753229059i</v>
      </c>
      <c r="AD28" s="190">
        <f t="shared" si="51"/>
        <v>56.015402496882402</v>
      </c>
      <c r="AE28" s="169">
        <f t="shared" si="52"/>
        <v>-34.944375567385059</v>
      </c>
      <c r="AF28" s="98" t="str">
        <f t="shared" si="37"/>
        <v>-0.0000119284294234592</v>
      </c>
      <c r="AG28" s="98" t="str">
        <f t="shared" si="38"/>
        <v>0.0000014264214173842i</v>
      </c>
      <c r="AH28" s="98">
        <f t="shared" si="53"/>
        <v>1.4264214173842001E-6</v>
      </c>
      <c r="AI28" s="98">
        <f t="shared" si="54"/>
        <v>1.5707963267948966</v>
      </c>
      <c r="AJ28" s="98" t="str">
        <f t="shared" si="39"/>
        <v>1+0.0000781663054438657i</v>
      </c>
      <c r="AK28" s="98">
        <f t="shared" si="55"/>
        <v>1.0000000030549856</v>
      </c>
      <c r="AL28" s="98">
        <f t="shared" si="56"/>
        <v>7.8166305284667741E-5</v>
      </c>
      <c r="AM28" s="98" t="str">
        <f t="shared" si="40"/>
        <v>1+0.0427143329111888i</v>
      </c>
      <c r="AN28" s="98">
        <f t="shared" si="57"/>
        <v>1.000911841390663</v>
      </c>
      <c r="AO28" s="98">
        <f t="shared" si="58"/>
        <v>4.2688383675960569E-2</v>
      </c>
      <c r="AP28" s="168" t="str">
        <f t="shared" si="59"/>
        <v>-0.356544352838378+8.36251407339985i</v>
      </c>
      <c r="AQ28" s="98">
        <f t="shared" si="60"/>
        <v>18.454624804009438</v>
      </c>
      <c r="AR28" s="169">
        <f t="shared" si="61"/>
        <v>92.441385619474744</v>
      </c>
      <c r="AS28" s="168" t="str">
        <f t="shared" si="62"/>
        <v>2842.84683325719+4461.86183457687i</v>
      </c>
      <c r="AT28" s="190">
        <f t="shared" si="63"/>
        <v>74.470027300891829</v>
      </c>
      <c r="AU28" s="169">
        <f t="shared" si="64"/>
        <v>57.497010052089642</v>
      </c>
      <c r="AV28" s="225"/>
      <c r="AX28">
        <f t="shared" si="65"/>
        <v>0</v>
      </c>
      <c r="AY28">
        <f t="shared" si="66"/>
        <v>0</v>
      </c>
    </row>
    <row r="29" spans="1:51" x14ac:dyDescent="0.2">
      <c r="A29" s="98" t="s">
        <v>144</v>
      </c>
      <c r="B29" s="207">
        <f>Isl</f>
        <v>2.9999999999999997E-5</v>
      </c>
      <c r="C29" s="206" t="s">
        <v>11</v>
      </c>
      <c r="E29" s="98" t="s">
        <v>213</v>
      </c>
      <c r="N29" s="170">
        <v>11</v>
      </c>
      <c r="O29" s="199">
        <f t="shared" si="41"/>
        <v>12.882495516931346</v>
      </c>
      <c r="P29" s="189" t="str">
        <f t="shared" si="32"/>
        <v>771.276595744681</v>
      </c>
      <c r="Q29" s="160" t="str">
        <f t="shared" si="33"/>
        <v>1+0.715537061917825i</v>
      </c>
      <c r="R29" s="160">
        <f t="shared" si="42"/>
        <v>1.2296313622293444</v>
      </c>
      <c r="S29" s="160">
        <f t="shared" si="43"/>
        <v>0.6210775907303272</v>
      </c>
      <c r="T29" s="160" t="str">
        <f t="shared" si="34"/>
        <v>1+0.0000134689329302178i</v>
      </c>
      <c r="U29" s="160">
        <f t="shared" si="44"/>
        <v>1.0000000000907061</v>
      </c>
      <c r="V29" s="160">
        <f t="shared" si="45"/>
        <v>1.3468932929403323E-5</v>
      </c>
      <c r="W29" s="98" t="str">
        <f t="shared" si="35"/>
        <v>1-0.000055041312455217i</v>
      </c>
      <c r="X29" s="160">
        <f t="shared" si="46"/>
        <v>1.000000001514773</v>
      </c>
      <c r="Y29" s="160">
        <f t="shared" si="47"/>
        <v>-5.5041312399633598E-5</v>
      </c>
      <c r="Z29" s="98" t="str">
        <f t="shared" si="36"/>
        <v>0.999999933616524-0.000376857529166113i</v>
      </c>
      <c r="AA29" s="160">
        <f t="shared" si="48"/>
        <v>1.000000004627325</v>
      </c>
      <c r="AB29" s="160">
        <f t="shared" si="49"/>
        <v>-3.7685753634258929E-4</v>
      </c>
      <c r="AC29" s="171" t="str">
        <f t="shared" si="50"/>
        <v>510.228182138847-364.828576766532i</v>
      </c>
      <c r="AD29" s="190">
        <f t="shared" si="51"/>
        <v>55.948704403503342</v>
      </c>
      <c r="AE29" s="169">
        <f t="shared" si="52"/>
        <v>-35.565914274578915</v>
      </c>
      <c r="AF29" s="98" t="str">
        <f t="shared" si="37"/>
        <v>-0.0000119284294234592</v>
      </c>
      <c r="AG29" s="98" t="str">
        <f t="shared" si="38"/>
        <v>1.45964704044843E-06i</v>
      </c>
      <c r="AH29" s="98">
        <f t="shared" si="53"/>
        <v>1.45964704044843E-6</v>
      </c>
      <c r="AI29" s="98">
        <f t="shared" si="54"/>
        <v>1.5707963267948966</v>
      </c>
      <c r="AJ29" s="98" t="str">
        <f t="shared" si="39"/>
        <v>1+0.0000799870325931846i</v>
      </c>
      <c r="AK29" s="98">
        <f t="shared" si="55"/>
        <v>1.0000000031989627</v>
      </c>
      <c r="AL29" s="98">
        <f t="shared" si="56"/>
        <v>7.9987032422600905E-5</v>
      </c>
      <c r="AM29" s="98" t="str">
        <f t="shared" si="40"/>
        <v>1+0.0437092775379666i</v>
      </c>
      <c r="AN29" s="98">
        <f t="shared" si="57"/>
        <v>1.0009547946550288</v>
      </c>
      <c r="AO29" s="98">
        <f t="shared" si="58"/>
        <v>4.3681473863732209E-2</v>
      </c>
      <c r="AP29" s="168" t="str">
        <f t="shared" si="59"/>
        <v>-0.35654435273571+8.17216129685618i</v>
      </c>
      <c r="AQ29" s="98">
        <f t="shared" si="60"/>
        <v>18.254997542188384</v>
      </c>
      <c r="AR29" s="169">
        <f t="shared" si="61"/>
        <v>92.498181175929275</v>
      </c>
      <c r="AS29" s="168" t="str">
        <f t="shared" si="62"/>
        <v>2799.51899809036+4299.74457140308i</v>
      </c>
      <c r="AT29" s="190">
        <f t="shared" si="63"/>
        <v>74.203701945691719</v>
      </c>
      <c r="AU29" s="169">
        <f t="shared" si="64"/>
        <v>56.932266901350374</v>
      </c>
      <c r="AV29" s="225"/>
      <c r="AX29">
        <f t="shared" si="65"/>
        <v>0</v>
      </c>
      <c r="AY29">
        <f t="shared" si="66"/>
        <v>0</v>
      </c>
    </row>
    <row r="30" spans="1:51" x14ac:dyDescent="0.2">
      <c r="C30" s="206"/>
      <c r="N30" s="170">
        <v>12</v>
      </c>
      <c r="O30" s="199">
        <f t="shared" si="41"/>
        <v>13.182567385564075</v>
      </c>
      <c r="P30" s="189" t="str">
        <f t="shared" si="32"/>
        <v>771.276595744681</v>
      </c>
      <c r="Q30" s="160" t="str">
        <f t="shared" si="33"/>
        <v>1+0.73220406117767i</v>
      </c>
      <c r="R30" s="160">
        <f t="shared" si="42"/>
        <v>1.2394042065464652</v>
      </c>
      <c r="S30" s="160">
        <f t="shared" si="43"/>
        <v>0.63201408617275823</v>
      </c>
      <c r="T30" s="160" t="str">
        <f t="shared" si="34"/>
        <v>1+0.0000137826646809914i</v>
      </c>
      <c r="U30" s="160">
        <f t="shared" si="44"/>
        <v>1.0000000000949809</v>
      </c>
      <c r="V30" s="160">
        <f t="shared" si="45"/>
        <v>1.3782664680118674E-5</v>
      </c>
      <c r="W30" s="98" t="str">
        <f t="shared" si="35"/>
        <v>1-0.000056323389321359i</v>
      </c>
      <c r="X30" s="160">
        <f t="shared" si="46"/>
        <v>1.0000000015861621</v>
      </c>
      <c r="Y30" s="160">
        <f t="shared" si="47"/>
        <v>-5.632338926180032E-5</v>
      </c>
      <c r="Z30" s="98" t="str">
        <f t="shared" si="36"/>
        <v>0.999999930487967-0.000385635668683924i</v>
      </c>
      <c r="AA30" s="160">
        <f t="shared" si="48"/>
        <v>1.0000000048454041</v>
      </c>
      <c r="AB30" s="160">
        <f t="shared" si="49"/>
        <v>-3.8563567637365696E-4</v>
      </c>
      <c r="AC30" s="171" t="str">
        <f t="shared" si="50"/>
        <v>502.219165667828-367.462291602839i</v>
      </c>
      <c r="AD30" s="190">
        <f t="shared" si="51"/>
        <v>55.87994371564865</v>
      </c>
      <c r="AE30" s="169">
        <f t="shared" si="52"/>
        <v>-36.19208183780669</v>
      </c>
      <c r="AF30" s="98" t="str">
        <f t="shared" si="37"/>
        <v>-0.0000119284294234592</v>
      </c>
      <c r="AG30" s="98" t="str">
        <f t="shared" si="38"/>
        <v>1.49364658769422E-06i</v>
      </c>
      <c r="AH30" s="98">
        <f t="shared" si="53"/>
        <v>1.49364658769422E-6</v>
      </c>
      <c r="AI30" s="98">
        <f t="shared" si="54"/>
        <v>1.5707963267948966</v>
      </c>
      <c r="AJ30" s="98" t="str">
        <f t="shared" si="39"/>
        <v>1+0.0000818501699259381i</v>
      </c>
      <c r="AK30" s="98">
        <f t="shared" si="55"/>
        <v>1.0000000033497252</v>
      </c>
      <c r="AL30" s="98">
        <f t="shared" si="56"/>
        <v>8.1850169743154385E-5</v>
      </c>
      <c r="AM30" s="98" t="str">
        <f t="shared" si="40"/>
        <v>1+0.0447273974022558i</v>
      </c>
      <c r="AN30" s="98">
        <f t="shared" si="57"/>
        <v>1.0009997702688944</v>
      </c>
      <c r="AO30" s="98">
        <f t="shared" si="58"/>
        <v>4.4697606835387461E-2</v>
      </c>
      <c r="AP30" s="168" t="str">
        <f t="shared" si="59"/>
        <v>-0.356544352628203+7.98614150840345i</v>
      </c>
      <c r="AQ30" s="98">
        <f t="shared" si="60"/>
        <v>18.055387812691603</v>
      </c>
      <c r="AR30" s="169">
        <f t="shared" si="61"/>
        <v>92.556294556724083</v>
      </c>
      <c r="AS30" s="168" t="str">
        <f t="shared" si="62"/>
        <v>2755.54245244197+4141.8099301304i</v>
      </c>
      <c r="AT30" s="190">
        <f t="shared" si="63"/>
        <v>73.935331528340257</v>
      </c>
      <c r="AU30" s="169">
        <f t="shared" si="64"/>
        <v>56.364212718917429</v>
      </c>
      <c r="AV30" s="225"/>
      <c r="AX30">
        <f t="shared" si="65"/>
        <v>0</v>
      </c>
      <c r="AY30">
        <f t="shared" si="66"/>
        <v>0</v>
      </c>
    </row>
    <row r="31" spans="1:51" x14ac:dyDescent="0.2">
      <c r="A31" s="98" t="s">
        <v>236</v>
      </c>
      <c r="B31" s="207">
        <f>Gcomp</f>
        <v>0.14499999999999999</v>
      </c>
      <c r="C31" s="206"/>
      <c r="E31" s="98" t="s">
        <v>237</v>
      </c>
      <c r="N31" s="170">
        <v>13</v>
      </c>
      <c r="O31" s="199">
        <f t="shared" si="41"/>
        <v>13.489628825916535</v>
      </c>
      <c r="P31" s="189" t="str">
        <f t="shared" si="32"/>
        <v>771.276595744681</v>
      </c>
      <c r="Q31" s="160" t="str">
        <f t="shared" si="33"/>
        <v>1+0.749259284722619i</v>
      </c>
      <c r="R31" s="160">
        <f t="shared" si="42"/>
        <v>1.2495557113402551</v>
      </c>
      <c r="S31" s="160">
        <f t="shared" si="43"/>
        <v>0.64302688244328043</v>
      </c>
      <c r="T31" s="160" t="str">
        <f t="shared" si="34"/>
        <v>1+0.000014103704183014i</v>
      </c>
      <c r="U31" s="160">
        <f t="shared" si="44"/>
        <v>1.0000000000994571</v>
      </c>
      <c r="V31" s="160">
        <f t="shared" si="45"/>
        <v>1.4103704182078857E-5</v>
      </c>
      <c r="W31" s="98" t="str">
        <f t="shared" si="35"/>
        <v>1-0.0000576353295940473i</v>
      </c>
      <c r="X31" s="160">
        <f t="shared" si="46"/>
        <v>1.0000000016609156</v>
      </c>
      <c r="Y31" s="160">
        <f t="shared" si="47"/>
        <v>-5.7635329530229018E-5</v>
      </c>
      <c r="Z31" s="98" t="str">
        <f t="shared" si="36"/>
        <v>0.999999927211966-0.000394618277337762i</v>
      </c>
      <c r="AA31" s="160">
        <f t="shared" si="48"/>
        <v>1.000000005073761</v>
      </c>
      <c r="AB31" s="160">
        <f t="shared" si="49"/>
        <v>-3.946182855774592E-4</v>
      </c>
      <c r="AC31" s="171" t="str">
        <f t="shared" si="50"/>
        <v>494.098010620464-369.936737102706i</v>
      </c>
      <c r="AD31" s="190">
        <f t="shared" si="51"/>
        <v>55.809090553077084</v>
      </c>
      <c r="AE31" s="169">
        <f t="shared" si="52"/>
        <v>-36.822610693580501</v>
      </c>
      <c r="AF31" s="98" t="str">
        <f t="shared" si="37"/>
        <v>-0.0000119284294234592</v>
      </c>
      <c r="AG31" s="98" t="str">
        <f t="shared" si="38"/>
        <v>1.52843808613155E-06i</v>
      </c>
      <c r="AH31" s="98">
        <f t="shared" si="53"/>
        <v>1.5284380861315501E-6</v>
      </c>
      <c r="AI31" s="98">
        <f t="shared" si="54"/>
        <v>1.5707963267948966</v>
      </c>
      <c r="AJ31" s="98" t="str">
        <f t="shared" si="39"/>
        <v>1+0.0000837567053022014i</v>
      </c>
      <c r="AK31" s="98">
        <f t="shared" si="55"/>
        <v>1.0000000035075929</v>
      </c>
      <c r="AL31" s="98">
        <f t="shared" si="56"/>
        <v>8.3756705106345113E-5</v>
      </c>
      <c r="AM31" s="98" t="str">
        <f t="shared" si="40"/>
        <v>1+0.0457692323246848i</v>
      </c>
      <c r="AN31" s="98">
        <f t="shared" si="57"/>
        <v>1.0010468633523562</v>
      </c>
      <c r="AO31" s="98">
        <f t="shared" si="58"/>
        <v>4.5737312959827775E-2</v>
      </c>
      <c r="AP31" s="168" t="str">
        <f t="shared" si="59"/>
        <v>-0.356544352515631+7.80435607788756i</v>
      </c>
      <c r="AQ31" s="98">
        <f t="shared" si="60"/>
        <v>17.85579643849109</v>
      </c>
      <c r="AR31" s="169">
        <f t="shared" si="61"/>
        <v>92.615756093158609</v>
      </c>
      <c r="AS31" s="168" t="str">
        <f t="shared" si="62"/>
        <v>2710.95016736546+3988.01566666i</v>
      </c>
      <c r="AT31" s="190">
        <f t="shared" si="63"/>
        <v>73.664886991568181</v>
      </c>
      <c r="AU31" s="169">
        <f t="shared" si="64"/>
        <v>55.793145399578137</v>
      </c>
      <c r="AV31" s="225"/>
      <c r="AX31">
        <f t="shared" si="65"/>
        <v>0</v>
      </c>
      <c r="AY31">
        <f t="shared" si="66"/>
        <v>0</v>
      </c>
    </row>
    <row r="32" spans="1:51" x14ac:dyDescent="0.2">
      <c r="N32" s="170">
        <v>14</v>
      </c>
      <c r="O32" s="199">
        <f t="shared" si="41"/>
        <v>13.803842646028857</v>
      </c>
      <c r="P32" s="189" t="str">
        <f t="shared" si="32"/>
        <v>771.276595744681</v>
      </c>
      <c r="Q32" s="160" t="str">
        <f t="shared" si="33"/>
        <v>1+0.766711775457946i</v>
      </c>
      <c r="R32" s="160">
        <f t="shared" si="42"/>
        <v>1.2600979908824059</v>
      </c>
      <c r="S32" s="160">
        <f t="shared" si="43"/>
        <v>0.65411113381106856</v>
      </c>
      <c r="T32" s="160" t="str">
        <f t="shared" si="34"/>
        <v>1+0.000014432221655679i</v>
      </c>
      <c r="U32" s="160">
        <f t="shared" si="44"/>
        <v>1.0000000001041445</v>
      </c>
      <c r="V32" s="160">
        <f t="shared" si="45"/>
        <v>1.4432221654676975E-5</v>
      </c>
      <c r="W32" s="98" t="str">
        <f t="shared" si="35"/>
        <v>1-0.0000589778288813802i</v>
      </c>
      <c r="X32" s="160">
        <f t="shared" si="46"/>
        <v>1.0000000017391921</v>
      </c>
      <c r="Y32" s="160">
        <f t="shared" si="47"/>
        <v>-5.8977828812997686E-5</v>
      </c>
      <c r="Z32" s="98" t="str">
        <f t="shared" si="36"/>
        <v>0.999999923781571-0.000403810117825635i</v>
      </c>
      <c r="AA32" s="160">
        <f t="shared" si="48"/>
        <v>1.0000000053128797</v>
      </c>
      <c r="AB32" s="160">
        <f t="shared" si="49"/>
        <v>-4.0381012665462982E-4</v>
      </c>
      <c r="AC32" s="171" t="str">
        <f t="shared" si="50"/>
        <v>485.871131892972-372.246025868774i</v>
      </c>
      <c r="AD32" s="190">
        <f t="shared" si="51"/>
        <v>55.736116646863081</v>
      </c>
      <c r="AE32" s="169">
        <f t="shared" si="52"/>
        <v>-37.457222959195214</v>
      </c>
      <c r="AF32" s="98" t="str">
        <f t="shared" si="37"/>
        <v>-0.0000119284294234592</v>
      </c>
      <c r="AG32" s="98" t="str">
        <f t="shared" si="38"/>
        <v>1.56403998267343E-06i</v>
      </c>
      <c r="AH32" s="98">
        <f t="shared" si="53"/>
        <v>1.5640399826734299E-6</v>
      </c>
      <c r="AI32" s="98">
        <f t="shared" si="54"/>
        <v>1.5707963267948966</v>
      </c>
      <c r="AJ32" s="98" t="str">
        <f t="shared" si="39"/>
        <v>1+0.000085707649592267i</v>
      </c>
      <c r="AK32" s="98">
        <f t="shared" si="55"/>
        <v>1.0000000036729007</v>
      </c>
      <c r="AL32" s="98">
        <f t="shared" si="56"/>
        <v>8.5707649382403222E-5</v>
      </c>
      <c r="AM32" s="98" t="str">
        <f t="shared" si="40"/>
        <v>1+0.0468353346999197i</v>
      </c>
      <c r="AN32" s="98">
        <f t="shared" si="57"/>
        <v>1.0010961734900665</v>
      </c>
      <c r="AO32" s="98">
        <f t="shared" si="58"/>
        <v>4.6801134506599895E-2</v>
      </c>
      <c r="AP32" s="168" t="str">
        <f t="shared" si="59"/>
        <v>-0.356544352397751+7.62670862026698i</v>
      </c>
      <c r="AQ32" s="98">
        <f t="shared" si="60"/>
        <v>17.656224281026795</v>
      </c>
      <c r="AR32" s="169">
        <f t="shared" si="61"/>
        <v>92.676596797070658</v>
      </c>
      <c r="AS32" s="168" t="str">
        <f t="shared" si="62"/>
        <v>2665.77736628396+3838.31976817302i</v>
      </c>
      <c r="AT32" s="190">
        <f t="shared" si="63"/>
        <v>73.392340927889876</v>
      </c>
      <c r="AU32" s="169">
        <f t="shared" si="64"/>
        <v>55.219373837875452</v>
      </c>
      <c r="AV32" s="225"/>
      <c r="AX32">
        <f t="shared" si="65"/>
        <v>0</v>
      </c>
      <c r="AY32">
        <f t="shared" si="66"/>
        <v>0</v>
      </c>
    </row>
    <row r="33" spans="1:51" x14ac:dyDescent="0.2">
      <c r="N33" s="170">
        <v>15</v>
      </c>
      <c r="O33" s="199">
        <f t="shared" si="41"/>
        <v>14.125375446227544</v>
      </c>
      <c r="P33" s="189" t="str">
        <f t="shared" si="32"/>
        <v>771.276595744681</v>
      </c>
      <c r="Q33" s="160" t="str">
        <f t="shared" si="33"/>
        <v>1+0.784570786925251i</v>
      </c>
      <c r="R33" s="160">
        <f t="shared" si="42"/>
        <v>1.2710433980382052</v>
      </c>
      <c r="S33" s="160">
        <f t="shared" si="43"/>
        <v>0.66526182318332261</v>
      </c>
      <c r="T33" s="160" t="str">
        <f t="shared" si="34"/>
        <v>1+0.0000147683912832988i</v>
      </c>
      <c r="U33" s="160">
        <f t="shared" si="44"/>
        <v>1.0000000001090525</v>
      </c>
      <c r="V33" s="160">
        <f t="shared" si="45"/>
        <v>1.4768391282225111E-5</v>
      </c>
      <c r="W33" s="98" t="str">
        <f t="shared" si="35"/>
        <v>1-0.0000603515989942498i</v>
      </c>
      <c r="X33" s="160">
        <f t="shared" si="46"/>
        <v>1.0000000018211577</v>
      </c>
      <c r="Y33" s="160">
        <f t="shared" si="47"/>
        <v>-6.0351598920976614E-5</v>
      </c>
      <c r="Z33" s="98" t="str">
        <f t="shared" si="36"/>
        <v>0.999999920189507-0.000413216063783038i</v>
      </c>
      <c r="AA33" s="160">
        <f t="shared" si="48"/>
        <v>1.0000000055632678</v>
      </c>
      <c r="AB33" s="160">
        <f t="shared" si="49"/>
        <v>-4.1321607324347644E-4</v>
      </c>
      <c r="AC33" s="171" t="str">
        <f t="shared" si="50"/>
        <v>477.545339358165-374.384576075071i</v>
      </c>
      <c r="AD33" s="190">
        <f t="shared" si="51"/>
        <v>55.660995443905804</v>
      </c>
      <c r="AE33" s="169">
        <f t="shared" si="52"/>
        <v>-38.095630927973332</v>
      </c>
      <c r="AF33" s="98" t="str">
        <f t="shared" si="37"/>
        <v>-0.0000119284294234592</v>
      </c>
      <c r="AG33" s="98" t="str">
        <f t="shared" si="38"/>
        <v>1.60047115391663E-06i</v>
      </c>
      <c r="AH33" s="98">
        <f t="shared" si="53"/>
        <v>1.6004711539166301E-6</v>
      </c>
      <c r="AI33" s="98">
        <f t="shared" si="54"/>
        <v>1.5707963267948966</v>
      </c>
      <c r="AJ33" s="98" t="str">
        <f t="shared" si="39"/>
        <v>1+0.0000877040372126212i</v>
      </c>
      <c r="AK33" s="98">
        <f t="shared" si="55"/>
        <v>1.0000000038459991</v>
      </c>
      <c r="AL33" s="98">
        <f t="shared" si="56"/>
        <v>8.7704036987748096E-5</v>
      </c>
      <c r="AM33" s="98" t="str">
        <f t="shared" si="40"/>
        <v>1+0.0479262697895514i</v>
      </c>
      <c r="AN33" s="98">
        <f t="shared" si="57"/>
        <v>1.0011478049398803</v>
      </c>
      <c r="AO33" s="98">
        <f t="shared" si="58"/>
        <v>4.7889625890937135E-2</v>
      </c>
      <c r="AP33" s="168" t="str">
        <f t="shared" si="59"/>
        <v>-0.356544352274316+7.45310494450833i</v>
      </c>
      <c r="AQ33" s="98">
        <f t="shared" si="60"/>
        <v>17.456672241989274</v>
      </c>
      <c r="AR33" s="169">
        <f t="shared" si="61"/>
        <v>92.738848374845475</v>
      </c>
      <c r="AS33" s="168" t="str">
        <f t="shared" si="62"/>
        <v>2620.06144138969+3692.68023617543i</v>
      </c>
      <c r="AT33" s="190">
        <f t="shared" si="63"/>
        <v>73.117667685895071</v>
      </c>
      <c r="AU33" s="169">
        <f t="shared" si="64"/>
        <v>54.643217446872164</v>
      </c>
      <c r="AV33" s="225"/>
      <c r="AX33">
        <f t="shared" si="65"/>
        <v>0</v>
      </c>
      <c r="AY33">
        <f t="shared" si="66"/>
        <v>0</v>
      </c>
    </row>
    <row r="34" spans="1:51" x14ac:dyDescent="0.2">
      <c r="N34" s="170">
        <v>16</v>
      </c>
      <c r="O34" s="199">
        <f t="shared" si="41"/>
        <v>14.454397707459275</v>
      </c>
      <c r="P34" s="189" t="str">
        <f t="shared" si="32"/>
        <v>771.276595744681</v>
      </c>
      <c r="Q34" s="160" t="str">
        <f t="shared" si="33"/>
        <v>1+0.802845788208806i</v>
      </c>
      <c r="R34" s="160">
        <f t="shared" si="42"/>
        <v>1.2824045226232708</v>
      </c>
      <c r="S34" s="160">
        <f t="shared" si="43"/>
        <v>0.6764737717039766</v>
      </c>
      <c r="T34" s="160" t="str">
        <f t="shared" si="34"/>
        <v>1+0.0000151123913074598i</v>
      </c>
      <c r="U34" s="160">
        <f t="shared" si="44"/>
        <v>1.0000000001141922</v>
      </c>
      <c r="V34" s="160">
        <f t="shared" si="45"/>
        <v>1.5112391306309323E-5</v>
      </c>
      <c r="W34" s="98" t="str">
        <f t="shared" si="35"/>
        <v>1-0.000061757368323754i</v>
      </c>
      <c r="X34" s="160">
        <f t="shared" si="46"/>
        <v>1.0000000019069861</v>
      </c>
      <c r="Y34" s="160">
        <f t="shared" si="47"/>
        <v>-6.1757368245240357E-5</v>
      </c>
      <c r="Z34" s="98" t="str">
        <f t="shared" si="36"/>
        <v>0.999999916428155-0.00042284110236702i</v>
      </c>
      <c r="AA34" s="160">
        <f t="shared" si="48"/>
        <v>1.0000000058254574</v>
      </c>
      <c r="AB34" s="160">
        <f t="shared" si="49"/>
        <v>-4.2284111250406214E-4</v>
      </c>
      <c r="AC34" s="171" t="str">
        <f t="shared" si="50"/>
        <v>469.127819665463-376.347142883175i</v>
      </c>
      <c r="AD34" s="190">
        <f t="shared" si="51"/>
        <v>55.583702207101489</v>
      </c>
      <c r="AE34" s="169">
        <f t="shared" si="52"/>
        <v>-38.737537619097296</v>
      </c>
      <c r="AF34" s="98" t="str">
        <f t="shared" si="37"/>
        <v>-0.0000119284294234592</v>
      </c>
      <c r="AG34" s="98" t="str">
        <f t="shared" si="38"/>
        <v>1.63775091615038E-06i</v>
      </c>
      <c r="AH34" s="98">
        <f t="shared" si="53"/>
        <v>1.63775091615038E-6</v>
      </c>
      <c r="AI34" s="98">
        <f t="shared" si="54"/>
        <v>1.5707963267948966</v>
      </c>
      <c r="AJ34" s="98" t="str">
        <f t="shared" si="39"/>
        <v>1+0.0000897469266744058i</v>
      </c>
      <c r="AK34" s="98">
        <f t="shared" si="55"/>
        <v>1.0000000040272554</v>
      </c>
      <c r="AL34" s="98">
        <f t="shared" si="56"/>
        <v>8.9746926433449924E-5</v>
      </c>
      <c r="AM34" s="98" t="str">
        <f t="shared" si="40"/>
        <v>1+0.0490426160218048i</v>
      </c>
      <c r="AN34" s="98">
        <f t="shared" si="57"/>
        <v>1.0012018668511671</v>
      </c>
      <c r="AO34" s="98">
        <f t="shared" si="58"/>
        <v>4.9003353922239146E-2</v>
      </c>
      <c r="AP34" s="168" t="str">
        <f t="shared" si="59"/>
        <v>-0.356544352145065+7.28345300364476i</v>
      </c>
      <c r="AQ34" s="98">
        <f t="shared" si="60"/>
        <v>17.257141265182948</v>
      </c>
      <c r="AR34" s="169">
        <f t="shared" si="61"/>
        <v>92.802543241621237</v>
      </c>
      <c r="AS34" s="168" t="str">
        <f t="shared" si="62"/>
        <v>2573.84185370974+3551.05487547666i</v>
      </c>
      <c r="AT34" s="190">
        <f t="shared" si="63"/>
        <v>72.840843472284433</v>
      </c>
      <c r="AU34" s="169">
        <f t="shared" si="64"/>
        <v>54.065005622523891</v>
      </c>
      <c r="AV34" s="225"/>
      <c r="AX34">
        <f t="shared" si="65"/>
        <v>0</v>
      </c>
      <c r="AY34">
        <f t="shared" si="66"/>
        <v>0</v>
      </c>
    </row>
    <row r="35" spans="1:51" x14ac:dyDescent="0.2">
      <c r="A35" s="98" t="s">
        <v>235</v>
      </c>
      <c r="B35" s="208">
        <f>IF(Dc_Mode_Loop="CCM",(Gcomp*(VIN_var/VOUT)*(VOUT/IOUT))/(2*R_cs*Acs),K35*K37)</f>
        <v>771.27659574468066</v>
      </c>
      <c r="C35" s="98" t="s">
        <v>180</v>
      </c>
      <c r="E35" s="98" t="s">
        <v>239</v>
      </c>
      <c r="J35" s="98" t="s">
        <v>546</v>
      </c>
      <c r="K35" s="98">
        <f>Fsw/((1+B45/B46)*B46)</f>
        <v>3.6364958725771848</v>
      </c>
      <c r="N35" s="170">
        <v>17</v>
      </c>
      <c r="O35" s="199">
        <f t="shared" si="41"/>
        <v>14.791083881682074</v>
      </c>
      <c r="P35" s="189" t="str">
        <f t="shared" si="32"/>
        <v>771.276595744681</v>
      </c>
      <c r="Q35" s="160" t="str">
        <f t="shared" si="33"/>
        <v>1+0.82154646895619i</v>
      </c>
      <c r="R35" s="160">
        <f t="shared" si="42"/>
        <v>1.2941941897004421</v>
      </c>
      <c r="S35" s="160">
        <f t="shared" si="43"/>
        <v>0.68774164927317205</v>
      </c>
      <c r="T35" s="160" t="str">
        <f t="shared" si="34"/>
        <v>1+0.0000154644041215282i</v>
      </c>
      <c r="U35" s="160">
        <f t="shared" si="44"/>
        <v>1.0000000001195739</v>
      </c>
      <c r="V35" s="160">
        <f t="shared" si="45"/>
        <v>1.5464404120295441E-5</v>
      </c>
      <c r="W35" s="98" t="str">
        <f t="shared" si="35"/>
        <v>1-0.0000631958822273989i</v>
      </c>
      <c r="X35" s="160">
        <f t="shared" si="46"/>
        <v>1.0000000019968598</v>
      </c>
      <c r="Y35" s="160">
        <f t="shared" si="47"/>
        <v>-6.3195882143270033E-5</v>
      </c>
      <c r="Z35" s="98" t="str">
        <f t="shared" si="36"/>
        <v>0.999999912489535-0.00043269033690044i</v>
      </c>
      <c r="AA35" s="160">
        <f t="shared" si="48"/>
        <v>1.0000000061000027</v>
      </c>
      <c r="AB35" s="160">
        <f t="shared" si="49"/>
        <v>-4.3269034776247643E-4</v>
      </c>
      <c r="AC35" s="171" t="str">
        <f t="shared" si="50"/>
        <v>460.626115121541-378.12884862907i</v>
      </c>
      <c r="AD35" s="190">
        <f t="shared" si="51"/>
        <v>55.50421411041421</v>
      </c>
      <c r="AE35" s="169">
        <f t="shared" si="52"/>
        <v>-39.382637380196975</v>
      </c>
      <c r="AF35" s="98" t="str">
        <f t="shared" si="37"/>
        <v>-0.0000119284294234592</v>
      </c>
      <c r="AG35" s="98" t="str">
        <f t="shared" si="38"/>
        <v>1.67589903559807E-06i</v>
      </c>
      <c r="AH35" s="98">
        <f t="shared" si="53"/>
        <v>1.67589903559807E-6</v>
      </c>
      <c r="AI35" s="98">
        <f t="shared" si="54"/>
        <v>1.5707963267948966</v>
      </c>
      <c r="AJ35" s="98" t="str">
        <f t="shared" si="39"/>
        <v>1+0.0000918374011446541i</v>
      </c>
      <c r="AK35" s="98">
        <f t="shared" si="55"/>
        <v>1.000000004217054</v>
      </c>
      <c r="AL35" s="98">
        <f t="shared" si="56"/>
        <v>9.1837400886465241E-5</v>
      </c>
      <c r="AM35" s="98" t="str">
        <f t="shared" si="40"/>
        <v>1+0.0501849652982287i</v>
      </c>
      <c r="AN35" s="98">
        <f t="shared" si="57"/>
        <v>1.0012584734932257</v>
      </c>
      <c r="AO35" s="98">
        <f t="shared" si="58"/>
        <v>5.0142898055911267E-2</v>
      </c>
      <c r="AP35" s="168" t="str">
        <f t="shared" si="59"/>
        <v>-0.356544352009721+7.1176628459716i</v>
      </c>
      <c r="AQ35" s="98">
        <f t="shared" si="60"/>
        <v>17.057632338474455</v>
      </c>
      <c r="AR35" s="169">
        <f t="shared" si="61"/>
        <v>92.867714535686218</v>
      </c>
      <c r="AS35" s="168" t="str">
        <f t="shared" si="62"/>
        <v>2527.16001714239+3413.40109079546i</v>
      </c>
      <c r="AT35" s="190">
        <f t="shared" si="63"/>
        <v>72.561846448888673</v>
      </c>
      <c r="AU35" s="169">
        <f t="shared" si="64"/>
        <v>53.485077155489165</v>
      </c>
      <c r="AV35" s="225"/>
      <c r="AX35">
        <f t="shared" si="65"/>
        <v>0</v>
      </c>
      <c r="AY35">
        <f t="shared" si="66"/>
        <v>0</v>
      </c>
    </row>
    <row r="36" spans="1:51" x14ac:dyDescent="0.2">
      <c r="A36" s="98" t="s">
        <v>252</v>
      </c>
      <c r="B36" s="209">
        <f>IF(Dc_Mode_Loop="CCM",2/(Cout*(VOUT/IOUT)),(2*B20/B17-1)/(Cout*(VOUT/IOUT)*(B20/B17-1)))</f>
        <v>113.12217194570135</v>
      </c>
      <c r="C36" s="98" t="s">
        <v>251</v>
      </c>
      <c r="E36" s="98" t="s">
        <v>242</v>
      </c>
      <c r="J36" s="98" t="s">
        <v>547</v>
      </c>
      <c r="K36" s="98">
        <f>(1+SQRT(1+2*(Dc_DCM_VIN_nom^2)/K38))/2</f>
        <v>34</v>
      </c>
      <c r="N36" s="170">
        <v>18</v>
      </c>
      <c r="O36" s="199">
        <f t="shared" si="41"/>
        <v>15.135612484362087</v>
      </c>
      <c r="P36" s="189" t="str">
        <f t="shared" si="32"/>
        <v>771.276595744681</v>
      </c>
      <c r="Q36" s="160" t="str">
        <f t="shared" si="33"/>
        <v>1+0.840682744515868i</v>
      </c>
      <c r="R36" s="160">
        <f t="shared" si="42"/>
        <v>1.3064254578531194</v>
      </c>
      <c r="S36" s="160">
        <f t="shared" si="43"/>
        <v>0.69905998594613783</v>
      </c>
      <c r="T36" s="160" t="str">
        <f t="shared" si="34"/>
        <v>1+0.0000158246163673575i</v>
      </c>
      <c r="U36" s="160">
        <f t="shared" si="44"/>
        <v>1.0000000001252092</v>
      </c>
      <c r="V36" s="160">
        <f t="shared" si="45"/>
        <v>1.5824616366036575E-5</v>
      </c>
      <c r="W36" s="98" t="str">
        <f t="shared" si="35"/>
        <v>1-0.0000646679034242972i</v>
      </c>
      <c r="X36" s="160">
        <f t="shared" si="46"/>
        <v>1.0000000020909687</v>
      </c>
      <c r="Y36" s="160">
        <f t="shared" si="47"/>
        <v>-6.4667903334151482E-5</v>
      </c>
      <c r="Z36" s="98" t="str">
        <f t="shared" si="36"/>
        <v>0.999999908365294-0.000442768989577819i</v>
      </c>
      <c r="AA36" s="160">
        <f t="shared" si="48"/>
        <v>1.0000000063874872</v>
      </c>
      <c r="AB36" s="160">
        <f t="shared" si="49"/>
        <v>-4.427690012167006E-4</v>
      </c>
      <c r="AC36" s="171" t="str">
        <f t="shared" si="50"/>
        <v>452.048099743748-379.72521147102i</v>
      </c>
      <c r="AD36" s="190">
        <f t="shared" si="51"/>
        <v>55.422510328098468</v>
      </c>
      <c r="AE36" s="169">
        <f t="shared" si="52"/>
        <v>-40.03061654032021</v>
      </c>
      <c r="AF36" s="98" t="str">
        <f t="shared" si="37"/>
        <v>-0.0000119284294234592</v>
      </c>
      <c r="AG36" s="98" t="str">
        <f t="shared" si="38"/>
        <v>1.71493573889758E-06i</v>
      </c>
      <c r="AH36" s="98">
        <f t="shared" si="53"/>
        <v>1.71493573889758E-6</v>
      </c>
      <c r="AI36" s="98">
        <f t="shared" si="54"/>
        <v>1.5707963267948966</v>
      </c>
      <c r="AJ36" s="98" t="str">
        <f t="shared" si="39"/>
        <v>1+0.0000939765690206011i</v>
      </c>
      <c r="AK36" s="98">
        <f t="shared" si="55"/>
        <v>1.0000000044157977</v>
      </c>
      <c r="AL36" s="98">
        <f t="shared" si="56"/>
        <v>9.397656874394675E-5</v>
      </c>
      <c r="AM36" s="98" t="str">
        <f t="shared" si="40"/>
        <v>1+0.0513539233075303i</v>
      </c>
      <c r="AN36" s="98">
        <f t="shared" si="57"/>
        <v>1.0013177444942618</v>
      </c>
      <c r="AO36" s="98">
        <f t="shared" si="58"/>
        <v>5.130885064847375E-2</v>
      </c>
      <c r="AP36" s="168" t="str">
        <f t="shared" si="59"/>
        <v>-0.356544351867999+6.95564656735277i</v>
      </c>
      <c r="AQ36" s="98">
        <f t="shared" si="60"/>
        <v>16.858146495829121</v>
      </c>
      <c r="AR36" s="169">
        <f t="shared" si="61"/>
        <v>92.934396133062478</v>
      </c>
      <c r="AS36" s="168" t="str">
        <f t="shared" si="62"/>
        <v>2480.05916696941+3279.67569267282i</v>
      </c>
      <c r="AT36" s="190">
        <f t="shared" si="63"/>
        <v>72.280656823927586</v>
      </c>
      <c r="AU36" s="169">
        <f t="shared" si="64"/>
        <v>52.903779592742289</v>
      </c>
      <c r="AV36" s="225"/>
      <c r="AX36">
        <f t="shared" si="65"/>
        <v>0</v>
      </c>
      <c r="AY36">
        <f t="shared" si="66"/>
        <v>0</v>
      </c>
    </row>
    <row r="37" spans="1:51" x14ac:dyDescent="0.2">
      <c r="B37" s="210">
        <f>wp_lf/(2*PI())</f>
        <v>18.003952838449699</v>
      </c>
      <c r="C37" s="98" t="s">
        <v>69</v>
      </c>
      <c r="J37" s="98" t="s">
        <v>548</v>
      </c>
      <c r="K37" s="98">
        <f>2*VOUT/Dc_DCM_VIN_nom*(K36-1)/(2*K36-1)</f>
        <v>460.92587480290177</v>
      </c>
      <c r="N37" s="170">
        <v>19</v>
      </c>
      <c r="O37" s="199">
        <f t="shared" si="41"/>
        <v>15.488166189124817</v>
      </c>
      <c r="P37" s="189" t="str">
        <f t="shared" si="32"/>
        <v>771.276595744681</v>
      </c>
      <c r="Q37" s="160" t="str">
        <f t="shared" si="33"/>
        <v>1+0.860264761194439i</v>
      </c>
      <c r="R37" s="160">
        <f t="shared" si="42"/>
        <v>1.3191116174732618</v>
      </c>
      <c r="S37" s="160">
        <f t="shared" si="43"/>
        <v>0.71042318416097006</v>
      </c>
      <c r="T37" s="160" t="str">
        <f t="shared" si="34"/>
        <v>1+0.0000161932190342482i</v>
      </c>
      <c r="U37" s="160">
        <f t="shared" si="44"/>
        <v>1.00000000013111</v>
      </c>
      <c r="V37" s="160">
        <f t="shared" si="45"/>
        <v>1.6193219032832801E-5</v>
      </c>
      <c r="W37" s="98" t="str">
        <f t="shared" si="35"/>
        <v>1-0.0000661742123995719i</v>
      </c>
      <c r="X37" s="160">
        <f t="shared" si="46"/>
        <v>1.0000000021895132</v>
      </c>
      <c r="Y37" s="160">
        <f t="shared" si="47"/>
        <v>-6.6174212302979023E-5</v>
      </c>
      <c r="Z37" s="98" t="str">
        <f t="shared" si="36"/>
        <v>0.999999904046683-0.000453082404234213i</v>
      </c>
      <c r="AA37" s="160">
        <f t="shared" si="48"/>
        <v>1.0000000066885202</v>
      </c>
      <c r="AB37" s="160">
        <f t="shared" si="49"/>
        <v>-4.5308241670549942E-4</v>
      </c>
      <c r="AC37" s="171" t="str">
        <f t="shared" si="50"/>
        <v>443.40195261543-381.132172196033i</v>
      </c>
      <c r="AD37" s="190">
        <f t="shared" si="51"/>
        <v>55.338572117355625</v>
      </c>
      <c r="AE37" s="169">
        <f t="shared" si="52"/>
        <v>-40.681154110390366</v>
      </c>
      <c r="AF37" s="98" t="str">
        <f t="shared" si="37"/>
        <v>-0.0000119284294234592</v>
      </c>
      <c r="AG37" s="98" t="str">
        <f t="shared" si="38"/>
        <v>1.75488172382571E-06i</v>
      </c>
      <c r="AH37" s="98">
        <f t="shared" si="53"/>
        <v>1.75488172382571E-6</v>
      </c>
      <c r="AI37" s="98">
        <f t="shared" si="54"/>
        <v>1.5707963267948966</v>
      </c>
      <c r="AJ37" s="98" t="str">
        <f t="shared" si="39"/>
        <v>1+0.0000961655645173697i</v>
      </c>
      <c r="AK37" s="98">
        <f t="shared" si="55"/>
        <v>1.0000000046239079</v>
      </c>
      <c r="AL37" s="98">
        <f t="shared" si="56"/>
        <v>9.6165564220929226E-5</v>
      </c>
      <c r="AM37" s="98" t="str">
        <f t="shared" si="40"/>
        <v>1+0.052550109846719i</v>
      </c>
      <c r="AN37" s="98">
        <f t="shared" si="57"/>
        <v>1.001379805091406</v>
      </c>
      <c r="AO37" s="98">
        <f t="shared" si="58"/>
        <v>5.2501817215834037E-2</v>
      </c>
      <c r="AP37" s="168" t="str">
        <f t="shared" si="59"/>
        <v>-0.356544351719598+6.79731826461285i</v>
      </c>
      <c r="AQ37" s="98">
        <f t="shared" si="60"/>
        <v>16.6586848194396</v>
      </c>
      <c r="AR37" s="169">
        <f t="shared" si="61"/>
        <v>93.002622662270227</v>
      </c>
      <c r="AS37" s="168" t="str">
        <f t="shared" si="62"/>
        <v>2432.58421355319+3149.83471433298i</v>
      </c>
      <c r="AT37" s="190">
        <f t="shared" si="63"/>
        <v>71.997256936795225</v>
      </c>
      <c r="AU37" s="169">
        <f t="shared" si="64"/>
        <v>52.321468551879896</v>
      </c>
      <c r="AV37" s="225"/>
      <c r="AX37">
        <f t="shared" si="65"/>
        <v>0</v>
      </c>
      <c r="AY37">
        <f t="shared" si="66"/>
        <v>0</v>
      </c>
    </row>
    <row r="38" spans="1:51" x14ac:dyDescent="0.2">
      <c r="B38" s="211"/>
      <c r="C38" s="98" t="s">
        <v>275</v>
      </c>
      <c r="E38" s="98" t="s">
        <v>274</v>
      </c>
      <c r="J38" s="98" t="s">
        <v>549</v>
      </c>
      <c r="K38" s="98">
        <f>(Lm*Fsw/(VOUT/IOUT))</f>
        <v>5.8823529411764701E-5</v>
      </c>
      <c r="N38" s="170">
        <v>20</v>
      </c>
      <c r="O38" s="199">
        <f t="shared" si="41"/>
        <v>15.848931924611136</v>
      </c>
      <c r="P38" s="189" t="str">
        <f t="shared" si="32"/>
        <v>771.276595744681</v>
      </c>
      <c r="Q38" s="160" t="str">
        <f t="shared" si="33"/>
        <v>1+0.880302901636346i</v>
      </c>
      <c r="R38" s="160">
        <f t="shared" si="42"/>
        <v>1.3322661891038781</v>
      </c>
      <c r="S38" s="160">
        <f t="shared" si="43"/>
        <v>0.72182553173594655</v>
      </c>
      <c r="T38" s="160" t="str">
        <f t="shared" si="34"/>
        <v>1+0.0000165704075602135i</v>
      </c>
      <c r="U38" s="160">
        <f t="shared" si="44"/>
        <v>1.0000000001372891</v>
      </c>
      <c r="V38" s="160">
        <f t="shared" si="45"/>
        <v>1.6570407558696873E-5</v>
      </c>
      <c r="W38" s="98" t="str">
        <f t="shared" si="35"/>
        <v>1-0.0000677156078181801i</v>
      </c>
      <c r="X38" s="160">
        <f t="shared" si="46"/>
        <v>1.0000000022927018</v>
      </c>
      <c r="Y38" s="160">
        <f t="shared" si="47"/>
        <v>-6.7715607714678979E-5</v>
      </c>
      <c r="Z38" s="98" t="str">
        <f t="shared" si="36"/>
        <v>0.999999899524543-0.000463636049178586i</v>
      </c>
      <c r="AA38" s="160">
        <f t="shared" si="48"/>
        <v>1.0000000070037411</v>
      </c>
      <c r="AB38" s="160">
        <f t="shared" si="49"/>
        <v>-4.6363606254180991E-4</v>
      </c>
      <c r="AC38" s="171" t="str">
        <f t="shared" si="50"/>
        <v>434.696128708746-382.346118894756i</v>
      </c>
      <c r="AD38" s="190">
        <f t="shared" si="51"/>
        <v>55.25238289374586</v>
      </c>
      <c r="AE38" s="169">
        <f t="shared" si="52"/>
        <v>-41.333922527753778</v>
      </c>
      <c r="AF38" s="98" t="str">
        <f t="shared" si="37"/>
        <v>-0.0000119284294234592</v>
      </c>
      <c r="AG38" s="98" t="str">
        <f t="shared" si="38"/>
        <v>1.79575817027242E-06i</v>
      </c>
      <c r="AH38" s="98">
        <f t="shared" si="53"/>
        <v>1.7957581702724201E-6</v>
      </c>
      <c r="AI38" s="98">
        <f t="shared" si="54"/>
        <v>1.5707963267948966</v>
      </c>
      <c r="AJ38" s="98" t="str">
        <f t="shared" si="39"/>
        <v>1+0.0000984055482693472i</v>
      </c>
      <c r="AK38" s="98">
        <f t="shared" si="55"/>
        <v>1.0000000048418258</v>
      </c>
      <c r="AL38" s="98">
        <f t="shared" si="56"/>
        <v>9.8405547951705511E-5</v>
      </c>
      <c r="AM38" s="98" t="str">
        <f t="shared" si="40"/>
        <v>1+0.0537741591497314i</v>
      </c>
      <c r="AN38" s="98">
        <f t="shared" si="57"/>
        <v>1.0014447863922706</v>
      </c>
      <c r="AO38" s="98">
        <f t="shared" si="58"/>
        <v>5.3722416694604203E-2</v>
      </c>
      <c r="AP38" s="168" t="str">
        <f t="shared" si="59"/>
        <v>-0.356544351564203+6.64259398998995i</v>
      </c>
      <c r="AQ38" s="98">
        <f t="shared" si="60"/>
        <v>16.459248441950486</v>
      </c>
      <c r="AR38" s="169">
        <f t="shared" si="61"/>
        <v>93.072429519265668</v>
      </c>
      <c r="AS38" s="168" t="str">
        <f t="shared" si="62"/>
        <v>2384.78158212836+3023.83324106703i</v>
      </c>
      <c r="AT38" s="190">
        <f t="shared" si="63"/>
        <v>71.711631335696339</v>
      </c>
      <c r="AU38" s="169">
        <f t="shared" si="64"/>
        <v>51.738506991511848</v>
      </c>
      <c r="AV38" s="225"/>
      <c r="AX38">
        <f t="shared" si="65"/>
        <v>0</v>
      </c>
      <c r="AY38">
        <f t="shared" si="66"/>
        <v>0</v>
      </c>
    </row>
    <row r="39" spans="1:51" x14ac:dyDescent="0.2">
      <c r="A39" s="98" t="s">
        <v>253</v>
      </c>
      <c r="B39" s="209">
        <f>((VOUT/IOUT)*((VIN_var/VOUT)^2))/(Lm)</f>
        <v>1470588.2352941178</v>
      </c>
      <c r="C39" s="98" t="s">
        <v>251</v>
      </c>
      <c r="E39" s="98" t="s">
        <v>243</v>
      </c>
      <c r="N39" s="170">
        <v>21</v>
      </c>
      <c r="O39" s="199">
        <f t="shared" si="41"/>
        <v>16.218100973589298</v>
      </c>
      <c r="P39" s="189" t="str">
        <f t="shared" si="32"/>
        <v>771.276595744681</v>
      </c>
      <c r="Q39" s="160" t="str">
        <f t="shared" si="33"/>
        <v>1+0.900807790328884i</v>
      </c>
      <c r="R39" s="160">
        <f t="shared" si="42"/>
        <v>1.3459029218770597</v>
      </c>
      <c r="S39" s="160">
        <f t="shared" si="43"/>
        <v>0.73326121556857127</v>
      </c>
      <c r="T39" s="160" t="str">
        <f t="shared" si="34"/>
        <v>1+0.0000169563819356025i</v>
      </c>
      <c r="U39" s="160">
        <f t="shared" si="44"/>
        <v>1.0000000001437594</v>
      </c>
      <c r="V39" s="160">
        <f t="shared" si="45"/>
        <v>1.6956381933977407E-5</v>
      </c>
      <c r="W39" s="98" t="str">
        <f t="shared" si="35"/>
        <v>1-0.0000692929069483754i</v>
      </c>
      <c r="X39" s="160">
        <f t="shared" si="46"/>
        <v>1.0000000024007534</v>
      </c>
      <c r="Y39" s="160">
        <f t="shared" si="47"/>
        <v>-6.9292906837471936E-5</v>
      </c>
      <c r="Z39" s="98" t="str">
        <f t="shared" si="36"/>
        <v>0.99999989478928-0.000474435520093181i</v>
      </c>
      <c r="AA39" s="160">
        <f t="shared" si="48"/>
        <v>1.0000000073338167</v>
      </c>
      <c r="AB39" s="160">
        <f t="shared" si="49"/>
        <v>-4.7443553441213368E-4</v>
      </c>
      <c r="AC39" s="171" t="str">
        <f t="shared" si="50"/>
        <v>425.939327375767-383.363909231641i</v>
      </c>
      <c r="AD39" s="190">
        <f t="shared" si="51"/>
        <v>55.163928298723526</v>
      </c>
      <c r="AE39" s="169">
        <f t="shared" si="52"/>
        <v>-41.98858844093008</v>
      </c>
      <c r="AF39" s="98" t="str">
        <f t="shared" si="37"/>
        <v>-0.0000119284294234592</v>
      </c>
      <c r="AG39" s="98" t="str">
        <f t="shared" si="38"/>
        <v>1.83758675147067E-06i</v>
      </c>
      <c r="AH39" s="98">
        <f t="shared" si="53"/>
        <v>1.8375867514706701E-6</v>
      </c>
      <c r="AI39" s="98">
        <f t="shared" si="54"/>
        <v>1.5707963267948966</v>
      </c>
      <c r="AJ39" s="98" t="str">
        <f t="shared" si="39"/>
        <v>1+0.000100697707945568i</v>
      </c>
      <c r="AK39" s="98">
        <f t="shared" si="55"/>
        <v>1.0000000050700142</v>
      </c>
      <c r="AL39" s="98">
        <f t="shared" si="56"/>
        <v>1.006977076052088E-4</v>
      </c>
      <c r="AM39" s="98" t="str">
        <f t="shared" si="40"/>
        <v>1+0.05502672022371i</v>
      </c>
      <c r="AN39" s="98">
        <f t="shared" si="57"/>
        <v>1.0015128256485677</v>
      </c>
      <c r="AO39" s="98">
        <f t="shared" si="58"/>
        <v>5.4971281706325877E-2</v>
      </c>
      <c r="AP39" s="168" t="str">
        <f t="shared" si="59"/>
        <v>-0.356544351401485+6.49139170662569i</v>
      </c>
      <c r="AQ39" s="98">
        <f t="shared" si="60"/>
        <v>16.259838548783499</v>
      </c>
      <c r="AR39" s="169">
        <f t="shared" si="61"/>
        <v>93.143852882544763</v>
      </c>
      <c r="AS39" s="168" t="str">
        <f t="shared" si="62"/>
        <v>2336.6990397903+2901.62525362051i</v>
      </c>
      <c r="AT39" s="190">
        <f t="shared" si="63"/>
        <v>71.423766847507025</v>
      </c>
      <c r="AU39" s="169">
        <f t="shared" si="64"/>
        <v>51.155264441614683</v>
      </c>
      <c r="AV39" s="225"/>
      <c r="AX39">
        <f t="shared" si="65"/>
        <v>0</v>
      </c>
      <c r="AY39">
        <f t="shared" si="66"/>
        <v>0</v>
      </c>
    </row>
    <row r="40" spans="1:51" x14ac:dyDescent="0.2">
      <c r="B40" s="211">
        <f>wz_rhp/(2*PI())</f>
        <v>234051.38689984611</v>
      </c>
      <c r="C40" s="98" t="s">
        <v>69</v>
      </c>
      <c r="N40" s="170">
        <v>22</v>
      </c>
      <c r="O40" s="199">
        <f t="shared" si="41"/>
        <v>16.595869074375614</v>
      </c>
      <c r="P40" s="189" t="str">
        <f t="shared" si="32"/>
        <v>771.276595744681</v>
      </c>
      <c r="Q40" s="160" t="str">
        <f t="shared" si="33"/>
        <v>1+0.921790299235461i</v>
      </c>
      <c r="R40" s="160">
        <f t="shared" si="42"/>
        <v>1.3600357920895321</v>
      </c>
      <c r="S40" s="160">
        <f t="shared" si="43"/>
        <v>0.74472433596072996</v>
      </c>
      <c r="T40" s="160" t="str">
        <f t="shared" si="34"/>
        <v>1+0.000017351346809138i</v>
      </c>
      <c r="U40" s="160">
        <f t="shared" si="44"/>
        <v>1.0000000001505345</v>
      </c>
      <c r="V40" s="160">
        <f t="shared" si="45"/>
        <v>1.7351346807396681E-5</v>
      </c>
      <c r="W40" s="98" t="str">
        <f t="shared" si="35"/>
        <v>1-0.0000709069460950351i</v>
      </c>
      <c r="X40" s="160">
        <f t="shared" si="46"/>
        <v>1.0000000025138975</v>
      </c>
      <c r="Y40" s="160">
        <f t="shared" si="47"/>
        <v>-7.0906945976199895E-5</v>
      </c>
      <c r="Z40" s="98" t="str">
        <f t="shared" si="36"/>
        <v>0.999999889830852-0.000485486543000428i</v>
      </c>
      <c r="AA40" s="160">
        <f t="shared" si="48"/>
        <v>1.0000000076794497</v>
      </c>
      <c r="AB40" s="160">
        <f t="shared" si="49"/>
        <v>-4.8548655834346194E-4</v>
      </c>
      <c r="AC40" s="171" t="str">
        <f t="shared" si="50"/>
        <v>417.14045874173-384.182890058997i</v>
      </c>
      <c r="AD40" s="190">
        <f t="shared" si="51"/>
        <v>55.073196258719932</v>
      </c>
      <c r="AE40" s="169">
        <f t="shared" si="52"/>
        <v>-42.644813530230877</v>
      </c>
      <c r="AF40" s="98" t="str">
        <f t="shared" si="37"/>
        <v>-0.0000119284294234592</v>
      </c>
      <c r="AG40" s="98" t="str">
        <f t="shared" si="38"/>
        <v>0.0000018803896454879i</v>
      </c>
      <c r="AH40" s="98">
        <f t="shared" si="53"/>
        <v>1.8803896454878999E-6</v>
      </c>
      <c r="AI40" s="98">
        <f t="shared" si="54"/>
        <v>1.5707963267948966</v>
      </c>
      <c r="AJ40" s="98" t="str">
        <f t="shared" si="39"/>
        <v>1+0.000103043258879434i</v>
      </c>
      <c r="AK40" s="98">
        <f t="shared" si="55"/>
        <v>1.0000000053089566</v>
      </c>
      <c r="AL40" s="98">
        <f t="shared" si="56"/>
        <v>1.0304325851473254E-4</v>
      </c>
      <c r="AM40" s="98" t="str">
        <f t="shared" si="40"/>
        <v>1+0.0563084571931163i</v>
      </c>
      <c r="AN40" s="98">
        <f t="shared" si="57"/>
        <v>1.0015840665423292</v>
      </c>
      <c r="AO40" s="98">
        <f t="shared" si="58"/>
        <v>5.6249058824452303E-2</v>
      </c>
      <c r="AP40" s="168" t="str">
        <f t="shared" si="59"/>
        <v>-0.356544351231098+6.34363124506796i</v>
      </c>
      <c r="AQ40" s="98">
        <f t="shared" si="60"/>
        <v>16.060456380566798</v>
      </c>
      <c r="AR40" s="169">
        <f t="shared" si="61"/>
        <v>93.216929728404054</v>
      </c>
      <c r="AS40" s="168" t="str">
        <f t="shared" si="62"/>
        <v>2288.38551096445+2783.16348694619i</v>
      </c>
      <c r="AT40" s="190">
        <f t="shared" si="63"/>
        <v>71.133652639286723</v>
      </c>
      <c r="AU40" s="169">
        <f t="shared" si="64"/>
        <v>50.572116198173141</v>
      </c>
      <c r="AV40" s="225"/>
      <c r="AX40">
        <f t="shared" si="65"/>
        <v>0</v>
      </c>
      <c r="AY40">
        <f t="shared" si="66"/>
        <v>0</v>
      </c>
    </row>
    <row r="41" spans="1:51" x14ac:dyDescent="0.2">
      <c r="B41" s="211"/>
      <c r="N41" s="170">
        <v>23</v>
      </c>
      <c r="O41" s="199">
        <f t="shared" si="41"/>
        <v>16.982436524617448</v>
      </c>
      <c r="P41" s="189" t="str">
        <f t="shared" si="32"/>
        <v>771.276595744681</v>
      </c>
      <c r="Q41" s="160" t="str">
        <f t="shared" si="33"/>
        <v>1+0.943261553560023i</v>
      </c>
      <c r="R41" s="160">
        <f t="shared" si="42"/>
        <v>1.3746790019580819</v>
      </c>
      <c r="S41" s="160">
        <f t="shared" si="43"/>
        <v>0.75620892148715335</v>
      </c>
      <c r="T41" s="160" t="str">
        <f t="shared" si="34"/>
        <v>1+0.0000177555115964239i</v>
      </c>
      <c r="U41" s="160">
        <f t="shared" si="44"/>
        <v>1.000000000157629</v>
      </c>
      <c r="V41" s="160">
        <f t="shared" si="45"/>
        <v>1.7755511594558043E-5</v>
      </c>
      <c r="W41" s="98" t="str">
        <f t="shared" si="35"/>
        <v>1-0.0000725585810430784i</v>
      </c>
      <c r="X41" s="160">
        <f t="shared" si="46"/>
        <v>1.0000000026323739</v>
      </c>
      <c r="Y41" s="160">
        <f t="shared" si="47"/>
        <v>-7.2558580915744198E-5</v>
      </c>
      <c r="Z41" s="98" t="str">
        <f t="shared" si="36"/>
        <v>0.99999988463874-0.000496794977298945i</v>
      </c>
      <c r="AA41" s="160">
        <f t="shared" si="48"/>
        <v>1.0000000080413713</v>
      </c>
      <c r="AB41" s="160">
        <f t="shared" si="49"/>
        <v>-4.9679499373930195E-4</v>
      </c>
      <c r="AC41" s="171" t="str">
        <f t="shared" si="50"/>
        <v>408.308608264916-384.800914149973i</v>
      </c>
      <c r="AD41" s="190">
        <f t="shared" si="51"/>
        <v>54.980177035264447</v>
      </c>
      <c r="AE41" s="169">
        <f t="shared" si="52"/>
        <v>-43.302255359505672</v>
      </c>
      <c r="AF41" s="98" t="str">
        <f t="shared" si="37"/>
        <v>-0.0000119284294234592</v>
      </c>
      <c r="AG41" s="98" t="str">
        <f t="shared" si="38"/>
        <v>1.92418954698506E-06i</v>
      </c>
      <c r="AH41" s="98">
        <f t="shared" si="53"/>
        <v>1.9241895469850601E-6</v>
      </c>
      <c r="AI41" s="98">
        <f t="shared" si="54"/>
        <v>1.5707963267948966</v>
      </c>
      <c r="AJ41" s="98" t="str">
        <f t="shared" si="39"/>
        <v>1+0.000105443444713096i</v>
      </c>
      <c r="AK41" s="98">
        <f t="shared" si="55"/>
        <v>1.00000000555916</v>
      </c>
      <c r="AL41" s="98">
        <f t="shared" si="56"/>
        <v>1.0544344432231135E-4</v>
      </c>
      <c r="AM41" s="98" t="str">
        <f t="shared" si="40"/>
        <v>1+0.0576200496518565i</v>
      </c>
      <c r="AN41" s="98">
        <f t="shared" si="57"/>
        <v>1.0016586594852972</v>
      </c>
      <c r="AO41" s="98">
        <f t="shared" si="58"/>
        <v>5.7556408843911645E-2</v>
      </c>
      <c r="AP41" s="168" t="str">
        <f t="shared" si="59"/>
        <v>-0.356544351052678+6.19923426076429i</v>
      </c>
      <c r="AQ41" s="98">
        <f t="shared" si="60"/>
        <v>15.861103235673797</v>
      </c>
      <c r="AR41" s="169">
        <f t="shared" si="61"/>
        <v>93.291697846348583</v>
      </c>
      <c r="AS41" s="168" t="str">
        <f t="shared" si="62"/>
        <v>2239.89088280889+2668.39930554093i</v>
      </c>
      <c r="AT41" s="190">
        <f t="shared" si="63"/>
        <v>70.841280270938242</v>
      </c>
      <c r="AU41" s="169">
        <f t="shared" si="64"/>
        <v>49.989442486842947</v>
      </c>
      <c r="AV41" s="225"/>
      <c r="AX41">
        <f t="shared" si="65"/>
        <v>0</v>
      </c>
      <c r="AY41">
        <f t="shared" si="66"/>
        <v>0</v>
      </c>
    </row>
    <row r="42" spans="1:51" x14ac:dyDescent="0.2">
      <c r="A42" s="98" t="s">
        <v>254</v>
      </c>
      <c r="B42" s="209">
        <f>1/(Cout*Resr)</f>
        <v>6009615.384615384</v>
      </c>
      <c r="C42" s="98" t="s">
        <v>251</v>
      </c>
      <c r="E42" s="98" t="s">
        <v>244</v>
      </c>
      <c r="N42" s="170">
        <v>24</v>
      </c>
      <c r="O42" s="199">
        <f t="shared" si="41"/>
        <v>17.378008287493756</v>
      </c>
      <c r="P42" s="189" t="str">
        <f t="shared" si="32"/>
        <v>771.276595744681</v>
      </c>
      <c r="Q42" s="160" t="str">
        <f t="shared" si="33"/>
        <v>1+0.965232937645833i</v>
      </c>
      <c r="R42" s="160">
        <f t="shared" si="42"/>
        <v>1.3898469785974297</v>
      </c>
      <c r="S42" s="160">
        <f t="shared" si="43"/>
        <v>0.76770894431821801</v>
      </c>
      <c r="T42" s="160" t="str">
        <f t="shared" si="34"/>
        <v>1+0.0000181690905909803i</v>
      </c>
      <c r="U42" s="160">
        <f t="shared" si="44"/>
        <v>1.000000000165058</v>
      </c>
      <c r="V42" s="160">
        <f t="shared" si="45"/>
        <v>1.8169090588980997E-5</v>
      </c>
      <c r="W42" s="98" t="str">
        <f t="shared" si="35"/>
        <v>1-0.0000742486875112176i</v>
      </c>
      <c r="X42" s="160">
        <f t="shared" si="46"/>
        <v>1.0000000027564337</v>
      </c>
      <c r="Y42" s="160">
        <f t="shared" si="47"/>
        <v>-7.4248687374776548E-5</v>
      </c>
      <c r="Z42" s="98" t="str">
        <f t="shared" si="36"/>
        <v>0.999999879201931-0.000508366818870289i</v>
      </c>
      <c r="AA42" s="160">
        <f t="shared" si="48"/>
        <v>1.0000000084203495</v>
      </c>
      <c r="AB42" s="160">
        <f t="shared" si="49"/>
        <v>-5.0836683648644891E-4</v>
      </c>
      <c r="AC42" s="171" t="str">
        <f t="shared" si="50"/>
        <v>399.452999754511-385.216353855764i</v>
      </c>
      <c r="AD42" s="190">
        <f t="shared" si="51"/>
        <v>54.884863265704105</v>
      </c>
      <c r="AE42" s="169">
        <f t="shared" si="52"/>
        <v>-43.960568253915397</v>
      </c>
      <c r="AF42" s="98" t="str">
        <f t="shared" si="37"/>
        <v>-0.0000119284294234592</v>
      </c>
      <c r="AG42" s="98" t="str">
        <f t="shared" si="38"/>
        <v>1.96900967924969E-06i</v>
      </c>
      <c r="AH42" s="98">
        <f t="shared" si="53"/>
        <v>1.9690096792496898E-6</v>
      </c>
      <c r="AI42" s="98">
        <f t="shared" si="54"/>
        <v>1.5707963267948966</v>
      </c>
      <c r="AJ42" s="98" t="str">
        <f t="shared" si="39"/>
        <v>1+0.000107899538056855i</v>
      </c>
      <c r="AK42" s="98">
        <f t="shared" si="55"/>
        <v>1.0000000058211551</v>
      </c>
      <c r="AL42" s="98">
        <f t="shared" si="56"/>
        <v>1.078995376381217E-4</v>
      </c>
      <c r="AM42" s="98" t="str">
        <f t="shared" si="40"/>
        <v>1+0.0589621930236141i</v>
      </c>
      <c r="AN42" s="98">
        <f t="shared" si="57"/>
        <v>1.0017367619320725</v>
      </c>
      <c r="AO42" s="98">
        <f t="shared" si="58"/>
        <v>5.8894007053067653E-2</v>
      </c>
      <c r="AP42" s="168" t="str">
        <f t="shared" si="59"/>
        <v>-0.356544350865854+6.05812419252223i</v>
      </c>
      <c r="AQ42" s="98">
        <f t="shared" si="60"/>
        <v>15.661780472874922</v>
      </c>
      <c r="AR42" s="169">
        <f t="shared" si="61"/>
        <v>93.368195854636397</v>
      </c>
      <c r="AS42" s="168" t="str">
        <f t="shared" si="62"/>
        <v>2191.26580214992+2557.28259641679i</v>
      </c>
      <c r="AT42" s="190">
        <f t="shared" si="63"/>
        <v>70.546643738579021</v>
      </c>
      <c r="AU42" s="169">
        <f t="shared" si="64"/>
        <v>49.407627600720929</v>
      </c>
      <c r="AV42" s="225"/>
      <c r="AX42">
        <f t="shared" si="65"/>
        <v>0</v>
      </c>
      <c r="AY42">
        <f t="shared" si="66"/>
        <v>0</v>
      </c>
    </row>
    <row r="43" spans="1:51" x14ac:dyDescent="0.2">
      <c r="B43" s="209">
        <f>wz_esr/(2*PI())</f>
        <v>956459.99454264017</v>
      </c>
      <c r="C43" s="98" t="s">
        <v>69</v>
      </c>
      <c r="N43" s="170">
        <v>25</v>
      </c>
      <c r="O43" s="199">
        <f t="shared" si="41"/>
        <v>17.782794100389236</v>
      </c>
      <c r="P43" s="189" t="str">
        <f t="shared" si="32"/>
        <v>771.276595744681</v>
      </c>
      <c r="Q43" s="160" t="str">
        <f t="shared" si="33"/>
        <v>1+0.987716101011542i</v>
      </c>
      <c r="R43" s="160">
        <f t="shared" si="42"/>
        <v>1.4055543732625368</v>
      </c>
      <c r="S43" s="160">
        <f t="shared" si="43"/>
        <v>0.77921833590262757</v>
      </c>
      <c r="T43" s="160" t="str">
        <f t="shared" si="34"/>
        <v>1+0.0000185923030778643i</v>
      </c>
      <c r="U43" s="160">
        <f t="shared" si="44"/>
        <v>1.0000000001728369</v>
      </c>
      <c r="V43" s="160">
        <f t="shared" si="45"/>
        <v>1.8592303075722011E-5</v>
      </c>
      <c r="W43" s="98" t="str">
        <f t="shared" si="35"/>
        <v>1-0.0000759781616162721i</v>
      </c>
      <c r="X43" s="160">
        <f t="shared" si="46"/>
        <v>1.0000000028863405</v>
      </c>
      <c r="Y43" s="160">
        <f t="shared" si="47"/>
        <v>-7.5978161470072878E-5</v>
      </c>
      <c r="Z43" s="98" t="str">
        <f t="shared" si="36"/>
        <v>0.999999873508894-0.000520208203258024i</v>
      </c>
      <c r="AA43" s="160">
        <f t="shared" si="48"/>
        <v>1.0000000088171892</v>
      </c>
      <c r="AB43" s="160">
        <f t="shared" si="49"/>
        <v>-5.2020822213407912E-4</v>
      </c>
      <c r="AC43" s="171" t="str">
        <f t="shared" si="50"/>
        <v>390.582957161106-385.428111526385i</v>
      </c>
      <c r="AD43" s="190">
        <f t="shared" si="51"/>
        <v>54.787249994162927</v>
      </c>
      <c r="AE43" s="169">
        <f t="shared" si="52"/>
        <v>-44.619404198321284</v>
      </c>
      <c r="AF43" s="98" t="str">
        <f t="shared" si="37"/>
        <v>-0.0000119284294234592</v>
      </c>
      <c r="AG43" s="98" t="str">
        <f t="shared" si="38"/>
        <v>2.01487380650918E-06i</v>
      </c>
      <c r="AH43" s="98">
        <f t="shared" si="53"/>
        <v>2.0148738065091799E-6</v>
      </c>
      <c r="AI43" s="98">
        <f t="shared" si="54"/>
        <v>1.5707963267948966</v>
      </c>
      <c r="AJ43" s="98" t="str">
        <f t="shared" si="39"/>
        <v>1+0.00011041284116391i</v>
      </c>
      <c r="AK43" s="98">
        <f t="shared" si="55"/>
        <v>1.0000000060954977</v>
      </c>
      <c r="AL43" s="98">
        <f t="shared" si="56"/>
        <v>1.1041284071522918E-4</v>
      </c>
      <c r="AM43" s="98" t="str">
        <f t="shared" si="40"/>
        <v>1+0.0603355989305692i</v>
      </c>
      <c r="AN43" s="98">
        <f t="shared" si="57"/>
        <v>1.0018185387076397</v>
      </c>
      <c r="AO43" s="98">
        <f t="shared" si="58"/>
        <v>6.0262543507853664E-2</v>
      </c>
      <c r="AP43" s="168" t="str">
        <f t="shared" si="59"/>
        <v>-0.356544350670223+5.92022622191582i</v>
      </c>
      <c r="AQ43" s="98">
        <f t="shared" si="60"/>
        <v>15.462489514108359</v>
      </c>
      <c r="AR43" s="169">
        <f t="shared" si="61"/>
        <v>93.44646321594648</v>
      </c>
      <c r="AS43" s="168" t="str">
        <f t="shared" si="62"/>
        <v>2142.56146567814+2449.76168057283i</v>
      </c>
      <c r="AT43" s="190">
        <f t="shared" si="63"/>
        <v>70.24973950827129</v>
      </c>
      <c r="AU43" s="169">
        <f t="shared" si="64"/>
        <v>48.827059017625174</v>
      </c>
      <c r="AV43" s="225"/>
      <c r="AX43">
        <f t="shared" si="65"/>
        <v>0</v>
      </c>
      <c r="AY43">
        <f t="shared" si="66"/>
        <v>0</v>
      </c>
    </row>
    <row r="44" spans="1:51" x14ac:dyDescent="0.2">
      <c r="B44" s="211"/>
      <c r="N44" s="170">
        <v>26</v>
      </c>
      <c r="O44" s="199">
        <f t="shared" si="41"/>
        <v>18.197008586099841</v>
      </c>
      <c r="P44" s="189" t="str">
        <f t="shared" si="32"/>
        <v>771.276595744681</v>
      </c>
      <c r="Q44" s="160" t="str">
        <f t="shared" si="33"/>
        <v>1+1.01072296452798i</v>
      </c>
      <c r="R44" s="160">
        <f t="shared" si="42"/>
        <v>1.4218160608968478</v>
      </c>
      <c r="S44" s="160">
        <f t="shared" si="43"/>
        <v>0.79073100291148923</v>
      </c>
      <c r="T44" s="160" t="str">
        <f t="shared" si="34"/>
        <v>1+0.0000190253734499384i</v>
      </c>
      <c r="U44" s="160">
        <f t="shared" si="44"/>
        <v>1.0000000001809823</v>
      </c>
      <c r="V44" s="160">
        <f t="shared" si="45"/>
        <v>1.9025373447642895E-5</v>
      </c>
      <c r="W44" s="98" t="str">
        <f t="shared" si="35"/>
        <v>1-0.0000777479203483059i</v>
      </c>
      <c r="X44" s="160">
        <f t="shared" si="46"/>
        <v>1.0000000030223695</v>
      </c>
      <c r="Y44" s="160">
        <f t="shared" si="47"/>
        <v>-7.7747920191650592E-5</v>
      </c>
      <c r="Z44" s="98" t="str">
        <f t="shared" si="36"/>
        <v>0.999999867547551-0.000532325408920899i</v>
      </c>
      <c r="AA44" s="160">
        <f t="shared" si="48"/>
        <v>1.0000000092327301</v>
      </c>
      <c r="AB44" s="160">
        <f t="shared" si="49"/>
        <v>-5.3232542914695685E-4</v>
      </c>
      <c r="AC44" s="171" t="str">
        <f t="shared" si="50"/>
        <v>381.707865472884-385.435626571384i</v>
      </c>
      <c r="AD44" s="190">
        <f t="shared" si="51"/>
        <v>54.687334692464908</v>
      </c>
      <c r="AE44" s="169">
        <f t="shared" si="52"/>
        <v>-45.278413750648234</v>
      </c>
      <c r="AF44" s="98" t="str">
        <f t="shared" si="37"/>
        <v>-0.0000119284294234592</v>
      </c>
      <c r="AG44" s="98" t="str">
        <f t="shared" si="38"/>
        <v>2.06180624653089E-06i</v>
      </c>
      <c r="AH44" s="98">
        <f t="shared" si="53"/>
        <v>2.0618062465308901E-6</v>
      </c>
      <c r="AI44" s="98">
        <f t="shared" si="54"/>
        <v>1.5707963267948966</v>
      </c>
      <c r="AJ44" s="98" t="str">
        <f t="shared" si="39"/>
        <v>1+0.000112984686620837i</v>
      </c>
      <c r="AK44" s="98">
        <f t="shared" si="55"/>
        <v>1.0000000063827696</v>
      </c>
      <c r="AL44" s="98">
        <f t="shared" si="56"/>
        <v>1.1298468614006684E-4</v>
      </c>
      <c r="AM44" s="98" t="str">
        <f t="shared" si="40"/>
        <v>1+0.0617409955707137i</v>
      </c>
      <c r="AN44" s="98">
        <f t="shared" si="57"/>
        <v>1.0019041623499041</v>
      </c>
      <c r="AO44" s="98">
        <f t="shared" si="58"/>
        <v>6.1662723307857485E-2</v>
      </c>
      <c r="AP44" s="168" t="str">
        <f t="shared" si="59"/>
        <v>-0.356544350465374+5.7854672336157i</v>
      </c>
      <c r="AQ44" s="98">
        <f t="shared" si="60"/>
        <v>15.26323184737365</v>
      </c>
      <c r="AR44" s="169">
        <f t="shared" si="61"/>
        <v>93.526540253157762</v>
      </c>
      <c r="AS44" s="168" t="str">
        <f t="shared" si="62"/>
        <v>2093.82940523433+2345.78324362887i</v>
      </c>
      <c r="AT44" s="190">
        <f t="shared" si="63"/>
        <v>69.950566539838576</v>
      </c>
      <c r="AU44" s="169">
        <f t="shared" si="64"/>
        <v>48.2481265025095</v>
      </c>
      <c r="AV44" s="225"/>
      <c r="AX44">
        <f t="shared" si="65"/>
        <v>0</v>
      </c>
      <c r="AY44">
        <f t="shared" si="66"/>
        <v>0</v>
      </c>
    </row>
    <row r="45" spans="1:51" x14ac:dyDescent="0.2">
      <c r="A45" s="98" t="s">
        <v>247</v>
      </c>
      <c r="B45" s="211">
        <f>(Isl*(Rsl_int+R_sl)*Fsw)</f>
        <v>3999</v>
      </c>
      <c r="C45" s="98" t="s">
        <v>180</v>
      </c>
      <c r="E45" s="98" t="s">
        <v>248</v>
      </c>
      <c r="N45" s="170">
        <v>27</v>
      </c>
      <c r="O45" s="199">
        <f t="shared" si="41"/>
        <v>18.62087136662868</v>
      </c>
      <c r="P45" s="189" t="str">
        <f t="shared" si="32"/>
        <v>771.276595744681</v>
      </c>
      <c r="Q45" s="160" t="str">
        <f t="shared" si="33"/>
        <v>1+1.03426572673871i</v>
      </c>
      <c r="R45" s="160">
        <f t="shared" si="42"/>
        <v>1.4386471400264735</v>
      </c>
      <c r="S45" s="160">
        <f t="shared" si="43"/>
        <v>0.80224084334194068</v>
      </c>
      <c r="T45" s="160" t="str">
        <f t="shared" si="34"/>
        <v>1+0.0000194685313268463i</v>
      </c>
      <c r="U45" s="160">
        <f t="shared" si="44"/>
        <v>1.0000000001895117</v>
      </c>
      <c r="V45" s="160">
        <f t="shared" si="45"/>
        <v>1.9468531324386622E-5</v>
      </c>
      <c r="W45" s="98" t="str">
        <f t="shared" si="35"/>
        <v>1-0.0000795589020568236i</v>
      </c>
      <c r="X45" s="160">
        <f t="shared" si="46"/>
        <v>1.0000000031648093</v>
      </c>
      <c r="Y45" s="160">
        <f t="shared" si="47"/>
        <v>-7.955890188896443E-5</v>
      </c>
      <c r="Z45" s="98" t="str">
        <f t="shared" si="36"/>
        <v>0.99999986130526-0.000544724860561742i</v>
      </c>
      <c r="AA45" s="160">
        <f t="shared" si="48"/>
        <v>1.0000000096678563</v>
      </c>
      <c r="AB45" s="160">
        <f t="shared" si="49"/>
        <v>-5.4472488223435297E-4</v>
      </c>
      <c r="AC45" s="171" t="str">
        <f t="shared" si="50"/>
        <v>372.837131064401-385.238879076149i</v>
      </c>
      <c r="AD45" s="190">
        <f t="shared" si="51"/>
        <v>54.585117270833983</v>
      </c>
      <c r="AE45" s="169">
        <f t="shared" si="52"/>
        <v>-45.937246964383981</v>
      </c>
      <c r="AF45" s="98" t="str">
        <f t="shared" si="37"/>
        <v>-0.0000119284294234592</v>
      </c>
      <c r="AG45" s="98" t="str">
        <f t="shared" si="38"/>
        <v>2.10983188351575E-06i</v>
      </c>
      <c r="AH45" s="98">
        <f t="shared" si="53"/>
        <v>2.1098318835157501E-6</v>
      </c>
      <c r="AI45" s="98">
        <f t="shared" si="54"/>
        <v>1.5707963267948966</v>
      </c>
      <c r="AJ45" s="98" t="str">
        <f t="shared" si="39"/>
        <v>1+0.000115616438054139i</v>
      </c>
      <c r="AK45" s="98">
        <f t="shared" si="55"/>
        <v>1.0000000066835804</v>
      </c>
      <c r="AL45" s="98">
        <f t="shared" si="56"/>
        <v>1.1561643753898449E-4</v>
      </c>
      <c r="AM45" s="98" t="str">
        <f t="shared" si="40"/>
        <v>1+0.0631791281039484i</v>
      </c>
      <c r="AN45" s="98">
        <f t="shared" si="57"/>
        <v>1.0019938134679152</v>
      </c>
      <c r="AO45" s="98">
        <f t="shared" si="58"/>
        <v>6.309526687408247E-2</v>
      </c>
      <c r="AP45" s="168" t="str">
        <f t="shared" si="59"/>
        <v>-0.356544350250867+5.65377577662254i</v>
      </c>
      <c r="AQ45" s="98">
        <f t="shared" si="60"/>
        <v>15.06400902975415</v>
      </c>
      <c r="AR45" s="169">
        <f t="shared" si="61"/>
        <v>93.608468165223186</v>
      </c>
      <c r="AS45" s="168" t="str">
        <f t="shared" si="62"/>
        <v>2045.1212700892+2245.29228606893i</v>
      </c>
      <c r="AT45" s="190">
        <f t="shared" si="63"/>
        <v>69.649126300588136</v>
      </c>
      <c r="AU45" s="169">
        <f t="shared" si="64"/>
        <v>47.671221200839156</v>
      </c>
      <c r="AV45" s="225"/>
      <c r="AX45">
        <f t="shared" si="65"/>
        <v>0</v>
      </c>
      <c r="AY45">
        <f t="shared" si="66"/>
        <v>0</v>
      </c>
    </row>
    <row r="46" spans="1:51" x14ac:dyDescent="0.2">
      <c r="A46" s="98" t="s">
        <v>250</v>
      </c>
      <c r="B46" s="211">
        <f>(R_cs*VIN_var*Acs)/Lm</f>
        <v>23500</v>
      </c>
      <c r="C46" s="98" t="s">
        <v>180</v>
      </c>
      <c r="E46" s="98" t="s">
        <v>249</v>
      </c>
      <c r="N46" s="170">
        <v>28</v>
      </c>
      <c r="O46" s="199">
        <f t="shared" si="41"/>
        <v>19.054607179632477</v>
      </c>
      <c r="P46" s="189" t="str">
        <f t="shared" si="32"/>
        <v>771.276595744681</v>
      </c>
      <c r="Q46" s="160" t="str">
        <f t="shared" si="33"/>
        <v>1+1.05835687032789i</v>
      </c>
      <c r="R46" s="160">
        <f t="shared" si="42"/>
        <v>1.4560629330390382</v>
      </c>
      <c r="S46" s="160">
        <f t="shared" si="43"/>
        <v>0.81374176267680454</v>
      </c>
      <c r="T46" s="160" t="str">
        <f t="shared" si="34"/>
        <v>1+0.0000199220116767601i</v>
      </c>
      <c r="U46" s="160">
        <f t="shared" si="44"/>
        <v>1.0000000001984433</v>
      </c>
      <c r="V46" s="160">
        <f t="shared" si="45"/>
        <v>1.9922011674124507E-5</v>
      </c>
      <c r="W46" s="98" t="str">
        <f t="shared" si="35"/>
        <v>1-0.0000814120669482985i</v>
      </c>
      <c r="X46" s="160">
        <f t="shared" si="46"/>
        <v>1.0000000033139622</v>
      </c>
      <c r="Y46" s="160">
        <f t="shared" si="47"/>
        <v>-8.1412066768434151E-5</v>
      </c>
      <c r="Z46" s="98" t="str">
        <f t="shared" si="36"/>
        <v>0.999999854768778-0.000557413132533941i</v>
      </c>
      <c r="AA46" s="160">
        <f t="shared" si="48"/>
        <v>1.0000000101234887</v>
      </c>
      <c r="AB46" s="160">
        <f t="shared" si="49"/>
        <v>-5.5741315575656215E-4</v>
      </c>
      <c r="AC46" s="171" t="str">
        <f t="shared" si="50"/>
        <v>363.980141853073-384.838389930494i</v>
      </c>
      <c r="AD46" s="190">
        <f t="shared" si="51"/>
        <v>54.480600078273895</v>
      </c>
      <c r="AE46" s="169">
        <f t="shared" si="52"/>
        <v>-46.595554314285948</v>
      </c>
      <c r="AF46" s="98" t="str">
        <f t="shared" si="37"/>
        <v>-0.0000119284294234592</v>
      </c>
      <c r="AG46" s="98" t="str">
        <f t="shared" si="38"/>
        <v>2.15897618129217E-06i</v>
      </c>
      <c r="AH46" s="98">
        <f t="shared" si="53"/>
        <v>2.1589761812921699E-6</v>
      </c>
      <c r="AI46" s="98">
        <f t="shared" si="54"/>
        <v>1.5707963267948966</v>
      </c>
      <c r="AJ46" s="98" t="str">
        <f t="shared" si="39"/>
        <v>1+0.000118309490853263i</v>
      </c>
      <c r="AK46" s="98">
        <f t="shared" si="55"/>
        <v>1.0000000069985677</v>
      </c>
      <c r="AL46" s="98">
        <f t="shared" si="56"/>
        <v>1.1830949030126501E-4</v>
      </c>
      <c r="AM46" s="98" t="str">
        <f t="shared" si="40"/>
        <v>1+0.0646507590471784i</v>
      </c>
      <c r="AN46" s="98">
        <f t="shared" si="57"/>
        <v>1.0020876811164663</v>
      </c>
      <c r="AO46" s="98">
        <f t="shared" si="58"/>
        <v>6.4560910228109086E-2</v>
      </c>
      <c r="AP46" s="168" t="str">
        <f t="shared" si="59"/>
        <v>-0.356544350026254+5.52508202638274i</v>
      </c>
      <c r="AQ46" s="98">
        <f t="shared" si="60"/>
        <v>14.864822690573021</v>
      </c>
      <c r="AR46" s="169">
        <f t="shared" si="61"/>
        <v>93.69228904312304</v>
      </c>
      <c r="AS46" s="168" t="str">
        <f t="shared" si="62"/>
        <v>1996.48860816758+2148.23209331557i</v>
      </c>
      <c r="AT46" s="190">
        <f t="shared" si="63"/>
        <v>69.345422768846916</v>
      </c>
      <c r="AU46" s="169">
        <f t="shared" si="64"/>
        <v>47.096734728837028</v>
      </c>
      <c r="AV46" s="225"/>
      <c r="AX46">
        <f t="shared" si="65"/>
        <v>0</v>
      </c>
      <c r="AY46">
        <f t="shared" si="66"/>
        <v>0</v>
      </c>
    </row>
    <row r="47" spans="1:51" x14ac:dyDescent="0.2">
      <c r="B47" s="211"/>
      <c r="N47" s="170">
        <v>29</v>
      </c>
      <c r="O47" s="199">
        <f t="shared" si="41"/>
        <v>19.498445997580465</v>
      </c>
      <c r="P47" s="189" t="str">
        <f t="shared" si="32"/>
        <v>771.276595744681</v>
      </c>
      <c r="Q47" s="160" t="str">
        <f t="shared" si="33"/>
        <v>1+1.08300916873872i</v>
      </c>
      <c r="R47" s="160">
        <f t="shared" si="42"/>
        <v>1.4740789868837196</v>
      </c>
      <c r="S47" s="160">
        <f t="shared" si="43"/>
        <v>0.82522768999588958</v>
      </c>
      <c r="T47" s="160" t="str">
        <f t="shared" si="34"/>
        <v>1+0.0000203860549409641i</v>
      </c>
      <c r="U47" s="160">
        <f t="shared" si="44"/>
        <v>1.0000000002077956</v>
      </c>
      <c r="V47" s="160">
        <f t="shared" si="45"/>
        <v>2.038605493814001E-5</v>
      </c>
      <c r="W47" s="98" t="str">
        <f t="shared" si="35"/>
        <v>1-0.0000833083975952856i</v>
      </c>
      <c r="X47" s="160">
        <f t="shared" si="46"/>
        <v>1.0000000034701444</v>
      </c>
      <c r="Y47" s="160">
        <f t="shared" si="47"/>
        <v>-8.3308397402557486E-5</v>
      </c>
      <c r="Z47" s="98" t="str">
        <f t="shared" si="36"/>
        <v>0.999999847924241-0.000570396952327247i</v>
      </c>
      <c r="AA47" s="160">
        <f t="shared" si="48"/>
        <v>1.0000000106005942</v>
      </c>
      <c r="AB47" s="160">
        <f t="shared" si="49"/>
        <v>-5.7039697721073391E-4</v>
      </c>
      <c r="AC47" s="171" t="str">
        <f t="shared" si="50"/>
        <v>355.14622762163-384.23521746799i</v>
      </c>
      <c r="AD47" s="190">
        <f t="shared" si="51"/>
        <v>54.373787892626012</v>
      </c>
      <c r="AE47" s="169">
        <f t="shared" si="52"/>
        <v>-47.252987619313906</v>
      </c>
      <c r="AF47" s="98" t="str">
        <f t="shared" si="37"/>
        <v>-0.0000119284294234592</v>
      </c>
      <c r="AG47" s="98" t="str">
        <f t="shared" si="38"/>
        <v>2.20926519681734E-06i</v>
      </c>
      <c r="AH47" s="98">
        <f t="shared" si="53"/>
        <v>2.2092651968173399E-6</v>
      </c>
      <c r="AI47" s="98">
        <f t="shared" si="54"/>
        <v>1.5707963267948966</v>
      </c>
      <c r="AJ47" s="98" t="str">
        <f t="shared" si="39"/>
        <v>1+0.000121065272910448i</v>
      </c>
      <c r="AK47" s="98">
        <f t="shared" si="55"/>
        <v>1.0000000073284001</v>
      </c>
      <c r="AL47" s="98">
        <f t="shared" si="56"/>
        <v>1.210652723189715E-4</v>
      </c>
      <c r="AM47" s="98" t="str">
        <f t="shared" si="40"/>
        <v>1+0.0661566686786094i</v>
      </c>
      <c r="AN47" s="98">
        <f t="shared" si="57"/>
        <v>1.0021859631877965</v>
      </c>
      <c r="AO47" s="98">
        <f t="shared" si="58"/>
        <v>6.6060405272334491E-2</v>
      </c>
      <c r="AP47" s="168" t="str">
        <f t="shared" si="59"/>
        <v>-0.356544349791055+5.39931774776643i</v>
      </c>
      <c r="AQ47" s="98">
        <f t="shared" si="60"/>
        <v>14.665674534688309</v>
      </c>
      <c r="AR47" s="169">
        <f t="shared" si="61"/>
        <v>93.778045885879052</v>
      </c>
      <c r="AS47" s="168" t="str">
        <f t="shared" si="62"/>
        <v>1947.98264818371+2054.54422562871i</v>
      </c>
      <c r="AT47" s="190">
        <f t="shared" si="63"/>
        <v>69.039462427314305</v>
      </c>
      <c r="AU47" s="169">
        <f t="shared" si="64"/>
        <v>46.525058266565154</v>
      </c>
      <c r="AV47" s="225"/>
      <c r="AX47">
        <f t="shared" si="65"/>
        <v>0</v>
      </c>
      <c r="AY47">
        <f t="shared" si="66"/>
        <v>0</v>
      </c>
    </row>
    <row r="48" spans="1:51" x14ac:dyDescent="0.2">
      <c r="A48" s="98" t="s">
        <v>245</v>
      </c>
      <c r="B48" s="211">
        <f>2*PI()*Fsw</f>
        <v>628318.53071795858</v>
      </c>
      <c r="C48" s="98" t="s">
        <v>251</v>
      </c>
      <c r="N48" s="170">
        <v>30</v>
      </c>
      <c r="O48" s="199">
        <f t="shared" si="41"/>
        <v>19.952623149688804</v>
      </c>
      <c r="P48" s="189" t="str">
        <f t="shared" si="32"/>
        <v>771.276595744681</v>
      </c>
      <c r="Q48" s="160" t="str">
        <f t="shared" si="33"/>
        <v>1+1.10823569294614i</v>
      </c>
      <c r="R48" s="160">
        <f t="shared" si="42"/>
        <v>1.4927110742269623</v>
      </c>
      <c r="S48" s="160">
        <f t="shared" si="43"/>
        <v>0.8366925939352976</v>
      </c>
      <c r="T48" s="160" t="str">
        <f t="shared" si="34"/>
        <v>1+0.000020860907161339i</v>
      </c>
      <c r="U48" s="160">
        <f t="shared" si="44"/>
        <v>1.0000000002175886</v>
      </c>
      <c r="V48" s="160">
        <f t="shared" si="45"/>
        <v>2.0860907158312932E-5</v>
      </c>
      <c r="W48" s="98" t="str">
        <f t="shared" si="35"/>
        <v>1-0.0000852488994573947i</v>
      </c>
      <c r="X48" s="160">
        <f t="shared" si="46"/>
        <v>1.0000000036336874</v>
      </c>
      <c r="Y48" s="160">
        <f t="shared" si="47"/>
        <v>-8.5248899250882791E-5</v>
      </c>
      <c r="Z48" s="98" t="str">
        <f t="shared" si="36"/>
        <v>0.999999840757132-0.000583683204134772i</v>
      </c>
      <c r="AA48" s="160">
        <f t="shared" si="48"/>
        <v>1.0000000111001861</v>
      </c>
      <c r="AB48" s="160">
        <f t="shared" si="49"/>
        <v>-5.8368323079790801E-4</v>
      </c>
      <c r="AC48" s="171" t="str">
        <f t="shared" si="50"/>
        <v>346.344620862085-383.430950656271i</v>
      </c>
      <c r="AD48" s="190">
        <f t="shared" si="51"/>
        <v>54.264687900392545</v>
      </c>
      <c r="AE48" s="169">
        <f t="shared" si="52"/>
        <v>-47.909200956846725</v>
      </c>
      <c r="AF48" s="98" t="str">
        <f t="shared" si="37"/>
        <v>-0.0000119284294234592</v>
      </c>
      <c r="AG48" s="98" t="str">
        <f t="shared" si="38"/>
        <v>2.26072559399294E-06i</v>
      </c>
      <c r="AH48" s="98">
        <f t="shared" si="53"/>
        <v>2.2607255939929401E-6</v>
      </c>
      <c r="AI48" s="98">
        <f t="shared" si="54"/>
        <v>1.5707963267948966</v>
      </c>
      <c r="AJ48" s="98" t="str">
        <f t="shared" si="39"/>
        <v>1+0.000123885245377819i</v>
      </c>
      <c r="AK48" s="98">
        <f t="shared" si="55"/>
        <v>1.0000000076737769</v>
      </c>
      <c r="AL48" s="98">
        <f t="shared" si="56"/>
        <v>1.2388524474404053E-4</v>
      </c>
      <c r="AM48" s="98" t="str">
        <f t="shared" si="40"/>
        <v>1+0.0676976554514607i</v>
      </c>
      <c r="AN48" s="98">
        <f t="shared" si="57"/>
        <v>1.0022888668211498</v>
      </c>
      <c r="AO48" s="98">
        <f t="shared" si="58"/>
        <v>6.759452007094495E-2</v>
      </c>
      <c r="AP48" s="168" t="str">
        <f t="shared" si="59"/>
        <v>-0.356544349544772+5.27641625888839i</v>
      </c>
      <c r="AQ48" s="98">
        <f t="shared" si="60"/>
        <v>14.466566345933273</v>
      </c>
      <c r="AR48" s="169">
        <f t="shared" si="61"/>
        <v>93.865782616609707</v>
      </c>
      <c r="AS48" s="168" t="str">
        <f t="shared" si="62"/>
        <v>1899.65408464018+1964.16852759231i</v>
      </c>
      <c r="AT48" s="190">
        <f t="shared" si="63"/>
        <v>68.731254246325818</v>
      </c>
      <c r="AU48" s="169">
        <f t="shared" si="64"/>
        <v>45.956581659762897</v>
      </c>
      <c r="AV48" s="225"/>
      <c r="AX48">
        <f t="shared" si="65"/>
        <v>0</v>
      </c>
      <c r="AY48">
        <f t="shared" si="66"/>
        <v>0</v>
      </c>
    </row>
    <row r="49" spans="1:51" x14ac:dyDescent="0.2">
      <c r="A49" s="98" t="s">
        <v>246</v>
      </c>
      <c r="B49" s="211">
        <f>1/(PI()*(((VIN_var/VOUT)*(1+(B45/B46)))-0.5))</f>
        <v>-0.68367988005636748</v>
      </c>
      <c r="N49" s="170">
        <v>31</v>
      </c>
      <c r="O49" s="199">
        <f t="shared" si="41"/>
        <v>20.4173794466953</v>
      </c>
      <c r="P49" s="189" t="str">
        <f t="shared" si="32"/>
        <v>771.276595744681</v>
      </c>
      <c r="Q49" s="160" t="str">
        <f t="shared" si="33"/>
        <v>1+1.13404981838718i</v>
      </c>
      <c r="R49" s="160">
        <f t="shared" si="42"/>
        <v>1.5119751950954738</v>
      </c>
      <c r="S49" s="160">
        <f t="shared" si="43"/>
        <v>0.84813049839274313</v>
      </c>
      <c r="T49" s="160" t="str">
        <f t="shared" si="34"/>
        <v>1+0.0000213468201108175i</v>
      </c>
      <c r="U49" s="160">
        <f t="shared" si="44"/>
        <v>1.0000000002278433</v>
      </c>
      <c r="V49" s="160">
        <f t="shared" si="45"/>
        <v>2.1346820107575012E-5</v>
      </c>
      <c r="W49" s="98" t="str">
        <f t="shared" si="35"/>
        <v>1-0.0000872346014143983i</v>
      </c>
      <c r="X49" s="160">
        <f t="shared" si="46"/>
        <v>1.0000000038049377</v>
      </c>
      <c r="Y49" s="160">
        <f t="shared" si="47"/>
        <v>-8.7234601193116813E-5</v>
      </c>
      <c r="Z49" s="98" t="str">
        <f t="shared" si="36"/>
        <v>0.999999833252247-0.000597278932503087i</v>
      </c>
      <c r="AA49" s="160">
        <f t="shared" si="48"/>
        <v>1.0000000116233225</v>
      </c>
      <c r="AB49" s="160">
        <f t="shared" si="49"/>
        <v>-5.9727896107315175E-4</v>
      </c>
      <c r="AC49" s="171" t="str">
        <f t="shared" si="50"/>
        <v>337.584418488882-382.427698919749i</v>
      </c>
      <c r="AD49" s="190">
        <f t="shared" si="51"/>
        <v>54.153309666508001</v>
      </c>
      <c r="AE49" s="169">
        <f t="shared" si="52"/>
        <v>-48.563851562347509</v>
      </c>
      <c r="AF49" s="98" t="str">
        <f t="shared" si="37"/>
        <v>-0.0000119284294234592</v>
      </c>
      <c r="AG49" s="98" t="str">
        <f t="shared" si="38"/>
        <v>2.31338465780272E-06i</v>
      </c>
      <c r="AH49" s="98">
        <f t="shared" si="53"/>
        <v>2.3133846578027199E-6</v>
      </c>
      <c r="AI49" s="98">
        <f t="shared" si="54"/>
        <v>1.5707963267948966</v>
      </c>
      <c r="AJ49" s="98" t="str">
        <f t="shared" si="39"/>
        <v>1+0.000126770903442103i</v>
      </c>
      <c r="AK49" s="98">
        <f t="shared" si="55"/>
        <v>1.000000008035431</v>
      </c>
      <c r="AL49" s="98">
        <f t="shared" si="56"/>
        <v>1.2677090276299712E-4</v>
      </c>
      <c r="AM49" s="98" t="str">
        <f t="shared" si="40"/>
        <v>1+0.0692745364173165i</v>
      </c>
      <c r="AN49" s="98">
        <f t="shared" si="57"/>
        <v>1.0023966088309728</v>
      </c>
      <c r="AO49" s="98">
        <f t="shared" si="58"/>
        <v>6.9164039131244776E-2</v>
      </c>
      <c r="AP49" s="168" t="str">
        <f t="shared" si="59"/>
        <v>-0.356544349286879+5.15631239575245i</v>
      </c>
      <c r="AQ49" s="98">
        <f t="shared" si="60"/>
        <v>14.267499990707325</v>
      </c>
      <c r="AR49" s="169">
        <f t="shared" si="61"/>
        <v>93.955544098604605</v>
      </c>
      <c r="AS49" s="168" t="str">
        <f t="shared" si="62"/>
        <v>1851.55286759948+1877.04315672773i</v>
      </c>
      <c r="AT49" s="190">
        <f t="shared" si="63"/>
        <v>68.420809657215344</v>
      </c>
      <c r="AU49" s="169">
        <f t="shared" si="64"/>
        <v>45.391692536257189</v>
      </c>
      <c r="AV49" s="225"/>
      <c r="AX49">
        <f t="shared" si="65"/>
        <v>0</v>
      </c>
      <c r="AY49">
        <f t="shared" si="66"/>
        <v>0</v>
      </c>
    </row>
    <row r="50" spans="1:51" x14ac:dyDescent="0.2">
      <c r="A50" s="98" t="s">
        <v>544</v>
      </c>
      <c r="B50" s="209">
        <f>2*Fsw*((1-1/(B20/B17))/Dc_VIN_nom)^2</f>
        <v>1427335.6401384084</v>
      </c>
      <c r="C50" s="98" t="s">
        <v>251</v>
      </c>
      <c r="E50" s="98" t="s">
        <v>545</v>
      </c>
      <c r="N50" s="170">
        <v>32</v>
      </c>
      <c r="O50" s="199">
        <f t="shared" si="41"/>
        <v>20.8929613085404</v>
      </c>
      <c r="P50" s="189" t="str">
        <f t="shared" si="32"/>
        <v>771.276595744681</v>
      </c>
      <c r="Q50" s="160" t="str">
        <f t="shared" si="33"/>
        <v>1+1.16046523205287i</v>
      </c>
      <c r="R50" s="160">
        <f t="shared" si="42"/>
        <v>1.5318875790355904</v>
      </c>
      <c r="S50" s="160">
        <f t="shared" si="43"/>
        <v>0.85953549788011885</v>
      </c>
      <c r="T50" s="160" t="str">
        <f t="shared" si="34"/>
        <v>1+0.0000218440514268776i</v>
      </c>
      <c r="U50" s="160">
        <f t="shared" si="44"/>
        <v>1.0000000002385812</v>
      </c>
      <c r="V50" s="160">
        <f t="shared" si="45"/>
        <v>2.1844051423403214E-5</v>
      </c>
      <c r="W50" s="98" t="str">
        <f t="shared" si="35"/>
        <v>1-0.0000892665563117591i</v>
      </c>
      <c r="X50" s="160">
        <f t="shared" si="46"/>
        <v>1.0000000039842589</v>
      </c>
      <c r="Y50" s="160">
        <f t="shared" si="47"/>
        <v>-8.9266556074651721E-5</v>
      </c>
      <c r="Z50" s="98" t="str">
        <f t="shared" si="36"/>
        <v>0.999999825393667-0.000611191346067342i</v>
      </c>
      <c r="AA50" s="160">
        <f t="shared" si="48"/>
        <v>1.000000012171113</v>
      </c>
      <c r="AB50" s="160">
        <f t="shared" si="49"/>
        <v>-6.1119137668071795E-4</v>
      </c>
      <c r="AC50" s="171" t="str">
        <f t="shared" si="50"/>
        <v>328.874544755473-381.228078715452i</v>
      </c>
      <c r="AD50" s="190">
        <f t="shared" si="51"/>
        <v>54.039665094325485</v>
      </c>
      <c r="AE50" s="169">
        <f t="shared" si="52"/>
        <v>-49.216600708808791</v>
      </c>
      <c r="AF50" s="98" t="str">
        <f t="shared" si="37"/>
        <v>-0.0000119284294234592</v>
      </c>
      <c r="AG50" s="98" t="str">
        <f t="shared" si="38"/>
        <v>2.36727030877934E-06i</v>
      </c>
      <c r="AH50" s="98">
        <f t="shared" si="53"/>
        <v>2.3672703087793398E-6</v>
      </c>
      <c r="AI50" s="98">
        <f t="shared" si="54"/>
        <v>1.5707963267948966</v>
      </c>
      <c r="AJ50" s="98" t="str">
        <f t="shared" si="39"/>
        <v>1+0.000129723777117405i</v>
      </c>
      <c r="AK50" s="98">
        <f t="shared" si="55"/>
        <v>1.0000000084141292</v>
      </c>
      <c r="AL50" s="98">
        <f t="shared" si="56"/>
        <v>1.2972377638972992E-4</v>
      </c>
      <c r="AM50" s="98" t="str">
        <f t="shared" si="40"/>
        <v>1+0.0708881476593383i</v>
      </c>
      <c r="AN50" s="98">
        <f t="shared" si="57"/>
        <v>1.0025094161545676</v>
      </c>
      <c r="AO50" s="98">
        <f t="shared" si="58"/>
        <v>7.0769763684925754E-2</v>
      </c>
      <c r="AP50" s="168" t="str">
        <f t="shared" si="59"/>
        <v>-0.356544349016835+5.03894247770057i</v>
      </c>
      <c r="AQ50" s="98">
        <f t="shared" si="60"/>
        <v>14.068477421723546</v>
      </c>
      <c r="AR50" s="169">
        <f t="shared" si="61"/>
        <v>94.047376151394815</v>
      </c>
      <c r="AS50" s="168" t="str">
        <f t="shared" si="62"/>
        <v>1803.72799906342+1793.10463055533i</v>
      </c>
      <c r="AT50" s="190">
        <f t="shared" si="63"/>
        <v>68.108142516049028</v>
      </c>
      <c r="AU50" s="169">
        <f t="shared" si="64"/>
        <v>44.830775442586031</v>
      </c>
      <c r="AV50" s="225"/>
      <c r="AX50">
        <f t="shared" si="65"/>
        <v>0</v>
      </c>
      <c r="AY50">
        <f t="shared" si="66"/>
        <v>0</v>
      </c>
    </row>
    <row r="51" spans="1:51" x14ac:dyDescent="0.2">
      <c r="N51" s="170">
        <v>33</v>
      </c>
      <c r="O51" s="199">
        <f t="shared" si="41"/>
        <v>21.379620895022335</v>
      </c>
      <c r="P51" s="189" t="str">
        <f t="shared" si="32"/>
        <v>771.276595744681</v>
      </c>
      <c r="Q51" s="160" t="str">
        <f t="shared" si="33"/>
        <v>1+1.18749593974516i</v>
      </c>
      <c r="R51" s="160">
        <f t="shared" si="42"/>
        <v>1.5524646878145862</v>
      </c>
      <c r="S51" s="160">
        <f t="shared" si="43"/>
        <v>0.87090177242845945</v>
      </c>
      <c r="T51" s="160" t="str">
        <f t="shared" si="34"/>
        <v>1+0.0000223528647481442i</v>
      </c>
      <c r="U51" s="160">
        <f t="shared" si="44"/>
        <v>1.0000000002498253</v>
      </c>
      <c r="V51" s="160">
        <f t="shared" si="45"/>
        <v>2.2352864744421328E-5</v>
      </c>
      <c r="W51" s="98" t="str">
        <f t="shared" si="35"/>
        <v>1-0.0000913458415188582i</v>
      </c>
      <c r="X51" s="160">
        <f t="shared" si="46"/>
        <v>1.0000000041720314</v>
      </c>
      <c r="Y51" s="160">
        <f t="shared" si="47"/>
        <v>-9.1345841264793058E-5</v>
      </c>
      <c r="Z51" s="98" t="str">
        <f t="shared" si="36"/>
        <v>0.999999817164724-0.000625427821373351i</v>
      </c>
      <c r="AA51" s="160">
        <f t="shared" si="48"/>
        <v>1.0000000127447204</v>
      </c>
      <c r="AB51" s="160">
        <f t="shared" si="49"/>
        <v>-6.2542785417617414E-4</v>
      </c>
      <c r="AC51" s="171" t="str">
        <f t="shared" si="50"/>
        <v>320.223715690515-379.835197020121i</v>
      </c>
      <c r="AD51" s="190">
        <f t="shared" si="51"/>
        <v>53.92376837617406</v>
      </c>
      <c r="AE51" s="169">
        <f t="shared" si="52"/>
        <v>-49.867114560550029</v>
      </c>
      <c r="AF51" s="98" t="str">
        <f t="shared" si="37"/>
        <v>-0.0000119284294234592</v>
      </c>
      <c r="AG51" s="98" t="str">
        <f t="shared" si="38"/>
        <v>0.0000024224111178082i</v>
      </c>
      <c r="AH51" s="98">
        <f t="shared" si="53"/>
        <v>2.4224111178082002E-6</v>
      </c>
      <c r="AI51" s="98">
        <f t="shared" si="54"/>
        <v>1.5707963267948966</v>
      </c>
      <c r="AJ51" s="98" t="str">
        <f t="shared" si="39"/>
        <v>1+0.000132745432056431i</v>
      </c>
      <c r="AK51" s="98">
        <f t="shared" si="55"/>
        <v>1.0000000088106749</v>
      </c>
      <c r="AL51" s="98">
        <f t="shared" si="56"/>
        <v>1.327454312767131E-4</v>
      </c>
      <c r="AM51" s="98" t="str">
        <f t="shared" si="40"/>
        <v>1+0.072539344735564i</v>
      </c>
      <c r="AN51" s="98">
        <f t="shared" si="57"/>
        <v>1.0026275263200513</v>
      </c>
      <c r="AO51" s="98">
        <f t="shared" si="58"/>
        <v>7.2412511968822035E-2</v>
      </c>
      <c r="AP51" s="168" t="str">
        <f t="shared" si="59"/>
        <v>-0.356544348734061+4.92424427364867i</v>
      </c>
      <c r="AQ51" s="98">
        <f t="shared" si="60"/>
        <v>13.869500681919675</v>
      </c>
      <c r="AR51" s="169">
        <f t="shared" si="61"/>
        <v>94.141325566792261</v>
      </c>
      <c r="AS51" s="168" t="str">
        <f t="shared" si="62"/>
        <v>1756.22733769647+1712.28789122333i</v>
      </c>
      <c r="AT51" s="190">
        <f t="shared" si="63"/>
        <v>67.793269058093728</v>
      </c>
      <c r="AU51" s="169">
        <f t="shared" si="64"/>
        <v>44.274211006242204</v>
      </c>
      <c r="AV51" s="225"/>
      <c r="AX51">
        <f t="shared" si="65"/>
        <v>0</v>
      </c>
      <c r="AY51">
        <f t="shared" si="66"/>
        <v>0</v>
      </c>
    </row>
    <row r="52" spans="1:51" x14ac:dyDescent="0.2">
      <c r="N52" s="170">
        <v>34</v>
      </c>
      <c r="O52" s="199">
        <f t="shared" si="41"/>
        <v>21.877616239495538</v>
      </c>
      <c r="P52" s="189" t="str">
        <f t="shared" si="32"/>
        <v>771.276595744681</v>
      </c>
      <c r="Q52" s="160" t="str">
        <f t="shared" si="33"/>
        <v>1+1.21515627350307i</v>
      </c>
      <c r="R52" s="160">
        <f t="shared" si="42"/>
        <v>1.5737232186867767</v>
      </c>
      <c r="S52" s="160">
        <f t="shared" si="43"/>
        <v>0.88222360195600458</v>
      </c>
      <c r="T52" s="160" t="str">
        <f t="shared" si="34"/>
        <v>1+0.0000228735298541755i</v>
      </c>
      <c r="U52" s="160">
        <f t="shared" si="44"/>
        <v>1.0000000002615992</v>
      </c>
      <c r="V52" s="160">
        <f t="shared" si="45"/>
        <v>2.2873529850186369E-5</v>
      </c>
      <c r="W52" s="98" t="str">
        <f t="shared" si="35"/>
        <v>1-0.000093473559500236i</v>
      </c>
      <c r="X52" s="160">
        <f t="shared" si="46"/>
        <v>1.0000000043686532</v>
      </c>
      <c r="Y52" s="160">
        <f t="shared" si="47"/>
        <v>-9.3473559228000283E-5</v>
      </c>
      <c r="Z52" s="98" t="str">
        <f t="shared" si="36"/>
        <v>0.999999808547963-0.00063999590678877i</v>
      </c>
      <c r="AA52" s="160">
        <f t="shared" si="48"/>
        <v>1.0000000133453617</v>
      </c>
      <c r="AB52" s="160">
        <f t="shared" si="49"/>
        <v>-6.3999594193762802E-4</v>
      </c>
      <c r="AC52" s="171" t="str">
        <f t="shared" si="50"/>
        <v>311.64040534688-378.252631920791i</v>
      </c>
      <c r="AD52" s="190">
        <f t="shared" si="51"/>
        <v>53.805635934918413</v>
      </c>
      <c r="AE52" s="169">
        <f t="shared" si="52"/>
        <v>-50.515064996247048</v>
      </c>
      <c r="AF52" s="98" t="str">
        <f t="shared" si="37"/>
        <v>-0.0000119284294234592</v>
      </c>
      <c r="AG52" s="98" t="str">
        <f t="shared" si="38"/>
        <v>2.47883632127611E-06i</v>
      </c>
      <c r="AH52" s="98">
        <f t="shared" si="53"/>
        <v>2.4788363212761101E-6</v>
      </c>
      <c r="AI52" s="98">
        <f t="shared" si="54"/>
        <v>1.5707963267948966</v>
      </c>
      <c r="AJ52" s="98" t="str">
        <f t="shared" si="39"/>
        <v>1+0.000135837470380627i</v>
      </c>
      <c r="AK52" s="98">
        <f t="shared" si="55"/>
        <v>1.0000000092259091</v>
      </c>
      <c r="AL52" s="98">
        <f t="shared" si="56"/>
        <v>1.3583746954514423E-4</v>
      </c>
      <c r="AM52" s="98" t="str">
        <f t="shared" si="40"/>
        <v>1+0.0742290031325406i</v>
      </c>
      <c r="AN52" s="98">
        <f t="shared" si="57"/>
        <v>1.0027511879354971</v>
      </c>
      <c r="AO52" s="98">
        <f t="shared" si="58"/>
        <v>7.4093119504670901E-2</v>
      </c>
      <c r="AP52" s="168" t="str">
        <f t="shared" si="59"/>
        <v>-0.356544348437964+4.81215696909075i</v>
      </c>
      <c r="AQ52" s="98">
        <f t="shared" si="60"/>
        <v>13.670571908537973</v>
      </c>
      <c r="AR52" s="169">
        <f t="shared" si="61"/>
        <v>94.237440124871398</v>
      </c>
      <c r="AS52" s="168" t="str">
        <f t="shared" si="62"/>
        <v>1709.09741350321+1634.5263866334i</v>
      </c>
      <c r="AT52" s="190">
        <f t="shared" si="63"/>
        <v>67.476207843456407</v>
      </c>
      <c r="AU52" s="169">
        <f t="shared" si="64"/>
        <v>43.722375128624321</v>
      </c>
      <c r="AV52" s="225"/>
      <c r="AX52">
        <f t="shared" si="65"/>
        <v>0</v>
      </c>
      <c r="AY52">
        <f t="shared" si="66"/>
        <v>0</v>
      </c>
    </row>
    <row r="53" spans="1:51" ht="16" x14ac:dyDescent="0.2">
      <c r="A53" s="212" t="s">
        <v>261</v>
      </c>
      <c r="N53" s="170">
        <v>35</v>
      </c>
      <c r="O53" s="199">
        <f t="shared" si="41"/>
        <v>22.387211385683404</v>
      </c>
      <c r="P53" s="189" t="str">
        <f t="shared" si="32"/>
        <v>771.276595744681</v>
      </c>
      <c r="Q53" s="160" t="str">
        <f t="shared" si="33"/>
        <v>1+1.24346089920169i</v>
      </c>
      <c r="R53" s="160">
        <f t="shared" si="42"/>
        <v>1.5956801082433396</v>
      </c>
      <c r="S53" s="160">
        <f t="shared" si="43"/>
        <v>0.89349538001596485</v>
      </c>
      <c r="T53" s="160" t="str">
        <f t="shared" si="34"/>
        <v>1+0.0000234063228085024i</v>
      </c>
      <c r="U53" s="160">
        <f t="shared" si="44"/>
        <v>1.000000000273928</v>
      </c>
      <c r="V53" s="160">
        <f t="shared" si="45"/>
        <v>2.3406322804227971E-5</v>
      </c>
      <c r="W53" s="98" t="str">
        <f t="shared" si="35"/>
        <v>1-0.0000956508384001298i</v>
      </c>
      <c r="X53" s="160">
        <f t="shared" si="46"/>
        <v>1.0000000045745414</v>
      </c>
      <c r="Y53" s="160">
        <f t="shared" si="47"/>
        <v>-9.5650838108423991E-5</v>
      </c>
      <c r="Z53" s="98" t="str">
        <f t="shared" si="36"/>
        <v>0.999999799525107-0.000654903326505316i</v>
      </c>
      <c r="AA53" s="160">
        <f t="shared" si="48"/>
        <v>1.0000000139743106</v>
      </c>
      <c r="AB53" s="160">
        <f t="shared" si="49"/>
        <v>-6.5490336416799532E-4</v>
      </c>
      <c r="AC53" s="171" t="str">
        <f t="shared" si="50"/>
        <v>303.132814130033-376.484410531766i</v>
      </c>
      <c r="AD53" s="190">
        <f t="shared" si="51"/>
        <v>53.685286357026257</v>
      </c>
      <c r="AE53" s="169">
        <f t="shared" si="52"/>
        <v>-51.160130396416584</v>
      </c>
      <c r="AF53" s="98" t="str">
        <f t="shared" si="37"/>
        <v>-0.0000119284294234592</v>
      </c>
      <c r="AG53" s="98" t="str">
        <f t="shared" si="38"/>
        <v>2.53657583657285E-06i</v>
      </c>
      <c r="AH53" s="98">
        <f t="shared" si="53"/>
        <v>2.5365758365728501E-6</v>
      </c>
      <c r="AI53" s="98">
        <f t="shared" si="54"/>
        <v>1.5707963267948966</v>
      </c>
      <c r="AJ53" s="98" t="str">
        <f t="shared" si="39"/>
        <v>1+0.00013900153152964i</v>
      </c>
      <c r="AK53" s="98">
        <f t="shared" si="55"/>
        <v>1.0000000096607129</v>
      </c>
      <c r="AL53" s="98">
        <f t="shared" si="56"/>
        <v>1.3900153063440407E-4</v>
      </c>
      <c r="AM53" s="98" t="str">
        <f t="shared" si="40"/>
        <v>1+0.0759580187295151i</v>
      </c>
      <c r="AN53" s="98">
        <f t="shared" si="57"/>
        <v>1.0028806612001815</v>
      </c>
      <c r="AO53" s="98">
        <f t="shared" si="58"/>
        <v>7.581243937732958E-2</v>
      </c>
      <c r="AP53" s="168" t="str">
        <f t="shared" si="59"/>
        <v>-0.356544348127911+4.70262113385424i</v>
      </c>
      <c r="AQ53" s="98">
        <f t="shared" si="60"/>
        <v>13.471693337381328</v>
      </c>
      <c r="AR53" s="169">
        <f t="shared" si="61"/>
        <v>94.335768609861177</v>
      </c>
      <c r="AS53" s="168" t="str">
        <f t="shared" si="62"/>
        <v>1662.38325392317+1559.75216682597i</v>
      </c>
      <c r="AT53" s="190">
        <f t="shared" si="63"/>
        <v>67.156979694407596</v>
      </c>
      <c r="AU53" s="169">
        <f t="shared" si="64"/>
        <v>43.175638213444515</v>
      </c>
      <c r="AV53" s="225"/>
      <c r="AX53">
        <f t="shared" si="65"/>
        <v>0</v>
      </c>
      <c r="AY53">
        <f t="shared" si="66"/>
        <v>0</v>
      </c>
    </row>
    <row r="54" spans="1:51" x14ac:dyDescent="0.2">
      <c r="A54" s="98" t="s">
        <v>226</v>
      </c>
      <c r="N54" s="170">
        <v>36</v>
      </c>
      <c r="O54" s="199">
        <f t="shared" si="41"/>
        <v>22.908676527677727</v>
      </c>
      <c r="P54" s="189" t="str">
        <f t="shared" si="32"/>
        <v>771.276595744681</v>
      </c>
      <c r="Q54" s="160" t="str">
        <f t="shared" si="33"/>
        <v>1+1.27242482432822i</v>
      </c>
      <c r="R54" s="160">
        <f t="shared" si="42"/>
        <v>1.6183525368617004</v>
      </c>
      <c r="S54" s="160">
        <f t="shared" si="43"/>
        <v>0.9047116268478721</v>
      </c>
      <c r="T54" s="160" t="str">
        <f t="shared" si="34"/>
        <v>1+0.0000239515261050017i</v>
      </c>
      <c r="U54" s="160">
        <f t="shared" si="44"/>
        <v>1.0000000002868377</v>
      </c>
      <c r="V54" s="160">
        <f t="shared" si="45"/>
        <v>2.3951526100421567E-5</v>
      </c>
      <c r="W54" s="98" t="str">
        <f t="shared" si="35"/>
        <v>1-0.0000978788326406317i</v>
      </c>
      <c r="X54" s="160">
        <f t="shared" si="46"/>
        <v>1.000000004790133</v>
      </c>
      <c r="Y54" s="160">
        <f t="shared" si="47"/>
        <v>-9.7878832328063283E-5</v>
      </c>
      <c r="Z54" s="98" t="str">
        <f t="shared" si="36"/>
        <v>0.999999790077016-0.000670157984634244i</v>
      </c>
      <c r="AA54" s="160">
        <f t="shared" si="48"/>
        <v>1.0000000146329</v>
      </c>
      <c r="AB54" s="160">
        <f t="shared" si="49"/>
        <v>-6.7015802499053201E-4</v>
      </c>
      <c r="AC54" s="171" t="str">
        <f t="shared" si="50"/>
        <v>294.708839442039-374.534984487603i</v>
      </c>
      <c r="AD54" s="190">
        <f t="shared" si="51"/>
        <v>53.562740317715445</v>
      </c>
      <c r="AE54" s="169">
        <f t="shared" si="52"/>
        <v>-51.801996390996408</v>
      </c>
      <c r="AF54" s="98" t="str">
        <f t="shared" si="37"/>
        <v>-0.0000119284294234592</v>
      </c>
      <c r="AG54" s="98" t="str">
        <f t="shared" si="38"/>
        <v>2.59566027795369E-06i</v>
      </c>
      <c r="AH54" s="98">
        <f t="shared" si="53"/>
        <v>2.5956602779536898E-6</v>
      </c>
      <c r="AI54" s="98">
        <f t="shared" si="54"/>
        <v>1.5707963267948966</v>
      </c>
      <c r="AJ54" s="98" t="str">
        <f t="shared" si="39"/>
        <v>1+0.000142239293130573i</v>
      </c>
      <c r="AK54" s="98">
        <f t="shared" si="55"/>
        <v>1.0000000101160083</v>
      </c>
      <c r="AL54" s="98">
        <f t="shared" si="56"/>
        <v>1.4223929217131042E-4</v>
      </c>
      <c r="AM54" s="98" t="str">
        <f t="shared" si="40"/>
        <v>1+0.077727308273443i</v>
      </c>
      <c r="AN54" s="98">
        <f t="shared" si="57"/>
        <v>1.003016218438882</v>
      </c>
      <c r="AO54" s="98">
        <f t="shared" si="58"/>
        <v>7.7571342510881824E-2</v>
      </c>
      <c r="AP54" s="168" t="str">
        <f t="shared" si="59"/>
        <v>-0.356544347803244+4.59557869058945i</v>
      </c>
      <c r="AQ54" s="98">
        <f t="shared" si="60"/>
        <v>13.272867307252284</v>
      </c>
      <c r="AR54" s="169">
        <f t="shared" si="61"/>
        <v>94.436360825914932</v>
      </c>
      <c r="AS54" s="168" t="str">
        <f t="shared" si="62"/>
        <v>1616.12822264077+1487.89599424181i</v>
      </c>
      <c r="AT54" s="190">
        <f t="shared" si="63"/>
        <v>66.835607624967736</v>
      </c>
      <c r="AU54" s="169">
        <f t="shared" si="64"/>
        <v>42.634364434918396</v>
      </c>
      <c r="AV54" s="225"/>
      <c r="AX54">
        <f t="shared" si="65"/>
        <v>0</v>
      </c>
      <c r="AY54">
        <f t="shared" si="66"/>
        <v>0</v>
      </c>
    </row>
    <row r="55" spans="1:51" x14ac:dyDescent="0.2">
      <c r="A55" s="98" t="s">
        <v>224</v>
      </c>
      <c r="B55" s="187">
        <f>RFBT</f>
        <v>50000</v>
      </c>
      <c r="C55" s="206" t="s">
        <v>36</v>
      </c>
      <c r="E55" s="98" t="s">
        <v>227</v>
      </c>
      <c r="N55" s="170">
        <v>37</v>
      </c>
      <c r="O55" s="199">
        <f t="shared" si="41"/>
        <v>23.442288153199236</v>
      </c>
      <c r="P55" s="189" t="str">
        <f t="shared" si="32"/>
        <v>771.276595744681</v>
      </c>
      <c r="Q55" s="160" t="str">
        <f t="shared" si="33"/>
        <v>1+1.30206340593914i</v>
      </c>
      <c r="R55" s="160">
        <f t="shared" si="42"/>
        <v>1.6417579337666788</v>
      </c>
      <c r="S55" s="160">
        <f t="shared" si="43"/>
        <v>0.91586700166410717</v>
      </c>
      <c r="T55" s="160" t="str">
        <f t="shared" si="34"/>
        <v>1+0.0000245094288176778i</v>
      </c>
      <c r="U55" s="160">
        <f t="shared" si="44"/>
        <v>1.000000000300356</v>
      </c>
      <c r="V55" s="160">
        <f t="shared" si="45"/>
        <v>2.4509428812770098E-5</v>
      </c>
      <c r="W55" s="98" t="str">
        <f t="shared" si="35"/>
        <v>1-0.000100158723533779i</v>
      </c>
      <c r="X55" s="160">
        <f t="shared" si="46"/>
        <v>1.0000000050158848</v>
      </c>
      <c r="Y55" s="160">
        <f t="shared" si="47"/>
        <v>-1.0015872319885592E-4</v>
      </c>
      <c r="Z55" s="98" t="str">
        <f t="shared" si="36"/>
        <v>0.99999978018365-0.000685767969397216i</v>
      </c>
      <c r="AA55" s="160">
        <f t="shared" si="48"/>
        <v>1.0000000153225279</v>
      </c>
      <c r="AB55" s="160">
        <f t="shared" si="49"/>
        <v>-6.8576801263975763E-4</v>
      </c>
      <c r="AC55" s="171" t="str">
        <f t="shared" si="50"/>
        <v>286.376048844491-372.40920328374i</v>
      </c>
      <c r="AD55" s="190">
        <f t="shared" si="51"/>
        <v>53.43802049880761</v>
      </c>
      <c r="AE55" s="169">
        <f t="shared" si="52"/>
        <v>-52.440356563096628</v>
      </c>
      <c r="AF55" s="98" t="str">
        <f t="shared" si="37"/>
        <v>-0.0000119284294234592</v>
      </c>
      <c r="AG55" s="98" t="str">
        <f t="shared" si="38"/>
        <v>2.65612097277153E-06i</v>
      </c>
      <c r="AH55" s="98">
        <f t="shared" si="53"/>
        <v>2.6561209727715298E-6</v>
      </c>
      <c r="AI55" s="98">
        <f t="shared" si="54"/>
        <v>1.5707963267948966</v>
      </c>
      <c r="AJ55" s="98" t="str">
        <f t="shared" si="39"/>
        <v>1+0.000145552471887483i</v>
      </c>
      <c r="AK55" s="98">
        <f t="shared" si="55"/>
        <v>1.0000000105927609</v>
      </c>
      <c r="AL55" s="98">
        <f t="shared" si="56"/>
        <v>1.4555247085961464E-4</v>
      </c>
      <c r="AM55" s="98" t="str">
        <f t="shared" si="40"/>
        <v>1+0.0795378098650602i</v>
      </c>
      <c r="AN55" s="98">
        <f t="shared" si="57"/>
        <v>1.0031581446602178</v>
      </c>
      <c r="AO55" s="98">
        <f t="shared" si="58"/>
        <v>7.9370717942000527E-2</v>
      </c>
      <c r="AP55" s="168" t="str">
        <f t="shared" si="59"/>
        <v>-0.356544347463278+4.49097288397608i</v>
      </c>
      <c r="AQ55" s="98">
        <f t="shared" si="60"/>
        <v>13.074096264581403</v>
      </c>
      <c r="AR55" s="169">
        <f t="shared" si="61"/>
        <v>94.539267612721957</v>
      </c>
      <c r="AS55" s="168" t="str">
        <f t="shared" si="62"/>
        <v>1570.37387222604+1418.88746635494i</v>
      </c>
      <c r="AT55" s="190">
        <f t="shared" si="63"/>
        <v>66.512116763389017</v>
      </c>
      <c r="AU55" s="169">
        <f t="shared" si="64"/>
        <v>42.098911049625386</v>
      </c>
      <c r="AV55" s="225"/>
      <c r="AX55">
        <f t="shared" si="65"/>
        <v>0</v>
      </c>
      <c r="AY55">
        <f t="shared" si="66"/>
        <v>0</v>
      </c>
    </row>
    <row r="56" spans="1:51" x14ac:dyDescent="0.2">
      <c r="A56" s="98" t="s">
        <v>225</v>
      </c>
      <c r="B56" s="187">
        <f>RFBB</f>
        <v>300</v>
      </c>
      <c r="C56" s="206" t="s">
        <v>36</v>
      </c>
      <c r="E56" s="98" t="s">
        <v>228</v>
      </c>
      <c r="N56" s="170">
        <v>38</v>
      </c>
      <c r="O56" s="199">
        <f t="shared" si="41"/>
        <v>23.988329190194907</v>
      </c>
      <c r="P56" s="189" t="str">
        <f t="shared" si="32"/>
        <v>771.276595744681</v>
      </c>
      <c r="Q56" s="160" t="str">
        <f t="shared" si="33"/>
        <v>1+1.33239235880272i</v>
      </c>
      <c r="R56" s="160">
        <f t="shared" si="42"/>
        <v>1.6659139827121554</v>
      </c>
      <c r="S56" s="160">
        <f t="shared" si="43"/>
        <v>0.92695631411159474</v>
      </c>
      <c r="T56" s="160" t="str">
        <f t="shared" si="34"/>
        <v>1+0.0000250803267539336i</v>
      </c>
      <c r="U56" s="160">
        <f t="shared" si="44"/>
        <v>1.0000000003145113</v>
      </c>
      <c r="V56" s="160">
        <f t="shared" si="45"/>
        <v>2.5080326748674901E-5</v>
      </c>
      <c r="W56" s="98" t="str">
        <f t="shared" si="35"/>
        <v>1-0.000102491719907901i</v>
      </c>
      <c r="X56" s="160">
        <f t="shared" si="46"/>
        <v>1.0000000052522762</v>
      </c>
      <c r="Y56" s="160">
        <f t="shared" si="47"/>
        <v>-1.0249171954902444E-4</v>
      </c>
      <c r="Z56" s="98" t="str">
        <f t="shared" si="36"/>
        <v>0.999999769824025-0.000701741557414772i</v>
      </c>
      <c r="AA56" s="160">
        <f t="shared" si="48"/>
        <v>1.000000016044658</v>
      </c>
      <c r="AB56" s="160">
        <f t="shared" si="49"/>
        <v>-7.0174160374998954E-4</v>
      </c>
      <c r="AC56" s="171" t="str">
        <f t="shared" si="50"/>
        <v>278.141655908566-370.112285753914i</v>
      </c>
      <c r="AD56" s="190">
        <f t="shared" si="51"/>
        <v>53.311151499964637</v>
      </c>
      <c r="AE56" s="169">
        <f t="shared" si="52"/>
        <v>-53.074913105487418</v>
      </c>
      <c r="AF56" s="98" t="str">
        <f t="shared" si="37"/>
        <v>-0.0000119284294234592</v>
      </c>
      <c r="AG56" s="98" t="str">
        <f t="shared" si="38"/>
        <v>2.71798997808704E-06i</v>
      </c>
      <c r="AH56" s="98">
        <f t="shared" si="53"/>
        <v>2.7179899780870402E-6</v>
      </c>
      <c r="AI56" s="98">
        <f t="shared" si="54"/>
        <v>1.5707963267948966</v>
      </c>
      <c r="AJ56" s="98" t="str">
        <f t="shared" si="39"/>
        <v>1+0.000148942824491603i</v>
      </c>
      <c r="AK56" s="98">
        <f t="shared" si="55"/>
        <v>1.0000000110919824</v>
      </c>
      <c r="AL56" s="98">
        <f t="shared" si="56"/>
        <v>1.4894282339022221E-4</v>
      </c>
      <c r="AM56" s="98" t="str">
        <f t="shared" si="40"/>
        <v>1+0.0813904834562749i</v>
      </c>
      <c r="AN56" s="98">
        <f t="shared" si="57"/>
        <v>1.0033067381400596</v>
      </c>
      <c r="AO56" s="98">
        <f t="shared" si="58"/>
        <v>8.1211473089885022E-2</v>
      </c>
      <c r="AP56" s="168" t="str">
        <f t="shared" si="59"/>
        <v>-0.356544347107288+4.38874825063086i</v>
      </c>
      <c r="AQ56" s="98">
        <f t="shared" si="60"/>
        <v>12.875382768252701</v>
      </c>
      <c r="AR56" s="169">
        <f t="shared" si="61"/>
        <v>94.644540860921637</v>
      </c>
      <c r="AS56" s="168" t="str">
        <f t="shared" si="62"/>
        <v>1525.15981153022+1352.6551490768i</v>
      </c>
      <c r="AT56" s="190">
        <f t="shared" si="63"/>
        <v>66.186534268217329</v>
      </c>
      <c r="AU56" s="169">
        <f t="shared" si="64"/>
        <v>41.569627755434119</v>
      </c>
      <c r="AV56" s="225"/>
      <c r="AX56">
        <f t="shared" si="65"/>
        <v>0</v>
      </c>
      <c r="AY56">
        <f t="shared" si="66"/>
        <v>0</v>
      </c>
    </row>
    <row r="57" spans="1:51" x14ac:dyDescent="0.2">
      <c r="A57" s="98" t="s">
        <v>214</v>
      </c>
      <c r="B57" s="187">
        <f>RCOMP</f>
        <v>30000</v>
      </c>
      <c r="C57" s="206" t="s">
        <v>36</v>
      </c>
      <c r="E57" s="98" t="s">
        <v>221</v>
      </c>
      <c r="N57" s="170">
        <v>39</v>
      </c>
      <c r="O57" s="199">
        <f t="shared" si="41"/>
        <v>24.547089156850316</v>
      </c>
      <c r="P57" s="189" t="str">
        <f t="shared" si="32"/>
        <v>771.276595744681</v>
      </c>
      <c r="Q57" s="160" t="str">
        <f t="shared" si="33"/>
        <v>1+1.36342776373125i</v>
      </c>
      <c r="R57" s="160">
        <f t="shared" si="42"/>
        <v>1.6908386282886954</v>
      </c>
      <c r="S57" s="160">
        <f t="shared" si="43"/>
        <v>0.93797453485751814</v>
      </c>
      <c r="T57" s="160" t="str">
        <f t="shared" si="34"/>
        <v>1+0.0000256645226114117i</v>
      </c>
      <c r="U57" s="160">
        <f t="shared" si="44"/>
        <v>1.0000000003293339</v>
      </c>
      <c r="V57" s="160">
        <f t="shared" si="45"/>
        <v>2.5664522605776901E-5</v>
      </c>
      <c r="W57" s="98" t="str">
        <f t="shared" si="35"/>
        <v>1-0.000104879058748557i</v>
      </c>
      <c r="X57" s="160">
        <f t="shared" si="46"/>
        <v>1.0000000054998084</v>
      </c>
      <c r="Y57" s="160">
        <f t="shared" si="47"/>
        <v>-1.0487905836401384E-4</v>
      </c>
      <c r="Z57" s="98" t="str">
        <f t="shared" si="36"/>
        <v>0.999999758976166-0.000718087218094717i</v>
      </c>
      <c r="AA57" s="160">
        <f t="shared" si="48"/>
        <v>1.0000000168008212</v>
      </c>
      <c r="AB57" s="160">
        <f t="shared" si="49"/>
        <v>-7.1808726774379638E-4</v>
      </c>
      <c r="AC57" s="171" t="str">
        <f t="shared" si="50"/>
        <v>270.012498884047-367.649789986049i</v>
      </c>
      <c r="AD57" s="190">
        <f t="shared" si="51"/>
        <v>53.182159744022783</v>
      </c>
      <c r="AE57" s="169">
        <f t="shared" si="52"/>
        <v>-53.705377426893541</v>
      </c>
      <c r="AF57" s="98" t="str">
        <f t="shared" si="37"/>
        <v>-0.0000119284294234592</v>
      </c>
      <c r="AG57" s="98" t="str">
        <f t="shared" si="38"/>
        <v>2.78130009766579E-06i</v>
      </c>
      <c r="AH57" s="98">
        <f t="shared" si="53"/>
        <v>2.7813000976657901E-6</v>
      </c>
      <c r="AI57" s="98">
        <f t="shared" si="54"/>
        <v>1.5707963267948966</v>
      </c>
      <c r="AJ57" s="98" t="str">
        <f t="shared" si="39"/>
        <v>1+0.000152412148552759i</v>
      </c>
      <c r="AK57" s="98">
        <f t="shared" si="55"/>
        <v>1.0000000116147314</v>
      </c>
      <c r="AL57" s="98">
        <f t="shared" si="56"/>
        <v>1.5241214737260822E-4</v>
      </c>
      <c r="AM57" s="98" t="str">
        <f t="shared" si="40"/>
        <v>1+0.0832863113591485i</v>
      </c>
      <c r="AN57" s="98">
        <f t="shared" si="57"/>
        <v>1.0034623110310685</v>
      </c>
      <c r="AO57" s="98">
        <f t="shared" si="58"/>
        <v>8.3094534022043962E-2</v>
      </c>
      <c r="AP57" s="168" t="str">
        <f t="shared" si="59"/>
        <v>-0.35654434673452+4.28885058970005i</v>
      </c>
      <c r="AQ57" s="98">
        <f t="shared" si="60"/>
        <v>12.676729494632916</v>
      </c>
      <c r="AR57" s="169">
        <f t="shared" si="61"/>
        <v>94.752233527278364</v>
      </c>
      <c r="AS57" s="168" t="str">
        <f t="shared" si="62"/>
        <v>1480.52358856+1289.12671926289i</v>
      </c>
      <c r="AT57" s="190">
        <f t="shared" si="63"/>
        <v>65.858889238655706</v>
      </c>
      <c r="AU57" s="169">
        <f t="shared" si="64"/>
        <v>41.046856100384829</v>
      </c>
      <c r="AV57" s="225"/>
      <c r="AX57">
        <f t="shared" si="65"/>
        <v>0</v>
      </c>
      <c r="AY57">
        <f t="shared" si="66"/>
        <v>0</v>
      </c>
    </row>
    <row r="58" spans="1:51" x14ac:dyDescent="0.2">
      <c r="A58" s="98" t="s">
        <v>219</v>
      </c>
      <c r="B58" s="187">
        <f>CCOMP</f>
        <v>1.8000000000000002E-8</v>
      </c>
      <c r="C58" s="206" t="s">
        <v>193</v>
      </c>
      <c r="E58" s="98" t="s">
        <v>222</v>
      </c>
      <c r="N58" s="170">
        <v>40</v>
      </c>
      <c r="O58" s="199">
        <f t="shared" si="41"/>
        <v>25.118864315095799</v>
      </c>
      <c r="P58" s="189" t="str">
        <f t="shared" si="32"/>
        <v>771.276595744681</v>
      </c>
      <c r="Q58" s="160" t="str">
        <f t="shared" si="33"/>
        <v>1+1.39518607610721i</v>
      </c>
      <c r="R58" s="160">
        <f t="shared" si="42"/>
        <v>1.7165500828590563</v>
      </c>
      <c r="S58" s="160">
        <f t="shared" si="43"/>
        <v>0.94891680525694722</v>
      </c>
      <c r="T58" s="160" t="str">
        <f t="shared" si="34"/>
        <v>1+0.0000262623261384886i</v>
      </c>
      <c r="U58" s="160">
        <f t="shared" si="44"/>
        <v>1.0000000003448548</v>
      </c>
      <c r="V58" s="160">
        <f t="shared" si="45"/>
        <v>2.6262326132450808E-5</v>
      </c>
      <c r="W58" s="98" t="str">
        <f t="shared" si="35"/>
        <v>1-0.0001073220058544i</v>
      </c>
      <c r="X58" s="160">
        <f t="shared" si="46"/>
        <v>1.0000000057590064</v>
      </c>
      <c r="Y58" s="160">
        <f t="shared" si="47"/>
        <v>-1.0732200544235459E-4</v>
      </c>
      <c r="Z58" s="98" t="str">
        <f t="shared" si="36"/>
        <v>0.999999747617062-0.000734813618122708i</v>
      </c>
      <c r="AA58" s="160">
        <f t="shared" si="48"/>
        <v>1.0000000175926205</v>
      </c>
      <c r="AB58" s="160">
        <f t="shared" si="49"/>
        <v>-7.3481367132265509E-4</v>
      </c>
      <c r="AC58" s="171" t="str">
        <f t="shared" si="50"/>
        <v>261.995022282259-365.027581985903i</v>
      </c>
      <c r="AD58" s="190">
        <f t="shared" si="51"/>
        <v>53.051073377170383</v>
      </c>
      <c r="AE58" s="169">
        <f t="shared" si="52"/>
        <v>-54.331470705678434</v>
      </c>
      <c r="AF58" s="98" t="str">
        <f t="shared" si="37"/>
        <v>-0.0000119284294234592</v>
      </c>
      <c r="AG58" s="98" t="str">
        <f t="shared" si="38"/>
        <v>2.84608489937118E-06i</v>
      </c>
      <c r="AH58" s="98">
        <f t="shared" si="53"/>
        <v>2.8460848993711801E-6</v>
      </c>
      <c r="AI58" s="98">
        <f t="shared" si="54"/>
        <v>1.5707963267948966</v>
      </c>
      <c r="AJ58" s="98" t="str">
        <f t="shared" si="39"/>
        <v>1+0.000155962283552492i</v>
      </c>
      <c r="AK58" s="98">
        <f t="shared" si="55"/>
        <v>1.0000000121621169</v>
      </c>
      <c r="AL58" s="98">
        <f t="shared" si="56"/>
        <v>1.5596228228793768E-4</v>
      </c>
      <c r="AM58" s="98" t="str">
        <f t="shared" si="40"/>
        <v>1+0.08522629876673i</v>
      </c>
      <c r="AN58" s="98">
        <f t="shared" si="57"/>
        <v>1.0036251899994717</v>
      </c>
      <c r="AO58" s="98">
        <f t="shared" si="58"/>
        <v>8.5020845715124554E-2</v>
      </c>
      <c r="AP58" s="168" t="str">
        <f t="shared" si="59"/>
        <v>-0.356544346344187+4.19122693412155i</v>
      </c>
      <c r="AQ58" s="98">
        <f t="shared" si="60"/>
        <v>12.478139242812716</v>
      </c>
      <c r="AR58" s="169">
        <f t="shared" si="61"/>
        <v>94.86239964957123</v>
      </c>
      <c r="AS58" s="168" t="str">
        <f t="shared" si="62"/>
        <v>1436.50058935152+1228.22911461194i</v>
      </c>
      <c r="AT58" s="190">
        <f t="shared" si="63"/>
        <v>65.529212619983085</v>
      </c>
      <c r="AU58" s="169">
        <f t="shared" si="64"/>
        <v>40.530928943892754</v>
      </c>
      <c r="AV58" s="225"/>
      <c r="AX58">
        <f t="shared" si="65"/>
        <v>0</v>
      </c>
      <c r="AY58">
        <f t="shared" si="66"/>
        <v>0</v>
      </c>
    </row>
    <row r="59" spans="1:51" x14ac:dyDescent="0.2">
      <c r="A59" s="98" t="s">
        <v>220</v>
      </c>
      <c r="B59" s="187">
        <f>CHF</f>
        <v>3.3000000000000002E-11</v>
      </c>
      <c r="C59" s="206" t="s">
        <v>193</v>
      </c>
      <c r="E59" s="98" t="s">
        <v>223</v>
      </c>
      <c r="N59" s="170">
        <v>41</v>
      </c>
      <c r="O59" s="199">
        <f t="shared" si="41"/>
        <v>25.703957827688647</v>
      </c>
      <c r="P59" s="189" t="str">
        <f t="shared" si="32"/>
        <v>771.276595744681</v>
      </c>
      <c r="Q59" s="160" t="str">
        <f t="shared" si="33"/>
        <v>1+1.42768413460819i</v>
      </c>
      <c r="R59" s="160">
        <f t="shared" si="42"/>
        <v>1.743066834120808</v>
      </c>
      <c r="S59" s="160">
        <f t="shared" si="43"/>
        <v>0.95977844606974239</v>
      </c>
      <c r="T59" s="160" t="str">
        <f t="shared" si="34"/>
        <v>1+0.000026874054298507i</v>
      </c>
      <c r="U59" s="160">
        <f t="shared" si="44"/>
        <v>1.0000000003611074</v>
      </c>
      <c r="V59" s="160">
        <f t="shared" si="45"/>
        <v>2.6874054292037385E-5</v>
      </c>
      <c r="W59" s="98" t="str">
        <f t="shared" si="35"/>
        <v>1-0.000109821856508322i</v>
      </c>
      <c r="X59" s="160">
        <f t="shared" si="46"/>
        <v>1.0000000060304199</v>
      </c>
      <c r="Y59" s="160">
        <f t="shared" si="47"/>
        <v>-1.0982185606680737E-4</v>
      </c>
      <c r="Z59" s="98" t="str">
        <f t="shared" si="36"/>
        <v>0.999999735722621-0.000751929626057432i</v>
      </c>
      <c r="AA59" s="160">
        <f t="shared" si="48"/>
        <v>1.000000018421737</v>
      </c>
      <c r="AB59" s="160">
        <f t="shared" si="49"/>
        <v>-7.5192968306220134E-4</v>
      </c>
      <c r="AC59" s="171" t="str">
        <f t="shared" si="50"/>
        <v>254.09526143073-362.25180340045i</v>
      </c>
      <c r="AD59" s="190">
        <f t="shared" si="51"/>
        <v>52.91792216473069</v>
      </c>
      <c r="AE59" s="169">
        <f t="shared" si="52"/>
        <v>-54.952924389052058</v>
      </c>
      <c r="AF59" s="98" t="str">
        <f t="shared" si="37"/>
        <v>-0.0000119284294234592</v>
      </c>
      <c r="AG59" s="98" t="str">
        <f t="shared" si="38"/>
        <v>0.0000029123787329626i</v>
      </c>
      <c r="AH59" s="98">
        <f t="shared" si="53"/>
        <v>2.9123787329626002E-6</v>
      </c>
      <c r="AI59" s="98">
        <f t="shared" si="54"/>
        <v>1.5707963267948966</v>
      </c>
      <c r="AJ59" s="98" t="str">
        <f t="shared" si="39"/>
        <v>1+0.000159595111819369i</v>
      </c>
      <c r="AK59" s="98">
        <f t="shared" si="55"/>
        <v>1.0000000127352997</v>
      </c>
      <c r="AL59" s="98">
        <f t="shared" si="56"/>
        <v>1.5959511046437463E-4</v>
      </c>
      <c r="AM59" s="98" t="str">
        <f t="shared" si="40"/>
        <v>1+0.0872114742860205i</v>
      </c>
      <c r="AN59" s="98">
        <f t="shared" si="57"/>
        <v>1.0037957168902152</v>
      </c>
      <c r="AO59" s="98">
        <f t="shared" si="58"/>
        <v>8.6991372309933063E-2</v>
      </c>
      <c r="AP59" s="168" t="str">
        <f t="shared" si="59"/>
        <v>-0.356544345935457+4.09582552254097i</v>
      </c>
      <c r="AQ59" s="98">
        <f t="shared" si="60"/>
        <v>12.279614940066576</v>
      </c>
      <c r="AR59" s="169">
        <f t="shared" si="61"/>
        <v>94.975094361149843</v>
      </c>
      <c r="AS59" s="168" t="str">
        <f t="shared" si="62"/>
        <v>1393.12395316194+1169.88868923206i</v>
      </c>
      <c r="AT59" s="190">
        <f t="shared" si="63"/>
        <v>65.197537104797277</v>
      </c>
      <c r="AU59" s="169">
        <f t="shared" si="64"/>
        <v>40.022169972097821</v>
      </c>
      <c r="AV59" s="225"/>
      <c r="AX59">
        <f t="shared" si="65"/>
        <v>0</v>
      </c>
      <c r="AY59">
        <f t="shared" si="66"/>
        <v>0</v>
      </c>
    </row>
    <row r="60" spans="1:51" x14ac:dyDescent="0.2">
      <c r="N60" s="170">
        <v>42</v>
      </c>
      <c r="O60" s="199">
        <f t="shared" si="41"/>
        <v>26.302679918953825</v>
      </c>
      <c r="P60" s="189" t="str">
        <f t="shared" si="32"/>
        <v>771.276595744681</v>
      </c>
      <c r="Q60" s="160" t="str">
        <f t="shared" si="33"/>
        <v>1+1.46093917013497i</v>
      </c>
      <c r="R60" s="160">
        <f t="shared" si="42"/>
        <v>1.7704076532919346</v>
      </c>
      <c r="S60" s="160">
        <f t="shared" si="43"/>
        <v>0.97055496520321305</v>
      </c>
      <c r="T60" s="160" t="str">
        <f t="shared" si="34"/>
        <v>1+0.0000275000314378347i</v>
      </c>
      <c r="U60" s="160">
        <f t="shared" si="44"/>
        <v>1.0000000003781258</v>
      </c>
      <c r="V60" s="160">
        <f t="shared" si="45"/>
        <v>2.7500031430902387E-5</v>
      </c>
      <c r="W60" s="98" t="str">
        <f t="shared" si="35"/>
        <v>1-0.000112379936164228i</v>
      </c>
      <c r="X60" s="160">
        <f t="shared" si="46"/>
        <v>1.000000006314625</v>
      </c>
      <c r="Y60" s="160">
        <f t="shared" si="47"/>
        <v>-1.1237993569113657E-4</v>
      </c>
      <c r="Z60" s="98" t="str">
        <f t="shared" si="36"/>
        <v>0.999999723267612-0.000769444317032857i</v>
      </c>
      <c r="AA60" s="160">
        <f t="shared" si="48"/>
        <v>1.0000000192899288</v>
      </c>
      <c r="AB60" s="160">
        <f t="shared" si="49"/>
        <v>-7.694443781145671E-4</v>
      </c>
      <c r="AC60" s="171" t="str">
        <f t="shared" si="50"/>
        <v>246.318830021511-359.328838611172i</v>
      </c>
      <c r="AD60" s="190">
        <f t="shared" si="51"/>
        <v>52.78273738332696</v>
      </c>
      <c r="AE60" s="169">
        <f t="shared" si="52"/>
        <v>-55.569480636454244</v>
      </c>
      <c r="AF60" s="98" t="str">
        <f t="shared" si="37"/>
        <v>-0.0000119284294234592</v>
      </c>
      <c r="AG60" s="98" t="str">
        <f t="shared" si="38"/>
        <v>2.98021674830813E-06i</v>
      </c>
      <c r="AH60" s="98">
        <f t="shared" si="53"/>
        <v>2.9802167483081299E-6</v>
      </c>
      <c r="AI60" s="98">
        <f t="shared" si="54"/>
        <v>1.5707963267948966</v>
      </c>
      <c r="AJ60" s="98" t="str">
        <f t="shared" si="39"/>
        <v>1+0.000163312559527023i</v>
      </c>
      <c r="AK60" s="98">
        <f t="shared" si="55"/>
        <v>1.000000013335496</v>
      </c>
      <c r="AL60" s="98">
        <f t="shared" si="56"/>
        <v>1.6331255807512036E-4</v>
      </c>
      <c r="AM60" s="98" t="str">
        <f t="shared" si="40"/>
        <v>1+0.0892428904833578i</v>
      </c>
      <c r="AN60" s="98">
        <f t="shared" si="57"/>
        <v>1.0039742494216795</v>
      </c>
      <c r="AO60" s="98">
        <f t="shared" si="58"/>
        <v>8.9007097359731641E-2</v>
      </c>
      <c r="AP60" s="168" t="str">
        <f t="shared" si="59"/>
        <v>-0.356544345507463+4.0025957718671i</v>
      </c>
      <c r="AQ60" s="98">
        <f t="shared" si="60"/>
        <v>12.081159647539785</v>
      </c>
      <c r="AR60" s="169">
        <f t="shared" si="61"/>
        <v>95.090373905103434</v>
      </c>
      <c r="AS60" s="168" t="str">
        <f t="shared" si="62"/>
        <v>1350.42450409881+1114.03137315993i</v>
      </c>
      <c r="AT60" s="190">
        <f t="shared" si="63"/>
        <v>64.863897030866752</v>
      </c>
      <c r="AU60" s="169">
        <f t="shared" si="64"/>
        <v>39.520893268649218</v>
      </c>
      <c r="AV60" s="225"/>
      <c r="AX60">
        <f t="shared" si="65"/>
        <v>0</v>
      </c>
      <c r="AY60">
        <f t="shared" si="66"/>
        <v>0</v>
      </c>
    </row>
    <row r="61" spans="1:51" x14ac:dyDescent="0.2">
      <c r="A61" s="98" t="s">
        <v>264</v>
      </c>
      <c r="B61" s="211">
        <f>-(RFBB*gm_ea)/(RFBB+RFBT)</f>
        <v>-1.1928429423459245E-5</v>
      </c>
      <c r="C61" s="98" t="s">
        <v>180</v>
      </c>
      <c r="N61" s="170">
        <v>43</v>
      </c>
      <c r="O61" s="199">
        <f t="shared" si="41"/>
        <v>26.915348039269158</v>
      </c>
      <c r="P61" s="189" t="str">
        <f t="shared" si="32"/>
        <v>771.276595744681</v>
      </c>
      <c r="Q61" s="160" t="str">
        <f t="shared" si="33"/>
        <v>1+1.49496881494758i</v>
      </c>
      <c r="R61" s="160">
        <f t="shared" si="42"/>
        <v>1.7985916039128427</v>
      </c>
      <c r="S61" s="160">
        <f t="shared" si="43"/>
        <v>0.98124206446629869</v>
      </c>
      <c r="T61" s="160" t="str">
        <f t="shared" si="34"/>
        <v>1+0.0000281405894578367i</v>
      </c>
      <c r="U61" s="160">
        <f t="shared" si="44"/>
        <v>1.0000000003959464</v>
      </c>
      <c r="V61" s="160">
        <f t="shared" si="45"/>
        <v>2.814058945040859E-5</v>
      </c>
      <c r="W61" s="98" t="str">
        <f t="shared" si="35"/>
        <v>1-0.000114997601149813i</v>
      </c>
      <c r="X61" s="160">
        <f t="shared" si="46"/>
        <v>1.0000000066122241</v>
      </c>
      <c r="Y61" s="160">
        <f t="shared" si="47"/>
        <v>-1.149976006428864E-4</v>
      </c>
      <c r="Z61" s="98" t="str">
        <f t="shared" si="36"/>
        <v>0.999999710225616-0.000787366977569975i</v>
      </c>
      <c r="AA61" s="160">
        <f t="shared" si="48"/>
        <v>1.0000000201990364</v>
      </c>
      <c r="AB61" s="160">
        <f t="shared" si="49"/>
        <v>-7.8736704302020629E-4</v>
      </c>
      <c r="AC61" s="171" t="str">
        <f t="shared" si="50"/>
        <v>238.670910640218-356.265281500949i</v>
      </c>
      <c r="AD61" s="190">
        <f t="shared" si="51"/>
        <v>52.645551710203989</v>
      </c>
      <c r="AE61" s="169">
        <f t="shared" si="52"/>
        <v>-56.180892706292532</v>
      </c>
      <c r="AF61" s="98" t="str">
        <f t="shared" si="37"/>
        <v>-0.0000119284294234592</v>
      </c>
      <c r="AG61" s="98" t="str">
        <f t="shared" si="38"/>
        <v>3.04963491402145E-06i</v>
      </c>
      <c r="AH61" s="98">
        <f t="shared" si="53"/>
        <v>3.0496349140214501E-6</v>
      </c>
      <c r="AI61" s="98">
        <f t="shared" si="54"/>
        <v>1.5707963267948966</v>
      </c>
      <c r="AJ61" s="98" t="str">
        <f t="shared" si="39"/>
        <v>1+0.000167116597715437i</v>
      </c>
      <c r="AK61" s="98">
        <f t="shared" si="55"/>
        <v>1.0000000139639786</v>
      </c>
      <c r="AL61" s="98">
        <f t="shared" si="56"/>
        <v>1.6711659615969529E-4</v>
      </c>
      <c r="AM61" s="98" t="str">
        <f t="shared" si="40"/>
        <v>1+0.091321624442499i</v>
      </c>
      <c r="AN61" s="98">
        <f t="shared" si="57"/>
        <v>1.0041611619111828</v>
      </c>
      <c r="AO61" s="98">
        <f t="shared" si="58"/>
        <v>9.1069024070808122E-2</v>
      </c>
      <c r="AP61" s="168" t="str">
        <f t="shared" si="59"/>
        <v>-0.3565443450593+3.91148825045207i</v>
      </c>
      <c r="AQ61" s="98">
        <f t="shared" si="60"/>
        <v>11.882776566170056</v>
      </c>
      <c r="AR61" s="169">
        <f t="shared" si="61"/>
        <v>95.208295647986048</v>
      </c>
      <c r="AS61" s="168" t="str">
        <f t="shared" si="62"/>
        <v>1308.43069911604+1060.58283415403i</v>
      </c>
      <c r="AT61" s="190">
        <f t="shared" si="63"/>
        <v>64.528328276374054</v>
      </c>
      <c r="AU61" s="169">
        <f t="shared" si="64"/>
        <v>39.027402941693445</v>
      </c>
      <c r="AV61" s="225"/>
      <c r="AX61">
        <f t="shared" si="65"/>
        <v>0</v>
      </c>
      <c r="AY61">
        <f t="shared" si="66"/>
        <v>0</v>
      </c>
    </row>
    <row r="62" spans="1:51" x14ac:dyDescent="0.2">
      <c r="A62" s="98" t="s">
        <v>263</v>
      </c>
      <c r="B62" s="211">
        <f>1/(RCOMP*CCOMP)</f>
        <v>1851.8518518518515</v>
      </c>
      <c r="E62" s="98" t="s">
        <v>278</v>
      </c>
      <c r="N62" s="170">
        <v>44</v>
      </c>
      <c r="O62" s="199">
        <f t="shared" si="41"/>
        <v>27.542287033381665</v>
      </c>
      <c r="P62" s="189" t="str">
        <f t="shared" si="32"/>
        <v>771.276595744681</v>
      </c>
      <c r="Q62" s="160" t="str">
        <f t="shared" si="33"/>
        <v>1+1.52979111201413i</v>
      </c>
      <c r="R62" s="160">
        <f t="shared" si="42"/>
        <v>1.8276380512556167</v>
      </c>
      <c r="S62" s="160">
        <f t="shared" si="43"/>
        <v>0.99183564532991908</v>
      </c>
      <c r="T62" s="160" t="str">
        <f t="shared" si="34"/>
        <v>1+0.000028796067990854i</v>
      </c>
      <c r="U62" s="160">
        <f t="shared" si="44"/>
        <v>1.0000000004146068</v>
      </c>
      <c r="V62" s="160">
        <f t="shared" si="45"/>
        <v>2.8796067982894637E-5</v>
      </c>
      <c r="W62" s="98" t="str">
        <f t="shared" si="35"/>
        <v>1-0.000117676239385701i</v>
      </c>
      <c r="X62" s="160">
        <f t="shared" si="46"/>
        <v>1.0000000069238486</v>
      </c>
      <c r="Y62" s="160">
        <f t="shared" si="47"/>
        <v>-1.1767623884251936E-4</v>
      </c>
      <c r="Z62" s="98" t="str">
        <f t="shared" si="36"/>
        <v>0.99999969656897-0.000805707110500634i</v>
      </c>
      <c r="AA62" s="160">
        <f t="shared" si="48"/>
        <v>1.0000000211509898</v>
      </c>
      <c r="AB62" s="160">
        <f t="shared" si="49"/>
        <v>-8.0570718063181963E-4</v>
      </c>
      <c r="AC62" s="171" t="str">
        <f t="shared" si="50"/>
        <v>231.156248230022-353.06790218797i</v>
      </c>
      <c r="AD62" s="190">
        <f t="shared" si="51"/>
        <v>52.506399110474895</v>
      </c>
      <c r="AE62" s="169">
        <f t="shared" si="52"/>
        <v>-56.78692528573788</v>
      </c>
      <c r="AF62" s="98" t="str">
        <f t="shared" si="37"/>
        <v>-0.0000119284294234592</v>
      </c>
      <c r="AG62" s="98" t="str">
        <f t="shared" si="38"/>
        <v>3.12067003653287E-06i</v>
      </c>
      <c r="AH62" s="98">
        <f t="shared" si="53"/>
        <v>3.1206700365328699E-6</v>
      </c>
      <c r="AI62" s="98">
        <f t="shared" si="54"/>
        <v>1.5707963267948966</v>
      </c>
      <c r="AJ62" s="98" t="str">
        <f t="shared" si="39"/>
        <v>1+0.000171009243336009i</v>
      </c>
      <c r="AK62" s="98">
        <f t="shared" si="55"/>
        <v>1.0000000146220807</v>
      </c>
      <c r="AL62" s="98">
        <f t="shared" si="56"/>
        <v>1.7100924166900172E-4</v>
      </c>
      <c r="AM62" s="98" t="str">
        <f t="shared" si="40"/>
        <v>1+0.0934487783357043i</v>
      </c>
      <c r="AN62" s="98">
        <f t="shared" si="57"/>
        <v>1.0043568460325423</v>
      </c>
      <c r="AO62" s="98">
        <f t="shared" si="58"/>
        <v>9.3178175534258903E-2</v>
      </c>
      <c r="AP62" s="168" t="str">
        <f t="shared" si="59"/>
        <v>-0.356544344590015+3.82245465188209i</v>
      </c>
      <c r="AQ62" s="98">
        <f t="shared" si="60"/>
        <v>11.684469042852017</v>
      </c>
      <c r="AR62" s="169">
        <f t="shared" si="61"/>
        <v>95.328918093036805</v>
      </c>
      <c r="AS62" s="168" t="str">
        <f t="shared" si="62"/>
        <v>1267.1685921256+1009.46864013984i</v>
      </c>
      <c r="AT62" s="190">
        <f t="shared" si="63"/>
        <v>64.190868153326932</v>
      </c>
      <c r="AU62" s="169">
        <f t="shared" si="64"/>
        <v>38.541992807298847</v>
      </c>
      <c r="AV62" s="225"/>
      <c r="AX62">
        <f t="shared" si="65"/>
        <v>0</v>
      </c>
      <c r="AY62">
        <f t="shared" si="66"/>
        <v>0</v>
      </c>
    </row>
    <row r="63" spans="1:51" x14ac:dyDescent="0.2">
      <c r="A63" s="98" t="s">
        <v>268</v>
      </c>
      <c r="B63" s="211">
        <f>(CCOMP+CHF)</f>
        <v>1.8033000000000003E-8</v>
      </c>
      <c r="E63" s="98" t="s">
        <v>279</v>
      </c>
      <c r="N63" s="170">
        <v>45</v>
      </c>
      <c r="O63" s="199">
        <f t="shared" si="41"/>
        <v>28.183829312644548</v>
      </c>
      <c r="P63" s="189" t="str">
        <f t="shared" si="32"/>
        <v>771.276595744681</v>
      </c>
      <c r="Q63" s="160" t="str">
        <f t="shared" si="33"/>
        <v>1+1.56542452457744i</v>
      </c>
      <c r="R63" s="160">
        <f t="shared" si="42"/>
        <v>1.8575666723292878</v>
      </c>
      <c r="S63" s="160">
        <f t="shared" si="43"/>
        <v>1.0023318136967407</v>
      </c>
      <c r="T63" s="160" t="str">
        <f t="shared" si="34"/>
        <v>1+0.0000294668145802811i</v>
      </c>
      <c r="U63" s="160">
        <f t="shared" si="44"/>
        <v>1.0000000004341465</v>
      </c>
      <c r="V63" s="160">
        <f t="shared" si="45"/>
        <v>2.9466814571752486E-5</v>
      </c>
      <c r="W63" s="98" t="str">
        <f t="shared" si="35"/>
        <v>1-0.000120417271121341i</v>
      </c>
      <c r="X63" s="160">
        <f t="shared" si="46"/>
        <v>1.0000000072501596</v>
      </c>
      <c r="Y63" s="160">
        <f t="shared" si="47"/>
        <v>-1.2041727053931138E-4</v>
      </c>
      <c r="Z63" s="98" t="str">
        <f t="shared" si="36"/>
        <v>0.999999682268706-0.000824474440006074i</v>
      </c>
      <c r="AA63" s="160">
        <f t="shared" si="48"/>
        <v>1.0000000221478071</v>
      </c>
      <c r="AB63" s="160">
        <f t="shared" si="49"/>
        <v>-8.2447451515299248E-4</v>
      </c>
      <c r="AC63" s="171" t="str">
        <f t="shared" si="50"/>
        <v>223.77914641451-349.74361400593i</v>
      </c>
      <c r="AD63" s="190">
        <f t="shared" si="51"/>
        <v>52.365314723045032</v>
      </c>
      <c r="AE63" s="169">
        <f t="shared" si="52"/>
        <v>-57.387354763753635</v>
      </c>
      <c r="AF63" s="98" t="str">
        <f t="shared" si="37"/>
        <v>-0.0000119284294234592</v>
      </c>
      <c r="AG63" s="98" t="str">
        <f t="shared" si="38"/>
        <v>3.19335977960461E-06i</v>
      </c>
      <c r="AH63" s="98">
        <f t="shared" si="53"/>
        <v>3.1933597796046101E-6</v>
      </c>
      <c r="AI63" s="98">
        <f t="shared" si="54"/>
        <v>1.5707963267948966</v>
      </c>
      <c r="AJ63" s="98" t="str">
        <f t="shared" si="39"/>
        <v>1+0.000174992560320972i</v>
      </c>
      <c r="AK63" s="98">
        <f t="shared" si="55"/>
        <v>1.0000000153111979</v>
      </c>
      <c r="AL63" s="98">
        <f t="shared" si="56"/>
        <v>1.7499255853474152E-4</v>
      </c>
      <c r="AM63" s="98" t="str">
        <f t="shared" si="40"/>
        <v>1+0.0956254800081237i</v>
      </c>
      <c r="AN63" s="98">
        <f t="shared" si="57"/>
        <v>1.0045617116069994</v>
      </c>
      <c r="AO63" s="98">
        <f t="shared" si="58"/>
        <v>9.5335594947837887E-2</v>
      </c>
      <c r="AP63" s="168" t="str">
        <f t="shared" si="59"/>
        <v>-0.356544344098614+3.73544776936469i</v>
      </c>
      <c r="AQ63" s="98">
        <f t="shared" si="60"/>
        <v>11.486240576852193</v>
      </c>
      <c r="AR63" s="169">
        <f t="shared" si="61"/>
        <v>95.452300892829626</v>
      </c>
      <c r="AS63" s="168" t="str">
        <f t="shared" si="62"/>
        <v>1226.66181380669+960.614420762839i</v>
      </c>
      <c r="AT63" s="190">
        <f t="shared" si="63"/>
        <v>63.851555299897235</v>
      </c>
      <c r="AU63" s="169">
        <f t="shared" si="64"/>
        <v>38.064946129075949</v>
      </c>
      <c r="AV63" s="225"/>
      <c r="AX63">
        <f t="shared" si="65"/>
        <v>0</v>
      </c>
      <c r="AY63">
        <f t="shared" si="66"/>
        <v>0</v>
      </c>
    </row>
    <row r="64" spans="1:51" x14ac:dyDescent="0.2">
      <c r="A64" s="98" t="s">
        <v>269</v>
      </c>
      <c r="B64" s="211">
        <f>(CCOMP+CHF)/(RCOMP*CHF*CCOMP)</f>
        <v>1011952.861952862</v>
      </c>
      <c r="E64" s="98" t="s">
        <v>280</v>
      </c>
      <c r="N64" s="170">
        <v>46</v>
      </c>
      <c r="O64" s="199">
        <f t="shared" si="41"/>
        <v>28.840315031266066</v>
      </c>
      <c r="P64" s="189" t="str">
        <f t="shared" si="32"/>
        <v>771.276595744681</v>
      </c>
      <c r="Q64" s="160" t="str">
        <f t="shared" si="33"/>
        <v>1+1.60188794594452i</v>
      </c>
      <c r="R64" s="160">
        <f t="shared" si="42"/>
        <v>1.8883974664678924</v>
      </c>
      <c r="S64" s="160">
        <f t="shared" si="43"/>
        <v>1.0127268836916699</v>
      </c>
      <c r="T64" s="160" t="str">
        <f t="shared" si="34"/>
        <v>1+0.000030153184864838i</v>
      </c>
      <c r="U64" s="160">
        <f t="shared" si="44"/>
        <v>1.0000000004546072</v>
      </c>
      <c r="V64" s="160">
        <f t="shared" si="45"/>
        <v>3.015318485569943E-5</v>
      </c>
      <c r="W64" s="98" t="str">
        <f t="shared" si="35"/>
        <v>1-0.00012322214968804i</v>
      </c>
      <c r="X64" s="160">
        <f t="shared" si="46"/>
        <v>1.0000000075918489</v>
      </c>
      <c r="Y64" s="160">
        <f t="shared" si="47"/>
        <v>-1.2322214906438403E-4</v>
      </c>
      <c r="Z64" s="98" t="str">
        <f t="shared" si="36"/>
        <v>0.999999667294492-0.000843678916772815i</v>
      </c>
      <c r="AA64" s="160">
        <f t="shared" si="48"/>
        <v>1.0000000231916044</v>
      </c>
      <c r="AB64" s="160">
        <f t="shared" si="49"/>
        <v>-8.4367899729418749E-4</v>
      </c>
      <c r="AC64" s="171" t="str">
        <f t="shared" si="50"/>
        <v>216.54346657563-346.29944099262i</v>
      </c>
      <c r="AD64" s="190">
        <f t="shared" si="51"/>
        <v>52.222334745941296</v>
      </c>
      <c r="AE64" s="169">
        <f t="shared" si="52"/>
        <v>-57.98196944801272</v>
      </c>
      <c r="AF64" s="98" t="str">
        <f t="shared" si="37"/>
        <v>-0.0000119284294234592</v>
      </c>
      <c r="AG64" s="98" t="str">
        <f t="shared" si="38"/>
        <v>3.26774268430061E-06i</v>
      </c>
      <c r="AH64" s="98">
        <f t="shared" si="53"/>
        <v>3.2677426843006102E-6</v>
      </c>
      <c r="AI64" s="98">
        <f t="shared" si="54"/>
        <v>1.5707963267948966</v>
      </c>
      <c r="AJ64" s="98" t="str">
        <f t="shared" si="39"/>
        <v>1+0.000179068660677718i</v>
      </c>
      <c r="AK64" s="98">
        <f t="shared" si="55"/>
        <v>1.0000000160327924</v>
      </c>
      <c r="AL64" s="98">
        <f t="shared" si="56"/>
        <v>1.7906865876373757E-4</v>
      </c>
      <c r="AM64" s="98" t="str">
        <f t="shared" si="40"/>
        <v>1+0.0978528835757964i</v>
      </c>
      <c r="AN64" s="98">
        <f t="shared" si="57"/>
        <v>1.0047761874288712</v>
      </c>
      <c r="AO64" s="98">
        <f t="shared" si="58"/>
        <v>9.7542345826641674E-2</v>
      </c>
      <c r="AP64" s="168" t="str">
        <f t="shared" si="59"/>
        <v>-0.356544343584052+3.65042147069912i</v>
      </c>
      <c r="AQ64" s="98">
        <f t="shared" si="60"/>
        <v>11.288094826483231</v>
      </c>
      <c r="AR64" s="169">
        <f t="shared" si="61"/>
        <v>95.578504861281843</v>
      </c>
      <c r="AS64" s="168" t="str">
        <f t="shared" si="62"/>
        <v>1186.93156654294+913.946026599535i</v>
      </c>
      <c r="AT64" s="190">
        <f t="shared" si="63"/>
        <v>63.510429572424528</v>
      </c>
      <c r="AU64" s="169">
        <f t="shared" si="64"/>
        <v>37.596535413269137</v>
      </c>
      <c r="AV64" s="225"/>
      <c r="AX64">
        <f t="shared" si="65"/>
        <v>0</v>
      </c>
      <c r="AY64">
        <f t="shared" si="66"/>
        <v>0</v>
      </c>
    </row>
    <row r="65" spans="1:51" x14ac:dyDescent="0.2">
      <c r="N65" s="170">
        <v>47</v>
      </c>
      <c r="O65" s="199">
        <f t="shared" si="41"/>
        <v>29.512092266663863</v>
      </c>
      <c r="P65" s="189" t="str">
        <f t="shared" si="32"/>
        <v>771.276595744681</v>
      </c>
      <c r="Q65" s="160" t="str">
        <f t="shared" si="33"/>
        <v>1+1.63920070950404i</v>
      </c>
      <c r="R65" s="160">
        <f t="shared" si="42"/>
        <v>1.9201507664864621</v>
      </c>
      <c r="S65" s="160">
        <f t="shared" si="43"/>
        <v>1.0230173804919105</v>
      </c>
      <c r="T65" s="160" t="str">
        <f t="shared" si="34"/>
        <v>1+0.0000308555427671348i</v>
      </c>
      <c r="U65" s="160">
        <f t="shared" si="44"/>
        <v>1.0000000004760321</v>
      </c>
      <c r="V65" s="160">
        <f t="shared" si="45"/>
        <v>3.0855542757342646E-5</v>
      </c>
      <c r="W65" s="98" t="str">
        <f t="shared" si="35"/>
        <v>1-0.000126092362269541i</v>
      </c>
      <c r="X65" s="160">
        <f t="shared" si="46"/>
        <v>1.0000000079496418</v>
      </c>
      <c r="Y65" s="160">
        <f t="shared" si="47"/>
        <v>-1.2609236160128159E-4</v>
      </c>
      <c r="Z65" s="98" t="str">
        <f t="shared" si="36"/>
        <v>0.999999651614564-0.000863330723268638i</v>
      </c>
      <c r="AA65" s="160">
        <f t="shared" si="48"/>
        <v>1.0000000242845932</v>
      </c>
      <c r="AB65" s="160">
        <f t="shared" si="49"/>
        <v>-8.633308095488425E-4</v>
      </c>
      <c r="AC65" s="171" t="str">
        <f t="shared" si="50"/>
        <v>209.452629558565-342.742486129171i</v>
      </c>
      <c r="AD65" s="190">
        <f t="shared" si="51"/>
        <v>52.077496321746764</v>
      </c>
      <c r="AE65" s="169">
        <f t="shared" si="52"/>
        <v>-58.570569726778899</v>
      </c>
      <c r="AF65" s="98" t="str">
        <f t="shared" si="37"/>
        <v>-0.0000119284294234592</v>
      </c>
      <c r="AG65" s="98" t="str">
        <f t="shared" si="38"/>
        <v>3.34385818942152E-06i</v>
      </c>
      <c r="AH65" s="98">
        <f t="shared" si="53"/>
        <v>3.3438581894215202E-6</v>
      </c>
      <c r="AI65" s="98">
        <f t="shared" si="54"/>
        <v>1.5707963267948966</v>
      </c>
      <c r="AJ65" s="98" t="str">
        <f t="shared" si="39"/>
        <v>1+0.000183239705608609i</v>
      </c>
      <c r="AK65" s="98">
        <f t="shared" si="55"/>
        <v>1.0000000167883947</v>
      </c>
      <c r="AL65" s="98">
        <f t="shared" si="56"/>
        <v>1.8323970355774201E-4</v>
      </c>
      <c r="AM65" s="98" t="str">
        <f t="shared" si="40"/>
        <v>1+0.100132170037577i</v>
      </c>
      <c r="AN65" s="98">
        <f t="shared" si="57"/>
        <v>1.0050007221273198</v>
      </c>
      <c r="AO65" s="98">
        <f t="shared" si="58"/>
        <v>9.9799512201309837E-2</v>
      </c>
      <c r="AP65" s="168" t="str">
        <f t="shared" si="59"/>
        <v>-0.35654434304524+3.56733067381633i</v>
      </c>
      <c r="AQ65" s="98">
        <f t="shared" si="60"/>
        <v>11.090035616044805</v>
      </c>
      <c r="AR65" s="169">
        <f t="shared" si="61"/>
        <v>95.707591984946319</v>
      </c>
      <c r="AS65" s="168" t="str">
        <f t="shared" si="62"/>
        <v>1147.9966337836+869.389684686375i</v>
      </c>
      <c r="AT65" s="190">
        <f t="shared" si="63"/>
        <v>63.167531937791559</v>
      </c>
      <c r="AU65" s="169">
        <f t="shared" si="64"/>
        <v>37.137022258167477</v>
      </c>
      <c r="AV65" s="225"/>
      <c r="AX65">
        <f t="shared" si="65"/>
        <v>0</v>
      </c>
      <c r="AY65">
        <f t="shared" si="66"/>
        <v>0</v>
      </c>
    </row>
    <row r="66" spans="1:51" x14ac:dyDescent="0.2">
      <c r="N66" s="170">
        <v>48</v>
      </c>
      <c r="O66" s="199">
        <f t="shared" si="41"/>
        <v>30.199517204020164</v>
      </c>
      <c r="P66" s="189" t="str">
        <f t="shared" si="32"/>
        <v>771.276595744681</v>
      </c>
      <c r="Q66" s="160" t="str">
        <f t="shared" si="33"/>
        <v>1+1.67738259897712i</v>
      </c>
      <c r="R66" s="160">
        <f t="shared" si="42"/>
        <v>1.9528472503888363</v>
      </c>
      <c r="S66" s="160">
        <f t="shared" si="43"/>
        <v>1.0332000422223611</v>
      </c>
      <c r="T66" s="160" t="str">
        <f t="shared" si="34"/>
        <v>1+0.0000315742606866281i</v>
      </c>
      <c r="U66" s="160">
        <f t="shared" si="44"/>
        <v>1.0000000004984668</v>
      </c>
      <c r="V66" s="160">
        <f t="shared" si="45"/>
        <v>3.1574260676135618E-5</v>
      </c>
      <c r="W66" s="98" t="str">
        <f t="shared" si="35"/>
        <v>1-0.000129029430690547i</v>
      </c>
      <c r="X66" s="160">
        <f t="shared" si="46"/>
        <v>1.000000008324297</v>
      </c>
      <c r="Y66" s="160">
        <f t="shared" si="47"/>
        <v>-1.2902942997449412E-4</v>
      </c>
      <c r="Z66" s="98" t="str">
        <f t="shared" si="36"/>
        <v>0.999999635195664-0.000883440279141473i</v>
      </c>
      <c r="AA66" s="160">
        <f t="shared" si="48"/>
        <v>1.0000000254290937</v>
      </c>
      <c r="AB66" s="160">
        <f t="shared" si="49"/>
        <v>-8.8344037159237675E-4</v>
      </c>
      <c r="AC66" s="171" t="str">
        <f t="shared" si="50"/>
        <v>202.509619854122-339.079900550128i</v>
      </c>
      <c r="AD66" s="190">
        <f t="shared" si="51"/>
        <v>51.930837423802181</v>
      </c>
      <c r="AE66" s="169">
        <f t="shared" si="52"/>
        <v>-59.152968177228523</v>
      </c>
      <c r="AF66" s="98" t="str">
        <f t="shared" si="37"/>
        <v>-0.0000119284294234592</v>
      </c>
      <c r="AG66" s="98" t="str">
        <f t="shared" si="38"/>
        <v>3.42174665241565E-06i</v>
      </c>
      <c r="AH66" s="98">
        <f t="shared" si="53"/>
        <v>3.4217466524156501E-6</v>
      </c>
      <c r="AI66" s="98">
        <f t="shared" si="54"/>
        <v>1.5707963267948966</v>
      </c>
      <c r="AJ66" s="98" t="str">
        <f t="shared" si="39"/>
        <v>1+0.000187507906656878i</v>
      </c>
      <c r="AK66" s="98">
        <f t="shared" si="55"/>
        <v>1.0000000175796073</v>
      </c>
      <c r="AL66" s="98">
        <f t="shared" si="56"/>
        <v>1.8750790445933445E-4</v>
      </c>
      <c r="AM66" s="98" t="str">
        <f t="shared" si="40"/>
        <v>1+0.102464547901317i</v>
      </c>
      <c r="AN66" s="98">
        <f t="shared" si="57"/>
        <v>1.0052357850656837</v>
      </c>
      <c r="AO66" s="98">
        <f t="shared" si="58"/>
        <v>0.10210819880233245</v>
      </c>
      <c r="AP66" s="168" t="str">
        <f t="shared" si="59"/>
        <v>-0.356544342481035+3.486131322876i</v>
      </c>
      <c r="AQ66" s="98">
        <f t="shared" si="60"/>
        <v>10.892066943040481</v>
      </c>
      <c r="AR66" s="169">
        <f t="shared" si="61"/>
        <v>95.83962543350556</v>
      </c>
      <c r="AS66" s="168" t="str">
        <f t="shared" si="62"/>
        <v>1109.87340300851+826.872149147346i</v>
      </c>
      <c r="AT66" s="190">
        <f t="shared" si="63"/>
        <v>62.822904366842671</v>
      </c>
      <c r="AU66" s="169">
        <f t="shared" si="64"/>
        <v>36.68665725627698</v>
      </c>
      <c r="AV66" s="225"/>
      <c r="AX66">
        <f t="shared" si="65"/>
        <v>0</v>
      </c>
      <c r="AY66">
        <f t="shared" si="66"/>
        <v>0</v>
      </c>
    </row>
    <row r="67" spans="1:51" x14ac:dyDescent="0.2">
      <c r="N67" s="170">
        <v>49</v>
      </c>
      <c r="O67" s="199">
        <f t="shared" si="41"/>
        <v>30.902954325135919</v>
      </c>
      <c r="P67" s="189" t="str">
        <f t="shared" si="32"/>
        <v>771.276595744681</v>
      </c>
      <c r="Q67" s="160" t="str">
        <f t="shared" si="33"/>
        <v>1+1.71645385890697i</v>
      </c>
      <c r="R67" s="160">
        <f t="shared" si="42"/>
        <v>1.9865079536102113</v>
      </c>
      <c r="S67" s="160">
        <f t="shared" si="43"/>
        <v>1.0432718209483682</v>
      </c>
      <c r="T67" s="160" t="str">
        <f t="shared" si="34"/>
        <v>1+0.0000323097196970723i</v>
      </c>
      <c r="U67" s="160">
        <f t="shared" si="44"/>
        <v>1.0000000005219589</v>
      </c>
      <c r="V67" s="160">
        <f t="shared" si="45"/>
        <v>3.2309719685829403E-5</v>
      </c>
      <c r="W67" s="98" t="str">
        <f t="shared" si="35"/>
        <v>1-0.000132034912223612i</v>
      </c>
      <c r="X67" s="160">
        <f t="shared" si="46"/>
        <v>1.000000008716609</v>
      </c>
      <c r="Y67" s="160">
        <f t="shared" si="47"/>
        <v>-1.3203491145634755E-4</v>
      </c>
      <c r="Z67" s="98" t="str">
        <f t="shared" si="36"/>
        <v>0.999999618002966-0.000904018246744022i</v>
      </c>
      <c r="AA67" s="160">
        <f t="shared" si="48"/>
        <v>1.000000026627534</v>
      </c>
      <c r="AB67" s="160">
        <f t="shared" si="49"/>
        <v>-9.0401834580694821E-4</v>
      </c>
      <c r="AC67" s="171" t="str">
        <f t="shared" si="50"/>
        <v>195.716992091504-335.318853920968i</v>
      </c>
      <c r="AD67" s="190">
        <f t="shared" si="51"/>
        <v>51.782396743795374</v>
      </c>
      <c r="AE67" s="169">
        <f t="shared" si="52"/>
        <v>-59.728989622051991</v>
      </c>
      <c r="AF67" s="98" t="str">
        <f t="shared" si="37"/>
        <v>-0.0000119284294234592</v>
      </c>
      <c r="AG67" s="98" t="str">
        <f t="shared" si="38"/>
        <v>3.50144937077706E-06i</v>
      </c>
      <c r="AH67" s="98">
        <f t="shared" si="53"/>
        <v>3.5014493707770602E-6</v>
      </c>
      <c r="AI67" s="98">
        <f t="shared" si="54"/>
        <v>1.5707963267948966</v>
      </c>
      <c r="AJ67" s="98" t="str">
        <f t="shared" si="39"/>
        <v>1+0.000191875526879216i</v>
      </c>
      <c r="AK67" s="98">
        <f t="shared" si="55"/>
        <v>1.0000000184081088</v>
      </c>
      <c r="AL67" s="98">
        <f t="shared" si="56"/>
        <v>1.9187552452450566E-4</v>
      </c>
      <c r="AM67" s="98" t="str">
        <f t="shared" si="40"/>
        <v>1+0.104851253824634i</v>
      </c>
      <c r="AN67" s="98">
        <f t="shared" si="57"/>
        <v>1.0054818672798618</v>
      </c>
      <c r="AO67" s="98">
        <f t="shared" si="58"/>
        <v>0.10446953122895485</v>
      </c>
      <c r="AP67" s="168" t="str">
        <f t="shared" si="59"/>
        <v>-0.356544341890243+3.40678036490746i</v>
      </c>
      <c r="AQ67" s="98">
        <f t="shared" si="60"/>
        <v>10.69419298567766</v>
      </c>
      <c r="AR67" s="169">
        <f t="shared" si="61"/>
        <v>95.974669569382144</v>
      </c>
      <c r="AS67" s="168" t="str">
        <f t="shared" si="62"/>
        <v>1072.57590137922+786.320845830727i</v>
      </c>
      <c r="AT67" s="190">
        <f t="shared" si="63"/>
        <v>62.476589729473027</v>
      </c>
      <c r="AU67" s="169">
        <f t="shared" si="64"/>
        <v>36.245679947330267</v>
      </c>
      <c r="AV67" s="225"/>
      <c r="AX67">
        <f t="shared" si="65"/>
        <v>0</v>
      </c>
      <c r="AY67">
        <f t="shared" si="66"/>
        <v>0</v>
      </c>
    </row>
    <row r="68" spans="1:51" x14ac:dyDescent="0.2">
      <c r="A68" s="214" t="str">
        <f>"Crossover Frequency = "&amp;B68</f>
        <v>Crossover Frequency = 4.9 kHz</v>
      </c>
      <c r="B68" t="str">
        <f>ROUND(D68,1)&amp;" kHz"</f>
        <v>4.9 kHz</v>
      </c>
      <c r="C68" s="215"/>
      <c r="D68" s="216">
        <f>AY12</f>
        <v>4.8977881936844634</v>
      </c>
      <c r="N68" s="170">
        <v>50</v>
      </c>
      <c r="O68" s="199">
        <f t="shared" si="41"/>
        <v>31.622776601683803</v>
      </c>
      <c r="P68" s="189" t="str">
        <f t="shared" si="32"/>
        <v>771.276595744681</v>
      </c>
      <c r="Q68" s="160" t="str">
        <f t="shared" si="33"/>
        <v>1+1.75643520539276i</v>
      </c>
      <c r="R68" s="160">
        <f t="shared" si="42"/>
        <v>2.0211542817764077</v>
      </c>
      <c r="S68" s="160">
        <f t="shared" si="43"/>
        <v>1.0532298828032891</v>
      </c>
      <c r="T68" s="160" t="str">
        <f t="shared" si="34"/>
        <v>1+0.0000330623097485694i</v>
      </c>
      <c r="U68" s="160">
        <f t="shared" si="44"/>
        <v>1.0000000005465581</v>
      </c>
      <c r="V68" s="160">
        <f t="shared" si="45"/>
        <v>3.3062309736522417E-5</v>
      </c>
      <c r="W68" s="98" t="str">
        <f t="shared" si="35"/>
        <v>1-0.000135110400414827i</v>
      </c>
      <c r="X68" s="160">
        <f t="shared" si="46"/>
        <v>1.0000000091274102</v>
      </c>
      <c r="Y68" s="160">
        <f t="shared" si="47"/>
        <v>-1.3511039959268831E-4</v>
      </c>
      <c r="Z68" s="98" t="str">
        <f t="shared" si="36"/>
        <v>0.9999996-0.00092507553678709i</v>
      </c>
      <c r="AA68" s="160">
        <f t="shared" si="48"/>
        <v>1.0000000278824539</v>
      </c>
      <c r="AB68" s="160">
        <f t="shared" si="49"/>
        <v>-9.2507564293492668E-4</v>
      </c>
      <c r="AC68" s="171" t="str">
        <f t="shared" si="50"/>
        <v>189.07687966027-331.466506154989i</v>
      </c>
      <c r="AD68" s="190">
        <f t="shared" si="51"/>
        <v>51.632213581316478</v>
      </c>
      <c r="AE68" s="169">
        <f t="shared" si="52"/>
        <v>-60.29847113647245</v>
      </c>
      <c r="AF68" s="98" t="str">
        <f t="shared" si="37"/>
        <v>-0.0000119284294234592</v>
      </c>
      <c r="AG68" s="98" t="str">
        <f t="shared" si="38"/>
        <v>3.58300860394202E-06i</v>
      </c>
      <c r="AH68" s="98">
        <f t="shared" si="53"/>
        <v>3.5830086039420199E-6</v>
      </c>
      <c r="AI68" s="98">
        <f t="shared" si="54"/>
        <v>1.5707963267948966</v>
      </c>
      <c r="AJ68" s="98" t="str">
        <f t="shared" si="39"/>
        <v>1+0.000196344882045679i</v>
      </c>
      <c r="AK68" s="98">
        <f t="shared" si="55"/>
        <v>1.0000000192756562</v>
      </c>
      <c r="AL68" s="98">
        <f t="shared" si="56"/>
        <v>1.9634487952256141E-4</v>
      </c>
      <c r="AM68" s="98" t="str">
        <f t="shared" si="40"/>
        <v>1+0.107293553270598i</v>
      </c>
      <c r="AN68" s="98">
        <f t="shared" si="57"/>
        <v>1.0057394824572765</v>
      </c>
      <c r="AO68" s="98">
        <f t="shared" si="58"/>
        <v>0.10688465610105424</v>
      </c>
      <c r="AP68" s="168" t="str">
        <f t="shared" si="59"/>
        <v>-0.356544341271602+3.32923572698244i</v>
      </c>
      <c r="AQ68" s="98">
        <f t="shared" si="60"/>
        <v>10.496418110659494</v>
      </c>
      <c r="AR68" s="169">
        <f t="shared" si="61"/>
        <v>96.112789956371969</v>
      </c>
      <c r="AS68" s="168" t="str">
        <f t="shared" si="62"/>
        <v>1036.11584308107+747.66401000196i</v>
      </c>
      <c r="AT68" s="190">
        <f t="shared" si="63"/>
        <v>62.128631691975954</v>
      </c>
      <c r="AU68" s="169">
        <f t="shared" si="64"/>
        <v>35.814318819899611</v>
      </c>
      <c r="AV68" s="225"/>
      <c r="AX68">
        <f t="shared" si="65"/>
        <v>0</v>
      </c>
      <c r="AY68">
        <f t="shared" si="66"/>
        <v>0</v>
      </c>
    </row>
    <row r="69" spans="1:51" x14ac:dyDescent="0.2">
      <c r="A69" s="214" t="str">
        <f>"Phase Margin = "&amp;B69</f>
        <v>Phase Margin = 92°</v>
      </c>
      <c r="B69" s="217" t="str">
        <f>ROUND(D69,0)&amp;"°"</f>
        <v>92°</v>
      </c>
      <c r="C69" s="218"/>
      <c r="D69" s="23">
        <f>AY14</f>
        <v>92.351269784302474</v>
      </c>
      <c r="N69" s="170">
        <v>51</v>
      </c>
      <c r="O69" s="199">
        <f t="shared" si="41"/>
        <v>32.359365692962832</v>
      </c>
      <c r="P69" s="189" t="str">
        <f t="shared" si="32"/>
        <v>771.276595744681</v>
      </c>
      <c r="Q69" s="160" t="str">
        <f t="shared" si="33"/>
        <v>1+1.79734783707361i</v>
      </c>
      <c r="R69" s="160">
        <f t="shared" si="42"/>
        <v>2.0568080239616879</v>
      </c>
      <c r="S69" s="160">
        <f t="shared" si="43"/>
        <v>1.0630716072931712</v>
      </c>
      <c r="T69" s="160" t="str">
        <f t="shared" si="34"/>
        <v>1+0.0000338324298743267i</v>
      </c>
      <c r="U69" s="160">
        <f t="shared" si="44"/>
        <v>1.0000000005723166</v>
      </c>
      <c r="V69" s="160">
        <f t="shared" si="45"/>
        <v>3.3832429861418126E-5</v>
      </c>
      <c r="W69" s="98" t="str">
        <f t="shared" si="35"/>
        <v>1-0.000138257525928739i</v>
      </c>
      <c r="X69" s="160">
        <f t="shared" si="46"/>
        <v>1.0000000095575716</v>
      </c>
      <c r="Y69" s="160">
        <f t="shared" si="47"/>
        <v>-1.3825752504780154E-4</v>
      </c>
      <c r="Z69" s="98" t="str">
        <f t="shared" si="36"/>
        <v>0.999999581148581-0.000946623314124585i</v>
      </c>
      <c r="AA69" s="160">
        <f t="shared" si="48"/>
        <v>1.0000000291965176</v>
      </c>
      <c r="AB69" s="160">
        <f t="shared" si="49"/>
        <v>-9.466234278640394E-4</v>
      </c>
      <c r="AC69" s="171" t="str">
        <f t="shared" si="50"/>
        <v>182.591005269349-327.529980616164i</v>
      </c>
      <c r="AD69" s="190">
        <f t="shared" si="51"/>
        <v>51.480327735904424</v>
      </c>
      <c r="AE69" s="169">
        <f t="shared" si="52"/>
        <v>-60.861262008112064</v>
      </c>
      <c r="AF69" s="98" t="str">
        <f t="shared" si="37"/>
        <v>-0.0000119284294234592</v>
      </c>
      <c r="AG69" s="98" t="str">
        <f t="shared" si="38"/>
        <v>3.66646759569552E-06i</v>
      </c>
      <c r="AH69" s="98">
        <f t="shared" si="53"/>
        <v>3.6664675956955202E-6</v>
      </c>
      <c r="AI69" s="98">
        <f t="shared" si="54"/>
        <v>1.5707963267948966</v>
      </c>
      <c r="AJ69" s="98" t="str">
        <f t="shared" si="39"/>
        <v>1+0.000200918341867535i</v>
      </c>
      <c r="AK69" s="98">
        <f t="shared" si="55"/>
        <v>1.00000002018409</v>
      </c>
      <c r="AL69" s="98">
        <f t="shared" si="56"/>
        <v>2.0091833916396581E-4</v>
      </c>
      <c r="AM69" s="98" t="str">
        <f t="shared" si="40"/>
        <v>1+0.109792741178705i</v>
      </c>
      <c r="AN69" s="98">
        <f t="shared" si="57"/>
        <v>1.0060091679579934</v>
      </c>
      <c r="AO69" s="98">
        <f t="shared" si="58"/>
        <v>0.10935474119228666</v>
      </c>
      <c r="AP69" s="168" t="str">
        <f t="shared" si="59"/>
        <v>-0.35654434062381+3.25345629390749i</v>
      </c>
      <c r="AQ69" s="98">
        <f t="shared" si="60"/>
        <v>10.298746881276861</v>
      </c>
      <c r="AR69" s="169">
        <f t="shared" si="61"/>
        <v>96.254053367202587</v>
      </c>
      <c r="AS69" s="168" t="str">
        <f t="shared" si="62"/>
        <v>1000.50268730146+710.830816277779i</v>
      </c>
      <c r="AT69" s="190">
        <f t="shared" si="63"/>
        <v>61.779074617181294</v>
      </c>
      <c r="AU69" s="169">
        <f t="shared" si="64"/>
        <v>35.392791359090488</v>
      </c>
      <c r="AV69" s="225"/>
      <c r="AX69">
        <f t="shared" si="65"/>
        <v>0</v>
      </c>
      <c r="AY69">
        <f t="shared" si="66"/>
        <v>0</v>
      </c>
    </row>
    <row r="70" spans="1:51" x14ac:dyDescent="0.2">
      <c r="N70" s="170">
        <v>52</v>
      </c>
      <c r="O70" s="199">
        <f t="shared" si="41"/>
        <v>33.113112148259127</v>
      </c>
      <c r="P70" s="189" t="str">
        <f t="shared" si="32"/>
        <v>771.276595744681</v>
      </c>
      <c r="Q70" s="160" t="str">
        <f t="shared" si="33"/>
        <v>1+1.8392134463684i</v>
      </c>
      <c r="R70" s="160">
        <f t="shared" si="42"/>
        <v>2.093491366426508</v>
      </c>
      <c r="S70" s="160">
        <f t="shared" si="43"/>
        <v>1.0727945858247721</v>
      </c>
      <c r="T70" s="160" t="str">
        <f t="shared" si="34"/>
        <v>1+0.0000346204884022287i</v>
      </c>
      <c r="U70" s="160">
        <f t="shared" si="44"/>
        <v>1.0000000005992891</v>
      </c>
      <c r="V70" s="160">
        <f t="shared" si="45"/>
        <v>3.4620488388396908E-5</v>
      </c>
      <c r="W70" s="98" t="str">
        <f t="shared" si="35"/>
        <v>1-0.000141477957412954i</v>
      </c>
      <c r="X70" s="160">
        <f t="shared" si="46"/>
        <v>1.0000000100080062</v>
      </c>
      <c r="Y70" s="160">
        <f t="shared" si="47"/>
        <v>-1.4147795646901249E-4</v>
      </c>
      <c r="Z70" s="98" t="str">
        <f t="shared" si="36"/>
        <v>0.999999561408722-0.000968673003673274i</v>
      </c>
      <c r="AA70" s="160">
        <f t="shared" si="48"/>
        <v>1.0000000305725116</v>
      </c>
      <c r="AB70" s="160">
        <f t="shared" si="49"/>
        <v>-9.6867312554729313E-4</v>
      </c>
      <c r="AC70" s="171" t="str">
        <f t="shared" si="50"/>
        <v>176.260693243766-323.516338929252i</v>
      </c>
      <c r="AD70" s="190">
        <f t="shared" si="51"/>
        <v>51.326779402062897</v>
      </c>
      <c r="AE70" s="169">
        <f t="shared" si="52"/>
        <v>-61.417223652353464</v>
      </c>
      <c r="AF70" s="98" t="str">
        <f t="shared" si="37"/>
        <v>-0.0000119284294234592</v>
      </c>
      <c r="AG70" s="98" t="str">
        <f t="shared" si="38"/>
        <v>3.75187059709969E-06i</v>
      </c>
      <c r="AH70" s="98">
        <f t="shared" si="53"/>
        <v>3.7518705970996898E-6</v>
      </c>
      <c r="AI70" s="98">
        <f t="shared" si="54"/>
        <v>1.5707963267948966</v>
      </c>
      <c r="AJ70" s="98" t="str">
        <f t="shared" si="39"/>
        <v>1+0.000205598331253718i</v>
      </c>
      <c r="AK70" s="98">
        <f t="shared" si="55"/>
        <v>1.0000000211353366</v>
      </c>
      <c r="AL70" s="98">
        <f t="shared" si="56"/>
        <v>2.0559832835679142E-4</v>
      </c>
      <c r="AM70" s="98" t="str">
        <f t="shared" si="40"/>
        <v>1+0.112350142651463i</v>
      </c>
      <c r="AN70" s="98">
        <f t="shared" si="57"/>
        <v>1.0062914858796153</v>
      </c>
      <c r="AO70" s="98">
        <f t="shared" si="58"/>
        <v>0.11188097554263357</v>
      </c>
      <c r="AP70" s="168" t="str">
        <f t="shared" si="59"/>
        <v>-0.356544339945484+3.17940188642416i</v>
      </c>
      <c r="AQ70" s="98">
        <f t="shared" si="60"/>
        <v>10.101184065808155</v>
      </c>
      <c r="AR70" s="169">
        <f t="shared" si="61"/>
        <v>96.39852778990948</v>
      </c>
      <c r="AS70" s="168" t="str">
        <f t="shared" si="62"/>
        <v>965.74370574977+675.75150012677i</v>
      </c>
      <c r="AT70" s="190">
        <f t="shared" si="63"/>
        <v>61.427963467871052</v>
      </c>
      <c r="AU70" s="169">
        <f t="shared" si="64"/>
        <v>34.981304137556037</v>
      </c>
      <c r="AV70" s="225"/>
      <c r="AX70">
        <f t="shared" si="65"/>
        <v>0</v>
      </c>
      <c r="AY70">
        <f t="shared" si="66"/>
        <v>0</v>
      </c>
    </row>
    <row r="71" spans="1:51" x14ac:dyDescent="0.2">
      <c r="N71" s="170">
        <v>53</v>
      </c>
      <c r="O71" s="199">
        <f t="shared" si="41"/>
        <v>33.884415613920268</v>
      </c>
      <c r="P71" s="189" t="str">
        <f t="shared" si="32"/>
        <v>771.276595744681</v>
      </c>
      <c r="Q71" s="160" t="str">
        <f t="shared" si="33"/>
        <v>1+1.88205423097732i</v>
      </c>
      <c r="R71" s="160">
        <f t="shared" si="42"/>
        <v>2.1312269068167358</v>
      </c>
      <c r="S71" s="160">
        <f t="shared" si="43"/>
        <v>1.0823966195064201</v>
      </c>
      <c r="T71" s="160" t="str">
        <f t="shared" si="34"/>
        <v>1+0.0000354269031713376i</v>
      </c>
      <c r="U71" s="160">
        <f t="shared" si="44"/>
        <v>1.0000000006275327</v>
      </c>
      <c r="V71" s="160">
        <f t="shared" si="45"/>
        <v>3.542690315651657E-5</v>
      </c>
      <c r="W71" s="98" t="str">
        <f t="shared" si="35"/>
        <v>1-0.00014477340238287i</v>
      </c>
      <c r="X71" s="160">
        <f t="shared" si="46"/>
        <v>1.0000000104796689</v>
      </c>
      <c r="Y71" s="160">
        <f t="shared" si="47"/>
        <v>-1.4477340137141845E-4</v>
      </c>
      <c r="Z71" s="98" t="str">
        <f t="shared" si="36"/>
        <v>0.999999540738551-0.000991236296470407i</v>
      </c>
      <c r="AA71" s="160">
        <f t="shared" si="48"/>
        <v>1.0000000320133537</v>
      </c>
      <c r="AB71" s="160">
        <f t="shared" si="49"/>
        <v>-9.9123642706077015E-4</v>
      </c>
      <c r="AC71" s="171" t="str">
        <f t="shared" si="50"/>
        <v>170.08688335558-319.432557493361i</v>
      </c>
      <c r="AD71" s="190">
        <f t="shared" si="51"/>
        <v>51.171609067670339</v>
      </c>
      <c r="AE71" s="169">
        <f t="shared" si="52"/>
        <v>-61.96622948602765</v>
      </c>
      <c r="AF71" s="98" t="str">
        <f t="shared" si="37"/>
        <v>-0.0000119284294234592</v>
      </c>
      <c r="AG71" s="98" t="str">
        <f t="shared" si="38"/>
        <v>3.83926288995632E-06i</v>
      </c>
      <c r="AH71" s="98">
        <f t="shared" si="53"/>
        <v>3.8392628899563199E-6</v>
      </c>
      <c r="AI71" s="98">
        <f t="shared" si="54"/>
        <v>1.5707963267948966</v>
      </c>
      <c r="AJ71" s="98" t="str">
        <f t="shared" si="39"/>
        <v>1+0.000210387331596546i</v>
      </c>
      <c r="AK71" s="98">
        <f t="shared" si="55"/>
        <v>1.0000000221314145</v>
      </c>
      <c r="AL71" s="98">
        <f t="shared" si="56"/>
        <v>2.1038732849243321E-4</v>
      </c>
      <c r="AM71" s="98" t="str">
        <f t="shared" si="40"/>
        <v>1+0.114967113656985i</v>
      </c>
      <c r="AN71" s="98">
        <f t="shared" si="57"/>
        <v>1.0065870241676167</v>
      </c>
      <c r="AO71" s="98">
        <f t="shared" si="58"/>
        <v>0.11446456954841749</v>
      </c>
      <c r="AP71" s="168" t="str">
        <f t="shared" si="59"/>
        <v>-0.356544339235193+3.10703323990535i</v>
      </c>
      <c r="AQ71" s="98">
        <f t="shared" si="60"/>
        <v>9.9037346462346409</v>
      </c>
      <c r="AR71" s="169">
        <f t="shared" si="61"/>
        <v>96.546282432920364</v>
      </c>
      <c r="AS71" s="168" t="str">
        <f t="shared" si="62"/>
        <v>931.844058601261+642.357470399369i</v>
      </c>
      <c r="AT71" s="190">
        <f t="shared" si="63"/>
        <v>61.075343713904985</v>
      </c>
      <c r="AU71" s="169">
        <f t="shared" si="64"/>
        <v>34.5800529468927</v>
      </c>
      <c r="AV71" s="225"/>
      <c r="AX71">
        <f t="shared" si="65"/>
        <v>0</v>
      </c>
      <c r="AY71">
        <f t="shared" si="66"/>
        <v>0</v>
      </c>
    </row>
    <row r="72" spans="1:51" x14ac:dyDescent="0.2">
      <c r="N72" s="170">
        <v>54</v>
      </c>
      <c r="O72" s="199">
        <f t="shared" si="41"/>
        <v>34.67368504525318</v>
      </c>
      <c r="P72" s="189" t="str">
        <f t="shared" si="32"/>
        <v>771.276595744681</v>
      </c>
      <c r="Q72" s="160" t="str">
        <f t="shared" si="33"/>
        <v>1+1.92589290565143i</v>
      </c>
      <c r="R72" s="160">
        <f t="shared" si="42"/>
        <v>2.1700376688063523</v>
      </c>
      <c r="S72" s="160">
        <f t="shared" si="43"/>
        <v>1.091875716273764</v>
      </c>
      <c r="T72" s="160" t="str">
        <f t="shared" si="34"/>
        <v>1+0.0000362521017534386i</v>
      </c>
      <c r="U72" s="160">
        <f t="shared" si="44"/>
        <v>1.0000000006571075</v>
      </c>
      <c r="V72" s="160">
        <f t="shared" si="45"/>
        <v>3.6252101737557585E-5</v>
      </c>
      <c r="W72" s="98" t="str">
        <f t="shared" si="35"/>
        <v>1-0.000148145608127033i</v>
      </c>
      <c r="X72" s="160">
        <f t="shared" si="46"/>
        <v>1.0000000109735605</v>
      </c>
      <c r="Y72" s="160">
        <f t="shared" si="47"/>
        <v>-1.4814560704324315E-4</v>
      </c>
      <c r="Z72" s="98" t="str">
        <f t="shared" si="36"/>
        <v>0.999999519094226-0.0010143251558725i</v>
      </c>
      <c r="AA72" s="160">
        <f t="shared" si="48"/>
        <v>1.000000033522102</v>
      </c>
      <c r="AB72" s="160">
        <f t="shared" si="49"/>
        <v>-1.0143252958025924E-3</v>
      </c>
      <c r="AC72" s="171" t="str">
        <f t="shared" si="50"/>
        <v>164.070145984305-315.285505770811i</v>
      </c>
      <c r="AD72" s="190">
        <f t="shared" si="51"/>
        <v>51.014857416154356</v>
      </c>
      <c r="AE72" s="169">
        <f t="shared" si="52"/>
        <v>-62.508164762416584</v>
      </c>
      <c r="AF72" s="98" t="str">
        <f t="shared" si="37"/>
        <v>-0.0000119284294234592</v>
      </c>
      <c r="AG72" s="98" t="str">
        <f t="shared" si="38"/>
        <v>3.92869081081586E-06i</v>
      </c>
      <c r="AH72" s="98">
        <f t="shared" si="53"/>
        <v>3.9286908108158601E-6</v>
      </c>
      <c r="AI72" s="98">
        <f t="shared" si="54"/>
        <v>1.5707963267948966</v>
      </c>
      <c r="AJ72" s="98" t="str">
        <f t="shared" si="39"/>
        <v>1+0.000215287882087393i</v>
      </c>
      <c r="AK72" s="98">
        <f t="shared" si="55"/>
        <v>1.0000000231744357</v>
      </c>
      <c r="AL72" s="98">
        <f t="shared" si="56"/>
        <v>2.1528787876127624E-4</v>
      </c>
      <c r="AM72" s="98" t="str">
        <f t="shared" si="40"/>
        <v>1+0.117645041747938i</v>
      </c>
      <c r="AN72" s="98">
        <f t="shared" si="57"/>
        <v>1.0068963977728167</v>
      </c>
      <c r="AO72" s="98">
        <f t="shared" si="58"/>
        <v>0.11710675502767533</v>
      </c>
      <c r="AP72" s="168" t="str">
        <f t="shared" si="59"/>
        <v>-0.356544338491427+3.03631198353678i</v>
      </c>
      <c r="AQ72" s="98">
        <f t="shared" si="60"/>
        <v>9.7064038272797291</v>
      </c>
      <c r="AR72" s="169">
        <f t="shared" si="61"/>
        <v>96.697387728724877</v>
      </c>
      <c r="AS72" s="168" t="str">
        <f t="shared" si="62"/>
        <v>898.806877741202+610.581412483763i</v>
      </c>
      <c r="AT72" s="190">
        <f t="shared" si="63"/>
        <v>60.721261243434093</v>
      </c>
      <c r="AU72" s="169">
        <f t="shared" si="64"/>
        <v>34.189222966308293</v>
      </c>
      <c r="AV72" s="225"/>
      <c r="AX72">
        <f t="shared" si="65"/>
        <v>0</v>
      </c>
      <c r="AY72">
        <f t="shared" si="66"/>
        <v>0</v>
      </c>
    </row>
    <row r="73" spans="1:51" x14ac:dyDescent="0.2">
      <c r="N73" s="170">
        <v>55</v>
      </c>
      <c r="O73" s="199">
        <f t="shared" si="41"/>
        <v>35.481338923357555</v>
      </c>
      <c r="P73" s="189" t="str">
        <f t="shared" si="32"/>
        <v>771.276595744681</v>
      </c>
      <c r="Q73" s="160" t="str">
        <f t="shared" si="33"/>
        <v>1+1.97075271423633i</v>
      </c>
      <c r="R73" s="160">
        <f t="shared" si="42"/>
        <v>2.2099471171658975</v>
      </c>
      <c r="S73" s="160">
        <f t="shared" si="43"/>
        <v>1.1012300873941854</v>
      </c>
      <c r="T73" s="160" t="str">
        <f t="shared" si="34"/>
        <v>1+0.0000370965216797426i</v>
      </c>
      <c r="U73" s="160">
        <f t="shared" si="44"/>
        <v>1.0000000006880758</v>
      </c>
      <c r="V73" s="160">
        <f t="shared" si="45"/>
        <v>3.7096521662725785E-5</v>
      </c>
      <c r="W73" s="98" t="str">
        <f t="shared" si="35"/>
        <v>1-0.000151596362633563i</v>
      </c>
      <c r="X73" s="160">
        <f t="shared" si="46"/>
        <v>1.0000000114907286</v>
      </c>
      <c r="Y73" s="160">
        <f t="shared" si="47"/>
        <v>-1.5159636147226124E-4</v>
      </c>
      <c r="Z73" s="98" t="str">
        <f t="shared" si="36"/>
        <v>0.999999496429835-0.00103795182389841i</v>
      </c>
      <c r="AA73" s="160">
        <f t="shared" si="48"/>
        <v>1.0000000351019556</v>
      </c>
      <c r="AB73" s="160">
        <f t="shared" si="49"/>
        <v>-1.0379519738362029E-3</v>
      </c>
      <c r="AC73" s="171" t="str">
        <f t="shared" si="50"/>
        <v>158.21069840383-311.081926399863i</v>
      </c>
      <c r="AD73" s="190">
        <f t="shared" si="51"/>
        <v>50.856565232749915</v>
      </c>
      <c r="AE73" s="169">
        <f t="shared" si="52"/>
        <v>-63.042926370647535</v>
      </c>
      <c r="AF73" s="98" t="str">
        <f t="shared" si="37"/>
        <v>-0.0000119284294234592</v>
      </c>
      <c r="AG73" s="98" t="str">
        <f t="shared" si="38"/>
        <v>4.02020177554566E-06i</v>
      </c>
      <c r="AH73" s="98">
        <f t="shared" si="53"/>
        <v>4.0202017755456597E-6</v>
      </c>
      <c r="AI73" s="98">
        <f t="shared" si="54"/>
        <v>1.5707963267948966</v>
      </c>
      <c r="AJ73" s="98" t="str">
        <f t="shared" si="39"/>
        <v>1+0.000220302581062994i</v>
      </c>
      <c r="AK73" s="98">
        <f t="shared" si="55"/>
        <v>1.0000000242666134</v>
      </c>
      <c r="AL73" s="98">
        <f t="shared" si="56"/>
        <v>2.2030257749899569E-4</v>
      </c>
      <c r="AM73" s="98" t="str">
        <f t="shared" si="40"/>
        <v>1+0.120385346797242i</v>
      </c>
      <c r="AN73" s="98">
        <f t="shared" si="57"/>
        <v>1.0072202498577421</v>
      </c>
      <c r="AO73" s="98">
        <f t="shared" si="58"/>
        <v>0.11980878525868024</v>
      </c>
      <c r="AP73" s="168" t="str">
        <f t="shared" si="59"/>
        <v>-0.356544337712609+2.96720061997219i</v>
      </c>
      <c r="AQ73" s="98">
        <f t="shared" si="60"/>
        <v>9.5091970457785209</v>
      </c>
      <c r="AR73" s="169">
        <f t="shared" si="61"/>
        <v>96.851915336005035</v>
      </c>
      <c r="AS73" s="168" t="str">
        <f t="shared" si="62"/>
        <v>866.633356194374+580.357381812679i</v>
      </c>
      <c r="AT73" s="190">
        <f t="shared" si="63"/>
        <v>60.365762278528443</v>
      </c>
      <c r="AU73" s="169">
        <f t="shared" si="64"/>
        <v>33.808988965357493</v>
      </c>
      <c r="AV73" s="225"/>
      <c r="AX73">
        <f t="shared" si="65"/>
        <v>0</v>
      </c>
      <c r="AY73">
        <f t="shared" si="66"/>
        <v>0</v>
      </c>
    </row>
    <row r="74" spans="1:51" x14ac:dyDescent="0.2">
      <c r="N74" s="170">
        <v>56</v>
      </c>
      <c r="O74" s="199">
        <f t="shared" si="41"/>
        <v>36.307805477010156</v>
      </c>
      <c r="P74" s="189" t="str">
        <f t="shared" si="32"/>
        <v>771.276595744681</v>
      </c>
      <c r="Q74" s="160" t="str">
        <f t="shared" si="33"/>
        <v>1+2.01665744199632i</v>
      </c>
      <c r="R74" s="160">
        <f t="shared" si="42"/>
        <v>2.2509791732397573</v>
      </c>
      <c r="S74" s="160">
        <f t="shared" si="43"/>
        <v>1.1104581434048004</v>
      </c>
      <c r="T74" s="160" t="str">
        <f t="shared" si="34"/>
        <v>1+0.0000379606106728718i</v>
      </c>
      <c r="U74" s="160">
        <f t="shared" si="44"/>
        <v>1.0000000007205039</v>
      </c>
      <c r="V74" s="160">
        <f t="shared" si="45"/>
        <v>3.7960610654637949E-5</v>
      </c>
      <c r="W74" s="98" t="str">
        <f t="shared" si="35"/>
        <v>1-0.000155127495538178i</v>
      </c>
      <c r="X74" s="160">
        <f t="shared" si="46"/>
        <v>1.0000000120322698</v>
      </c>
      <c r="Y74" s="160">
        <f t="shared" si="47"/>
        <v>-1.5512749429382077E-4</v>
      </c>
      <c r="Z74" s="98" t="str">
        <f t="shared" si="36"/>
        <v>0.999999472697305-0.00106212882772027i</v>
      </c>
      <c r="AA74" s="160">
        <f t="shared" si="48"/>
        <v>1.0000000367562667</v>
      </c>
      <c r="AB74" s="160">
        <f t="shared" si="49"/>
        <v>-1.0621289883815058E-3</v>
      </c>
      <c r="AC74" s="171" t="str">
        <f t="shared" si="50"/>
        <v>152.508421996917-306.828417157906i</v>
      </c>
      <c r="AD74" s="190">
        <f t="shared" si="51"/>
        <v>50.696773315107642</v>
      </c>
      <c r="AE74" s="169">
        <f t="shared" si="52"/>
        <v>-63.570422602626593</v>
      </c>
      <c r="AF74" s="98" t="str">
        <f t="shared" si="37"/>
        <v>-0.0000119284294234592</v>
      </c>
      <c r="AG74" s="98" t="str">
        <f t="shared" si="38"/>
        <v>4.11384430447053E-06i</v>
      </c>
      <c r="AH74" s="98">
        <f t="shared" si="53"/>
        <v>4.1138443044705303E-6</v>
      </c>
      <c r="AI74" s="98">
        <f t="shared" si="54"/>
        <v>1.5707963267948966</v>
      </c>
      <c r="AJ74" s="98" t="str">
        <f t="shared" si="39"/>
        <v>1+0.000225434087383126i</v>
      </c>
      <c r="AK74" s="98">
        <f t="shared" si="55"/>
        <v>1.0000000254102637</v>
      </c>
      <c r="AL74" s="98">
        <f t="shared" si="56"/>
        <v>2.25434083564233E-4</v>
      </c>
      <c r="AM74" s="98" t="str">
        <f t="shared" si="40"/>
        <v>1+0.123189481750906i</v>
      </c>
      <c r="AN74" s="98">
        <f t="shared" si="57"/>
        <v>1.0075592530536637</v>
      </c>
      <c r="AO74" s="98">
        <f t="shared" si="58"/>
        <v>0.12257193498924819</v>
      </c>
      <c r="AP74" s="168" t="str">
        <f t="shared" si="59"/>
        <v>-0.356544336897083+2.89966250545185i</v>
      </c>
      <c r="AQ74" s="98">
        <f t="shared" si="60"/>
        <v>9.3121199803857539</v>
      </c>
      <c r="AR74" s="169">
        <f t="shared" si="61"/>
        <v>97.009938140089162</v>
      </c>
      <c r="AS74" s="168" t="str">
        <f t="shared" si="62"/>
        <v>835.322842647808+551.620887566836i</v>
      </c>
      <c r="AT74" s="190">
        <f t="shared" si="63"/>
        <v>60.008893295493394</v>
      </c>
      <c r="AU74" s="169">
        <f t="shared" si="64"/>
        <v>33.439515537462604</v>
      </c>
      <c r="AV74" s="225"/>
      <c r="AX74">
        <f t="shared" si="65"/>
        <v>0</v>
      </c>
      <c r="AY74">
        <f t="shared" si="66"/>
        <v>0</v>
      </c>
    </row>
    <row r="75" spans="1:51" x14ac:dyDescent="0.2">
      <c r="N75" s="170">
        <v>57</v>
      </c>
      <c r="O75" s="199">
        <f t="shared" si="41"/>
        <v>37.15352290971726</v>
      </c>
      <c r="P75" s="189" t="str">
        <f t="shared" si="32"/>
        <v>771.276595744681</v>
      </c>
      <c r="Q75" s="160" t="str">
        <f t="shared" si="33"/>
        <v>1+2.06363142822566i</v>
      </c>
      <c r="R75" s="160">
        <f t="shared" si="42"/>
        <v>2.2931582308163292</v>
      </c>
      <c r="S75" s="160">
        <f t="shared" si="43"/>
        <v>1.1195584895394781</v>
      </c>
      <c r="T75" s="160" t="str">
        <f t="shared" si="34"/>
        <v>1+0.0000388448268842477i</v>
      </c>
      <c r="U75" s="160">
        <f t="shared" si="44"/>
        <v>1.0000000007544603</v>
      </c>
      <c r="V75" s="160">
        <f t="shared" si="45"/>
        <v>3.8844826864709782E-5</v>
      </c>
      <c r="W75" s="98" t="str">
        <f t="shared" si="35"/>
        <v>1-0.000158740879094281i</v>
      </c>
      <c r="X75" s="160">
        <f t="shared" si="46"/>
        <v>1.0000000125993334</v>
      </c>
      <c r="Y75" s="160">
        <f t="shared" si="47"/>
        <v>-1.5874087776092819E-4</v>
      </c>
      <c r="Z75" s="98" t="str">
        <f t="shared" si="36"/>
        <v>0.999999447846294-0.00108686898630553i</v>
      </c>
      <c r="AA75" s="160">
        <f t="shared" si="48"/>
        <v>1.0000000384885424</v>
      </c>
      <c r="AB75" s="160">
        <f t="shared" si="49"/>
        <v>-1.0868691584571433E-3</v>
      </c>
      <c r="AC75" s="171" t="str">
        <f t="shared" si="50"/>
        <v>146.96288020464-302.531414781251i</v>
      </c>
      <c r="AD75" s="190">
        <f t="shared" si="51"/>
        <v>50.535522388467591</v>
      </c>
      <c r="AE75" s="169">
        <f t="shared" si="52"/>
        <v>-64.090572890687397</v>
      </c>
      <c r="AF75" s="98" t="str">
        <f t="shared" si="37"/>
        <v>-0.0000119284294234592</v>
      </c>
      <c r="AG75" s="98" t="str">
        <f t="shared" si="38"/>
        <v>4.20966804809878E-06i</v>
      </c>
      <c r="AH75" s="98">
        <f t="shared" si="53"/>
        <v>4.20966804809878E-6</v>
      </c>
      <c r="AI75" s="98">
        <f t="shared" si="54"/>
        <v>1.5707963267948966</v>
      </c>
      <c r="AJ75" s="98" t="str">
        <f t="shared" si="39"/>
        <v>1+0.000230685121840359i</v>
      </c>
      <c r="AK75" s="98">
        <f t="shared" si="55"/>
        <v>1.0000000266078124</v>
      </c>
      <c r="AL75" s="98">
        <f t="shared" si="56"/>
        <v>2.3068511774834144E-4</v>
      </c>
      <c r="AM75" s="98" t="str">
        <f t="shared" si="40"/>
        <v>1+0.1260589333984i</v>
      </c>
      <c r="AN75" s="98">
        <f t="shared" si="57"/>
        <v>1.0079141107701302</v>
      </c>
      <c r="AO75" s="98">
        <f t="shared" si="58"/>
        <v>0.12539750041432279</v>
      </c>
      <c r="AP75" s="168" t="str">
        <f t="shared" si="59"/>
        <v>-0.356544336043126+2.83366183037344i</v>
      </c>
      <c r="AQ75" s="98">
        <f t="shared" si="60"/>
        <v>9.1151785616275998</v>
      </c>
      <c r="AR75" s="169">
        <f t="shared" si="61"/>
        <v>97.171530251587257</v>
      </c>
      <c r="AS75" s="168" t="str">
        <f t="shared" si="62"/>
        <v>804.872940008957+524.308966533001i</v>
      </c>
      <c r="AT75" s="190">
        <f t="shared" si="63"/>
        <v>59.650700950095185</v>
      </c>
      <c r="AU75" s="169">
        <f t="shared" si="64"/>
        <v>33.080957360899852</v>
      </c>
      <c r="AV75" s="225"/>
      <c r="AX75">
        <f t="shared" si="65"/>
        <v>0</v>
      </c>
      <c r="AY75">
        <f t="shared" si="66"/>
        <v>0</v>
      </c>
    </row>
    <row r="76" spans="1:51" x14ac:dyDescent="0.2">
      <c r="N76" s="170">
        <v>58</v>
      </c>
      <c r="O76" s="199">
        <f t="shared" si="41"/>
        <v>38.018939632056139</v>
      </c>
      <c r="P76" s="189" t="str">
        <f t="shared" si="32"/>
        <v>771.276595744681</v>
      </c>
      <c r="Q76" s="160" t="str">
        <f t="shared" si="33"/>
        <v>1+2.11169957915364i</v>
      </c>
      <c r="R76" s="160">
        <f t="shared" si="42"/>
        <v>2.3365091723761027</v>
      </c>
      <c r="S76" s="160">
        <f t="shared" si="43"/>
        <v>1.128529920700186</v>
      </c>
      <c r="T76" s="160" t="str">
        <f t="shared" si="34"/>
        <v>1+0.0000397496391370097i</v>
      </c>
      <c r="U76" s="160">
        <f t="shared" si="44"/>
        <v>1.0000000007900169</v>
      </c>
      <c r="V76" s="160">
        <f t="shared" si="45"/>
        <v>3.9749639116074444E-5</v>
      </c>
      <c r="W76" s="98" t="str">
        <f t="shared" si="35"/>
        <v>1-0.000162438429165664i</v>
      </c>
      <c r="X76" s="160">
        <f t="shared" si="46"/>
        <v>1.0000000131931215</v>
      </c>
      <c r="Y76" s="160">
        <f t="shared" si="47"/>
        <v>-1.6243842773695072E-4</v>
      </c>
      <c r="Z76" s="98" t="str">
        <f t="shared" si="36"/>
        <v>0.999999421824092-0.00111218541721373i</v>
      </c>
      <c r="AA76" s="160">
        <f t="shared" si="48"/>
        <v>1.0000000403024596</v>
      </c>
      <c r="AB76" s="160">
        <f t="shared" si="49"/>
        <v>-1.1121856016775029E-3</v>
      </c>
      <c r="AC76" s="171" t="str">
        <f t="shared" si="50"/>
        <v>141.573337026297-298.197180628958i</v>
      </c>
      <c r="AD76" s="190">
        <f t="shared" si="51"/>
        <v>50.372853025564126</v>
      </c>
      <c r="AE76" s="169">
        <f t="shared" si="52"/>
        <v>-64.603307519124371</v>
      </c>
      <c r="AF76" s="98" t="str">
        <f t="shared" si="37"/>
        <v>-0.0000119284294234592</v>
      </c>
      <c r="AG76" s="98" t="str">
        <f t="shared" si="38"/>
        <v>4.30772381344768E-06i</v>
      </c>
      <c r="AH76" s="98">
        <f t="shared" si="53"/>
        <v>4.3077238134476799E-6</v>
      </c>
      <c r="AI76" s="98">
        <f t="shared" si="54"/>
        <v>1.5707963267948966</v>
      </c>
      <c r="AJ76" s="98" t="str">
        <f t="shared" si="39"/>
        <v>1+0.000236058468602672i</v>
      </c>
      <c r="AK76" s="98">
        <f t="shared" si="55"/>
        <v>1.0000000278618</v>
      </c>
      <c r="AL76" s="98">
        <f t="shared" si="56"/>
        <v>2.3605846421799622E-4</v>
      </c>
      <c r="AM76" s="98" t="str">
        <f t="shared" si="40"/>
        <v>1+0.128995223160969i</v>
      </c>
      <c r="AN76" s="98">
        <f t="shared" si="57"/>
        <v>1.0082855585588579</v>
      </c>
      <c r="AO76" s="98">
        <f t="shared" si="58"/>
        <v>0.12828679911917765</v>
      </c>
      <c r="AP76" s="168" t="str">
        <f t="shared" si="59"/>
        <v>-0.356544335148921+2.76916360030544i</v>
      </c>
      <c r="AQ76" s="98">
        <f t="shared" si="60"/>
        <v>8.9183789823047537</v>
      </c>
      <c r="AR76" s="169">
        <f t="shared" si="61"/>
        <v>97.336767003053438</v>
      </c>
      <c r="AS76" s="168" t="str">
        <f t="shared" si="62"/>
        <v>775.279606986562+498.360247177631i</v>
      </c>
      <c r="AT76" s="190">
        <f t="shared" si="63"/>
        <v>59.291232007868892</v>
      </c>
      <c r="AU76" s="169">
        <f t="shared" si="64"/>
        <v>32.733459483929089</v>
      </c>
      <c r="AV76" s="225"/>
      <c r="AX76">
        <f t="shared" si="65"/>
        <v>0</v>
      </c>
      <c r="AY76">
        <f t="shared" si="66"/>
        <v>0</v>
      </c>
    </row>
    <row r="77" spans="1:51" x14ac:dyDescent="0.2">
      <c r="N77" s="170">
        <v>59</v>
      </c>
      <c r="O77" s="199">
        <f t="shared" si="41"/>
        <v>38.904514499428053</v>
      </c>
      <c r="P77" s="189" t="str">
        <f t="shared" si="32"/>
        <v>771.276595744681</v>
      </c>
      <c r="Q77" s="160" t="str">
        <f t="shared" si="33"/>
        <v>1+2.16088738115014i</v>
      </c>
      <c r="R77" s="160">
        <f t="shared" si="42"/>
        <v>2.3810573857036523</v>
      </c>
      <c r="S77" s="160">
        <f t="shared" si="43"/>
        <v>1.1373714160273147</v>
      </c>
      <c r="T77" s="160" t="str">
        <f t="shared" si="34"/>
        <v>1+0.0000406755271745908i</v>
      </c>
      <c r="U77" s="160">
        <f t="shared" si="44"/>
        <v>1.0000000008272492</v>
      </c>
      <c r="V77" s="160">
        <f t="shared" si="45"/>
        <v>4.0675527152158262E-5</v>
      </c>
      <c r="W77" s="98" t="str">
        <f t="shared" si="35"/>
        <v>1-0.000166222106242318i</v>
      </c>
      <c r="X77" s="160">
        <f t="shared" si="46"/>
        <v>1.0000000138148943</v>
      </c>
      <c r="Y77" s="160">
        <f t="shared" si="47"/>
        <v>-1.6622210471142415E-4</v>
      </c>
      <c r="Z77" s="98" t="str">
        <f t="shared" si="36"/>
        <v>0.999999394575501-0.00113809154355166i</v>
      </c>
      <c r="AA77" s="160">
        <f t="shared" si="48"/>
        <v>1.0000000422018642</v>
      </c>
      <c r="AB77" s="160">
        <f t="shared" si="49"/>
        <v>-1.1380917412081493E-3</v>
      </c>
      <c r="AC77" s="171" t="str">
        <f t="shared" si="50"/>
        <v>136.33877589513-293.831788161352i</v>
      </c>
      <c r="AD77" s="190">
        <f t="shared" si="51"/>
        <v>50.208805571383905</v>
      </c>
      <c r="AE77" s="169">
        <f t="shared" si="52"/>
        <v>-65.108567312739623</v>
      </c>
      <c r="AF77" s="98" t="str">
        <f t="shared" si="37"/>
        <v>-0.0000119284294234592</v>
      </c>
      <c r="AG77" s="98" t="str">
        <f t="shared" si="38"/>
        <v>4.40806359098194E-06i</v>
      </c>
      <c r="AH77" s="98">
        <f t="shared" si="53"/>
        <v>4.4080635909819404E-6</v>
      </c>
      <c r="AI77" s="98">
        <f t="shared" si="54"/>
        <v>1.5707963267948966</v>
      </c>
      <c r="AJ77" s="98" t="str">
        <f t="shared" si="39"/>
        <v>1+0.00024155697668964i</v>
      </c>
      <c r="AK77" s="98">
        <f t="shared" si="55"/>
        <v>1.0000000291748861</v>
      </c>
      <c r="AL77" s="98">
        <f t="shared" si="56"/>
        <v>2.4155697199137525E-4</v>
      </c>
      <c r="AM77" s="98" t="str">
        <f t="shared" si="40"/>
        <v>1+0.131999907898312i</v>
      </c>
      <c r="AN77" s="98">
        <f t="shared" si="57"/>
        <v>1.0086743655338739</v>
      </c>
      <c r="AO77" s="98">
        <f t="shared" si="58"/>
        <v>0.13124116998542501</v>
      </c>
      <c r="AP77" s="168" t="str">
        <f t="shared" si="59"/>
        <v>-0.356544334212575+2.7061336174325i</v>
      </c>
      <c r="AQ77" s="98">
        <f t="shared" si="60"/>
        <v>8.7217277082510893</v>
      </c>
      <c r="AR77" s="169">
        <f t="shared" si="61"/>
        <v>97.50572494351681</v>
      </c>
      <c r="AS77" s="168" t="str">
        <f t="shared" si="62"/>
        <v>746.537261734853+473.715004089887i</v>
      </c>
      <c r="AT77" s="190">
        <f t="shared" si="63"/>
        <v>58.930533279635</v>
      </c>
      <c r="AU77" s="169">
        <f t="shared" si="64"/>
        <v>32.397157630777208</v>
      </c>
      <c r="AV77" s="225"/>
      <c r="AX77">
        <f t="shared" si="65"/>
        <v>0</v>
      </c>
      <c r="AY77">
        <f t="shared" si="66"/>
        <v>0</v>
      </c>
    </row>
    <row r="78" spans="1:51" x14ac:dyDescent="0.2">
      <c r="N78" s="170">
        <v>60</v>
      </c>
      <c r="O78" s="199">
        <f t="shared" si="41"/>
        <v>39.810717055349755</v>
      </c>
      <c r="P78" s="189" t="str">
        <f t="shared" si="32"/>
        <v>771.276595744681</v>
      </c>
      <c r="Q78" s="160" t="str">
        <f t="shared" si="33"/>
        <v>1+2.21122091423885i</v>
      </c>
      <c r="R78" s="160">
        <f t="shared" si="42"/>
        <v>2.4268287808511122</v>
      </c>
      <c r="S78" s="160">
        <f t="shared" si="43"/>
        <v>1.1460821331225843</v>
      </c>
      <c r="T78" s="160" t="str">
        <f t="shared" si="34"/>
        <v>1+0.0000416229819150841i</v>
      </c>
      <c r="U78" s="160">
        <f t="shared" si="44"/>
        <v>1.0000000008662362</v>
      </c>
      <c r="V78" s="160">
        <f t="shared" si="45"/>
        <v>4.1622981891047211E-5</v>
      </c>
      <c r="W78" s="98" t="str">
        <f t="shared" si="35"/>
        <v>1-0.000170093916479911i</v>
      </c>
      <c r="X78" s="160">
        <f t="shared" si="46"/>
        <v>1.0000000144659702</v>
      </c>
      <c r="Y78" s="160">
        <f t="shared" si="47"/>
        <v>-1.7009391483952866E-4</v>
      </c>
      <c r="Z78" s="98" t="str">
        <f t="shared" si="36"/>
        <v>0.999999366042723-0.0011646011010904i</v>
      </c>
      <c r="AA78" s="160">
        <f t="shared" si="48"/>
        <v>1.0000000441907853</v>
      </c>
      <c r="AB78" s="160">
        <f t="shared" si="49"/>
        <v>-1.1646013128831401E-3</v>
      </c>
      <c r="AC78" s="171" t="str">
        <f t="shared" si="50"/>
        <v>131.257918766055-289.441112188833i</v>
      </c>
      <c r="AD78" s="190">
        <f t="shared" si="51"/>
        <v>50.043420072850999</v>
      </c>
      <c r="AE78" s="169">
        <f t="shared" si="52"/>
        <v>-65.606303305479173</v>
      </c>
      <c r="AF78" s="98" t="str">
        <f t="shared" si="37"/>
        <v>-0.0000119284294234592</v>
      </c>
      <c r="AG78" s="98" t="str">
        <f t="shared" si="38"/>
        <v>4.51074058217976E-06i</v>
      </c>
      <c r="AH78" s="98">
        <f t="shared" si="53"/>
        <v>4.5107405821797598E-6</v>
      </c>
      <c r="AI78" s="98">
        <f t="shared" si="54"/>
        <v>1.5707963267948966</v>
      </c>
      <c r="AJ78" s="98" t="str">
        <f t="shared" si="39"/>
        <v>1+0.000247183561483034i</v>
      </c>
      <c r="AK78" s="98">
        <f t="shared" si="55"/>
        <v>1.000000030549856</v>
      </c>
      <c r="AL78" s="98">
        <f t="shared" si="56"/>
        <v>2.4718355644875263E-4</v>
      </c>
      <c r="AM78" s="98" t="str">
        <f t="shared" si="40"/>
        <v>1+0.135074580734047i</v>
      </c>
      <c r="AN78" s="98">
        <f t="shared" si="57"/>
        <v>1.0090813358498305</v>
      </c>
      <c r="AO78" s="98">
        <f t="shared" si="58"/>
        <v>0.13426197305684506</v>
      </c>
      <c r="AP78" s="168" t="str">
        <f t="shared" si="59"/>
        <v>-0.356544333232097+2.64453846242343i</v>
      </c>
      <c r="AQ78" s="98">
        <f t="shared" si="60"/>
        <v>8.525231489454173</v>
      </c>
      <c r="AR78" s="169">
        <f t="shared" si="61"/>
        <v>97.678481830706815</v>
      </c>
      <c r="AS78" s="168" t="str">
        <f t="shared" si="62"/>
        <v>718.638886662108+450.315203029807i</v>
      </c>
      <c r="AT78" s="190">
        <f t="shared" si="63"/>
        <v>58.568651562305178</v>
      </c>
      <c r="AU78" s="169">
        <f t="shared" si="64"/>
        <v>32.07217852522767</v>
      </c>
      <c r="AV78" s="225"/>
      <c r="AX78">
        <f t="shared" si="65"/>
        <v>0</v>
      </c>
      <c r="AY78">
        <f t="shared" si="66"/>
        <v>0</v>
      </c>
    </row>
    <row r="79" spans="1:51" x14ac:dyDescent="0.2">
      <c r="N79" s="170">
        <v>61</v>
      </c>
      <c r="O79" s="199">
        <f t="shared" si="41"/>
        <v>40.738027780411279</v>
      </c>
      <c r="P79" s="189" t="str">
        <f t="shared" si="32"/>
        <v>771.276595744681</v>
      </c>
      <c r="Q79" s="160" t="str">
        <f t="shared" si="33"/>
        <v>1+2.26272686592526i</v>
      </c>
      <c r="R79" s="160">
        <f t="shared" si="42"/>
        <v>2.473849807441824</v>
      </c>
      <c r="S79" s="160">
        <f t="shared" si="43"/>
        <v>1.1546614019765735</v>
      </c>
      <c r="T79" s="160" t="str">
        <f t="shared" si="34"/>
        <v>1+0.0000425925057115341i</v>
      </c>
      <c r="U79" s="160">
        <f t="shared" si="44"/>
        <v>1.0000000009070606</v>
      </c>
      <c r="V79" s="160">
        <f t="shared" si="45"/>
        <v>4.2592505685778104E-5</v>
      </c>
      <c r="W79" s="98" t="str">
        <f t="shared" si="35"/>
        <v>1-0.00017405591276348i</v>
      </c>
      <c r="X79" s="160">
        <f t="shared" si="46"/>
        <v>1.0000000151477302</v>
      </c>
      <c r="Y79" s="160">
        <f t="shared" si="47"/>
        <v>-1.7405591100577868E-4</v>
      </c>
      <c r="Z79" s="98" t="str">
        <f t="shared" si="36"/>
        <v>0.999999336165237-0.00119172814554825i</v>
      </c>
      <c r="AA79" s="160">
        <f t="shared" si="48"/>
        <v>1.0000000462734429</v>
      </c>
      <c r="AB79" s="160">
        <f t="shared" si="49"/>
        <v>-1.1917283724882544E-3</v>
      </c>
      <c r="AC79" s="171" t="str">
        <f t="shared" si="50"/>
        <v>126.329245263675-285.03081983364i</v>
      </c>
      <c r="AD79" s="190">
        <f t="shared" si="51"/>
        <v>49.876736213474885</v>
      </c>
      <c r="AE79" s="169">
        <f t="shared" si="52"/>
        <v>-66.096476392131891</v>
      </c>
      <c r="AF79" s="98" t="str">
        <f t="shared" si="37"/>
        <v>-0.0000119284294234592</v>
      </c>
      <c r="AG79" s="98" t="str">
        <f t="shared" si="38"/>
        <v>4.61580922774095E-06i</v>
      </c>
      <c r="AH79" s="98">
        <f t="shared" si="53"/>
        <v>4.6158092277409502E-6</v>
      </c>
      <c r="AI79" s="98">
        <f t="shared" si="54"/>
        <v>1.5707963267948966</v>
      </c>
      <c r="AJ79" s="98" t="str">
        <f t="shared" si="39"/>
        <v>1+0.000252941206272588i</v>
      </c>
      <c r="AK79" s="98">
        <f t="shared" si="55"/>
        <v>1.0000000319896265</v>
      </c>
      <c r="AL79" s="98">
        <f t="shared" si="56"/>
        <v>2.5294120087825833E-4</v>
      </c>
      <c r="AM79" s="98" t="str">
        <f t="shared" si="40"/>
        <v>1+0.138220871900411i</v>
      </c>
      <c r="AN79" s="98">
        <f t="shared" si="57"/>
        <v>1.0095073102404508</v>
      </c>
      <c r="AO79" s="98">
        <f t="shared" si="58"/>
        <v>0.13735058936189673</v>
      </c>
      <c r="AP79" s="168" t="str">
        <f t="shared" si="59"/>
        <v>-0.356544332205414+2.58434547671171i</v>
      </c>
      <c r="AQ79" s="98">
        <f t="shared" si="60"/>
        <v>8.3288973715403873</v>
      </c>
      <c r="AR79" s="169">
        <f t="shared" si="61"/>
        <v>97.855116620795854</v>
      </c>
      <c r="AS79" s="168" t="str">
        <f t="shared" si="62"/>
        <v>691.576133569947+428.10453688913i</v>
      </c>
      <c r="AT79" s="190">
        <f t="shared" si="63"/>
        <v>58.205633585015278</v>
      </c>
      <c r="AU79" s="169">
        <f t="shared" si="64"/>
        <v>31.758640228663996</v>
      </c>
      <c r="AV79" s="225"/>
      <c r="AX79">
        <f t="shared" si="65"/>
        <v>0</v>
      </c>
      <c r="AY79">
        <f t="shared" si="66"/>
        <v>0</v>
      </c>
    </row>
    <row r="80" spans="1:51" x14ac:dyDescent="0.2">
      <c r="N80" s="170">
        <v>62</v>
      </c>
      <c r="O80" s="199">
        <f t="shared" si="41"/>
        <v>41.686938347033561</v>
      </c>
      <c r="P80" s="189" t="str">
        <f t="shared" si="32"/>
        <v>771.276595744681</v>
      </c>
      <c r="Q80" s="160" t="str">
        <f t="shared" si="33"/>
        <v>1+2.31543254534671i</v>
      </c>
      <c r="R80" s="160">
        <f t="shared" si="42"/>
        <v>2.5221474723042556</v>
      </c>
      <c r="S80" s="160">
        <f t="shared" si="43"/>
        <v>1.1631087186510267</v>
      </c>
      <c r="T80" s="160" t="str">
        <f t="shared" si="34"/>
        <v>1+0.000043584612618291i</v>
      </c>
      <c r="U80" s="160">
        <f t="shared" si="44"/>
        <v>1.0000000009498091</v>
      </c>
      <c r="V80" s="160">
        <f t="shared" si="45"/>
        <v>4.358461259069295E-5</v>
      </c>
      <c r="W80" s="98" t="str">
        <f t="shared" si="35"/>
        <v>1-0.0001781101957959i</v>
      </c>
      <c r="X80" s="160">
        <f t="shared" si="46"/>
        <v>1.0000000158616207</v>
      </c>
      <c r="Y80" s="160">
        <f t="shared" si="47"/>
        <v>-1.7811019391248908E-4</v>
      </c>
      <c r="Z80" s="98" t="str">
        <f t="shared" si="36"/>
        <v>0.999999304879668-0.00121948706004327i</v>
      </c>
      <c r="AA80" s="160">
        <f t="shared" si="48"/>
        <v>1.0000000484542533</v>
      </c>
      <c r="AB80" s="160">
        <f t="shared" si="49"/>
        <v>-1.2194873032138603E-3</v>
      </c>
      <c r="AC80" s="171" t="str">
        <f t="shared" si="50"/>
        <v>121.551011751371-280.606363136223i</v>
      </c>
      <c r="AD80" s="190">
        <f t="shared" si="51"/>
        <v>49.708793252959055</v>
      </c>
      <c r="AE80" s="169">
        <f t="shared" si="52"/>
        <v>-66.579056965975298</v>
      </c>
      <c r="AF80" s="98" t="str">
        <f t="shared" si="37"/>
        <v>-0.0000119284294234592</v>
      </c>
      <c r="AG80" s="98" t="str">
        <f t="shared" si="38"/>
        <v>4.72332523645216E-06i</v>
      </c>
      <c r="AH80" s="98">
        <f t="shared" si="53"/>
        <v>4.7233252364521604E-6</v>
      </c>
      <c r="AI80" s="98">
        <f t="shared" si="54"/>
        <v>1.5707963267948966</v>
      </c>
      <c r="AJ80" s="98" t="str">
        <f t="shared" si="39"/>
        <v>1+0.00025883296383778i</v>
      </c>
      <c r="AK80" s="98">
        <f t="shared" si="55"/>
        <v>1.000000033497251</v>
      </c>
      <c r="AL80" s="98">
        <f t="shared" si="56"/>
        <v>2.5883295805765162E-4</v>
      </c>
      <c r="AM80" s="98" t="str">
        <f t="shared" si="40"/>
        <v>1+0.141440449602627i</v>
      </c>
      <c r="AN80" s="98">
        <f t="shared" si="57"/>
        <v>1.0099531676190701</v>
      </c>
      <c r="AO80" s="98">
        <f t="shared" si="58"/>
        <v>0.14050842068956959</v>
      </c>
      <c r="AP80" s="168" t="str">
        <f t="shared" si="59"/>
        <v>-0.356544331130345+2.52552274517957i</v>
      </c>
      <c r="AQ80" s="98">
        <f t="shared" si="60"/>
        <v>8.1327327076292928</v>
      </c>
      <c r="AR80" s="169">
        <f t="shared" si="61"/>
        <v>98.035709455465422</v>
      </c>
      <c r="AS80" s="168" t="str">
        <f t="shared" si="62"/>
        <v>665.33942835954+407.028452933i</v>
      </c>
      <c r="AT80" s="190">
        <f t="shared" si="63"/>
        <v>57.841525960588349</v>
      </c>
      <c r="AU80" s="169">
        <f t="shared" si="64"/>
        <v>31.456652489490136</v>
      </c>
      <c r="AV80" s="225"/>
      <c r="AX80">
        <f t="shared" si="65"/>
        <v>0</v>
      </c>
      <c r="AY80">
        <f t="shared" si="66"/>
        <v>0</v>
      </c>
    </row>
    <row r="81" spans="14:51" x14ac:dyDescent="0.2">
      <c r="N81" s="170">
        <v>63</v>
      </c>
      <c r="O81" s="199">
        <f t="shared" si="41"/>
        <v>42.657951880159267</v>
      </c>
      <c r="P81" s="189" t="str">
        <f t="shared" si="32"/>
        <v>771.276595744681</v>
      </c>
      <c r="Q81" s="160" t="str">
        <f t="shared" si="33"/>
        <v>1+2.36936589775208i</v>
      </c>
      <c r="R81" s="160">
        <f t="shared" si="42"/>
        <v>2.5717493574278425</v>
      </c>
      <c r="S81" s="160">
        <f t="shared" si="43"/>
        <v>1.1714237387639432</v>
      </c>
      <c r="T81" s="160" t="str">
        <f t="shared" si="34"/>
        <v>1+0.0000445998286635685i</v>
      </c>
      <c r="U81" s="160">
        <f t="shared" si="44"/>
        <v>1.0000000009945722</v>
      </c>
      <c r="V81" s="160">
        <f t="shared" si="45"/>
        <v>4.4599828633996662E-5</v>
      </c>
      <c r="W81" s="98" t="str">
        <f t="shared" si="35"/>
        <v>1-0.000182258915211698i</v>
      </c>
      <c r="X81" s="160">
        <f t="shared" si="46"/>
        <v>1.0000000166091558</v>
      </c>
      <c r="Y81" s="160">
        <f t="shared" si="47"/>
        <v>-1.8225891319358686E-4</v>
      </c>
      <c r="Z81" s="98" t="str">
        <f t="shared" si="36"/>
        <v>0.999999272119657-0.00124789256271934i</v>
      </c>
      <c r="AA81" s="160">
        <f t="shared" si="48"/>
        <v>1.0000000507378446</v>
      </c>
      <c r="AB81" s="160">
        <f t="shared" si="49"/>
        <v>-1.2478928232813142E-3</v>
      </c>
      <c r="AC81" s="171" t="str">
        <f t="shared" si="50"/>
        <v>116.921270195393-276.172973228628i</v>
      </c>
      <c r="AD81" s="190">
        <f t="shared" si="51"/>
        <v>49.539629971732502</v>
      </c>
      <c r="AE81" s="169">
        <f t="shared" si="52"/>
        <v>-67.054024545107794</v>
      </c>
      <c r="AF81" s="98" t="str">
        <f t="shared" si="37"/>
        <v>-0.0000119284294234592</v>
      </c>
      <c r="AG81" s="98" t="str">
        <f t="shared" si="38"/>
        <v>4.83334561472433E-06i</v>
      </c>
      <c r="AH81" s="98">
        <f t="shared" si="53"/>
        <v>4.8333456147243297E-6</v>
      </c>
      <c r="AI81" s="98">
        <f t="shared" si="54"/>
        <v>1.5707963267948966</v>
      </c>
      <c r="AJ81" s="98" t="str">
        <f t="shared" si="39"/>
        <v>1+0.000264861958066458i</v>
      </c>
      <c r="AK81" s="98">
        <f t="shared" si="55"/>
        <v>1.0000000350759277</v>
      </c>
      <c r="AL81" s="98">
        <f t="shared" si="56"/>
        <v>2.6486195187293889E-4</v>
      </c>
      <c r="AM81" s="98" t="str">
        <f t="shared" si="40"/>
        <v>1+0.144735020903407i</v>
      </c>
      <c r="AN81" s="98">
        <f t="shared" si="57"/>
        <v>1.0104198267432749</v>
      </c>
      <c r="AO81" s="98">
        <f t="shared" si="58"/>
        <v>0.14373688931508269</v>
      </c>
      <c r="AP81" s="168" t="str">
        <f t="shared" si="59"/>
        <v>-0.356544330004608+2.46803907923615i</v>
      </c>
      <c r="AQ81" s="98">
        <f t="shared" si="60"/>
        <v>7.9367451705586065</v>
      </c>
      <c r="AR81" s="169">
        <f t="shared" si="61"/>
        <v>98.22034164609741</v>
      </c>
      <c r="AS81" s="168" t="str">
        <f t="shared" si="62"/>
        <v>639.918074611989+387.034171741341i</v>
      </c>
      <c r="AT81" s="190">
        <f t="shared" si="63"/>
        <v>57.476375142291118</v>
      </c>
      <c r="AU81" s="169">
        <f t="shared" si="64"/>
        <v>31.166317100989627</v>
      </c>
      <c r="AV81" s="225"/>
      <c r="AX81">
        <f t="shared" si="65"/>
        <v>0</v>
      </c>
      <c r="AY81">
        <f t="shared" si="66"/>
        <v>0</v>
      </c>
    </row>
    <row r="82" spans="14:51" x14ac:dyDescent="0.2">
      <c r="N82" s="170">
        <v>64</v>
      </c>
      <c r="O82" s="199">
        <f t="shared" si="41"/>
        <v>43.651583224016633</v>
      </c>
      <c r="P82" s="189" t="str">
        <f t="shared" si="32"/>
        <v>771.276595744681</v>
      </c>
      <c r="Q82" s="160" t="str">
        <f t="shared" si="33"/>
        <v>1+2.4245555193187i</v>
      </c>
      <c r="R82" s="160">
        <f t="shared" si="42"/>
        <v>2.6226836382337022</v>
      </c>
      <c r="S82" s="160">
        <f t="shared" si="43"/>
        <v>1.179606270822978</v>
      </c>
      <c r="T82" s="160" t="str">
        <f t="shared" si="34"/>
        <v>1+0.0000456386921283518i</v>
      </c>
      <c r="U82" s="160">
        <f t="shared" si="44"/>
        <v>1.0000000010414452</v>
      </c>
      <c r="V82" s="160">
        <f t="shared" si="45"/>
        <v>4.5638692096665005E-5</v>
      </c>
      <c r="W82" s="98" t="str">
        <f t="shared" si="35"/>
        <v>1-0.000186504270716822i</v>
      </c>
      <c r="X82" s="160">
        <f t="shared" si="46"/>
        <v>1.0000000173919212</v>
      </c>
      <c r="Y82" s="160">
        <f t="shared" si="47"/>
        <v>-1.8650426855437694E-4</v>
      </c>
      <c r="Z82" s="98" t="str">
        <f t="shared" si="36"/>
        <v>0.999999237815713-0.00127695971454997i</v>
      </c>
      <c r="AA82" s="160">
        <f t="shared" si="48"/>
        <v>1.0000000531290583</v>
      </c>
      <c r="AB82" s="160">
        <f t="shared" si="49"/>
        <v>-1.2769599937471484E-3</v>
      </c>
      <c r="AC82" s="171" t="str">
        <f t="shared" si="50"/>
        <v>112.437886711028-271.735655990041i</v>
      </c>
      <c r="AD82" s="190">
        <f t="shared" si="51"/>
        <v>49.369284620336387</v>
      </c>
      <c r="AE82" s="169">
        <f t="shared" si="52"/>
        <v>-67.52136739008364</v>
      </c>
      <c r="AF82" s="98" t="str">
        <f t="shared" si="37"/>
        <v>-0.0000119284294234592</v>
      </c>
      <c r="AG82" s="98" t="str">
        <f t="shared" si="38"/>
        <v>4.94592869681832E-06i</v>
      </c>
      <c r="AH82" s="98">
        <f t="shared" si="53"/>
        <v>4.9459286968183197E-6</v>
      </c>
      <c r="AI82" s="98">
        <f t="shared" si="54"/>
        <v>1.5707963267948966</v>
      </c>
      <c r="AJ82" s="98" t="str">
        <f t="shared" si="39"/>
        <v>1+0.000271031385611165i</v>
      </c>
      <c r="AK82" s="98">
        <f t="shared" si="55"/>
        <v>1.0000000367290052</v>
      </c>
      <c r="AL82" s="98">
        <f t="shared" si="56"/>
        <v>2.7103137897468971E-4</v>
      </c>
      <c r="AM82" s="98" t="str">
        <f t="shared" si="40"/>
        <v>1+0.148106332628065i</v>
      </c>
      <c r="AN82" s="98">
        <f t="shared" si="57"/>
        <v>1.0109082479456457</v>
      </c>
      <c r="AO82" s="98">
        <f t="shared" si="58"/>
        <v>0.14703743767174327</v>
      </c>
      <c r="AP82" s="168" t="str">
        <f t="shared" si="59"/>
        <v>-0.356544328825818+2.41186400028087i</v>
      </c>
      <c r="AQ82" s="98">
        <f t="shared" si="60"/>
        <v>7.7409427654812699</v>
      </c>
      <c r="AR82" s="169">
        <f t="shared" si="61"/>
        <v>98.409095654877959</v>
      </c>
      <c r="AS82" s="168" t="str">
        <f t="shared" si="62"/>
        <v>615.30035542311+368.070698309i</v>
      </c>
      <c r="AT82" s="190">
        <f t="shared" si="63"/>
        <v>57.110227385817666</v>
      </c>
      <c r="AU82" s="169">
        <f t="shared" si="64"/>
        <v>30.887728264794344</v>
      </c>
      <c r="AV82" s="225"/>
      <c r="AX82">
        <f t="shared" si="65"/>
        <v>0</v>
      </c>
      <c r="AY82">
        <f t="shared" si="66"/>
        <v>0</v>
      </c>
    </row>
    <row r="83" spans="14:51" x14ac:dyDescent="0.2">
      <c r="N83" s="170">
        <v>65</v>
      </c>
      <c r="O83" s="199">
        <f t="shared" si="41"/>
        <v>44.668359215096324</v>
      </c>
      <c r="P83" s="189" t="str">
        <f t="shared" ref="P83:P146" si="67">COMPLEX(Adc,0)</f>
        <v>771.276595744681</v>
      </c>
      <c r="Q83" s="160" t="str">
        <f t="shared" ref="Q83:Q146" si="68">IMSUM(COMPLEX(1,0),IMDIV(COMPLEX(0,2*PI()*O83),COMPLEX(wp_lf,0)))</f>
        <v>1+2.48103067231445i</v>
      </c>
      <c r="R83" s="160">
        <f t="shared" si="42"/>
        <v>2.6749791021548357</v>
      </c>
      <c r="S83" s="160">
        <f t="shared" si="43"/>
        <v>1.1876562694501045</v>
      </c>
      <c r="T83" s="160" t="str">
        <f t="shared" ref="T83:T146" si="69">IMSUM(COMPLEX(1,0),IMDIV(COMPLEX(0,2*PI()*O83),COMPLEX(wz_esr,0)))</f>
        <v>1+0.0000467017538318012i</v>
      </c>
      <c r="U83" s="160">
        <f t="shared" si="44"/>
        <v>1.0000000010905268</v>
      </c>
      <c r="V83" s="160">
        <f t="shared" si="45"/>
        <v>4.6701753797848189E-5</v>
      </c>
      <c r="W83" s="98" t="str">
        <f t="shared" ref="W83:W146" si="70">IMSUB(COMPLEX(1,0),IMDIV(COMPLEX(0,2*PI()*O83),COMPLEX(wz_rhp,0)))</f>
        <v>1-0.000190848513254957i</v>
      </c>
      <c r="X83" s="160">
        <f t="shared" si="46"/>
        <v>1.0000000182115774</v>
      </c>
      <c r="Y83" s="160">
        <f t="shared" si="47"/>
        <v>-1.9084851093785539E-4</v>
      </c>
      <c r="Z83" s="98" t="str">
        <f t="shared" ref="Z83:Z146" si="71">IF(Dc_Mode_Loop="CCM",IMSUM(COMPLEX(1,0),IMDIV(COMPLEX(0,2*PI()*O83),COMPLEX(Q*(wsl/2),0)),IMDIV(IMPOWER(COMPLEX(0,2*PI()*O83),2),IMPOWER(COMPLEX(wsl/2,0),2))),COMPLEX(1,0))</f>
        <v>0.999999201895074-0.00130670392732381i</v>
      </c>
      <c r="AA83" s="160">
        <f t="shared" si="48"/>
        <v>1.0000000556329678</v>
      </c>
      <c r="AB83" s="160">
        <f t="shared" si="49"/>
        <v>-1.3067042264889683E-3</v>
      </c>
      <c r="AC83" s="171" t="str">
        <f t="shared" si="50"/>
        <v>108.098559691144-267.299189093977i</v>
      </c>
      <c r="AD83" s="190">
        <f t="shared" si="51"/>
        <v>49.197794873569613</v>
      </c>
      <c r="AE83" s="169">
        <f t="shared" si="52"/>
        <v>-67.981082115307828</v>
      </c>
      <c r="AF83" s="98" t="str">
        <f t="shared" ref="AF83:AF146" si="72">COMPLEX(Adc_ea,0)</f>
        <v>-0.0000119284294234592</v>
      </c>
      <c r="AG83" s="98" t="str">
        <f t="shared" ref="AG83:AG146" si="73">COMPLEX(0,2*PI()*O83*wp0_ea)</f>
        <v>5.06113417577447E-06i</v>
      </c>
      <c r="AH83" s="98">
        <f t="shared" si="53"/>
        <v>5.0611341757744699E-6</v>
      </c>
      <c r="AI83" s="98">
        <f t="shared" si="54"/>
        <v>1.5707963267948966</v>
      </c>
      <c r="AJ83" s="98" t="str">
        <f t="shared" ref="AJ83:AJ146" si="74">IMSUM(COMPLEX(1,0),IMDIV(COMPLEX(0,2*PI()*O83),COMPLEX(wp1_ea,0)))</f>
        <v>1+0.000277344517584048i</v>
      </c>
      <c r="AK83" s="98">
        <f t="shared" si="55"/>
        <v>1.0000000384599901</v>
      </c>
      <c r="AL83" s="98">
        <f t="shared" si="56"/>
        <v>2.7734451047293661E-4</v>
      </c>
      <c r="AM83" s="98" t="str">
        <f t="shared" ref="AM83:AM146" si="75">IMSUM(COMPLEX(1,0),IMDIV(COMPLEX(0,2*PI()*O83),COMPLEX(wz_ea,0)))</f>
        <v>1+0.151556172290701i</v>
      </c>
      <c r="AN83" s="98">
        <f t="shared" si="57"/>
        <v>1.0114194349326142</v>
      </c>
      <c r="AO83" s="98">
        <f t="shared" si="58"/>
        <v>0.15041152796506613</v>
      </c>
      <c r="AP83" s="168" t="str">
        <f t="shared" si="59"/>
        <v>-0.356544327591471+2.35696772354331i</v>
      </c>
      <c r="AQ83" s="98">
        <f t="shared" si="60"/>
        <v>7.5453338428347658</v>
      </c>
      <c r="AR83" s="169">
        <f t="shared" si="61"/>
        <v>98.602055072591028</v>
      </c>
      <c r="AS83" s="168" t="str">
        <f t="shared" si="62"/>
        <v>591.473632945118+350.088825794804i</v>
      </c>
      <c r="AT83" s="190">
        <f t="shared" si="63"/>
        <v>56.743128716404371</v>
      </c>
      <c r="AU83" s="169">
        <f t="shared" si="64"/>
        <v>30.620972957283232</v>
      </c>
      <c r="AV83" s="225"/>
      <c r="AX83">
        <f t="shared" si="65"/>
        <v>0</v>
      </c>
      <c r="AY83">
        <f t="shared" si="66"/>
        <v>0</v>
      </c>
    </row>
    <row r="84" spans="14:51" x14ac:dyDescent="0.2">
      <c r="N84" s="170">
        <v>66</v>
      </c>
      <c r="O84" s="199">
        <f t="shared" ref="O84:O118" si="76">10^(1+(N84/100))</f>
        <v>45.70881896148753</v>
      </c>
      <c r="P84" s="189" t="str">
        <f t="shared" si="67"/>
        <v>771.276595744681</v>
      </c>
      <c r="Q84" s="160" t="str">
        <f t="shared" si="68"/>
        <v>1+2.53882130061298i</v>
      </c>
      <c r="R84" s="160">
        <f t="shared" ref="R84:R147" si="77">IMABS(Q84)</f>
        <v>2.7286651675216915</v>
      </c>
      <c r="S84" s="160">
        <f t="shared" ref="S84:S147" si="78">IMARGUMENT(Q84)</f>
        <v>1.1955738285376882</v>
      </c>
      <c r="T84" s="160" t="str">
        <f t="shared" si="69"/>
        <v>1+0.0000477895774233031i</v>
      </c>
      <c r="U84" s="160">
        <f t="shared" ref="U84:U147" si="79">IMABS(T84)</f>
        <v>1.0000000011419219</v>
      </c>
      <c r="V84" s="160">
        <f t="shared" ref="V84:V147" si="80">IMARGUMENT(T84)</f>
        <v>4.7789577386921788E-5</v>
      </c>
      <c r="W84" s="98" t="str">
        <f t="shared" si="70"/>
        <v>1-0.000195293946200998i</v>
      </c>
      <c r="X84" s="160">
        <f t="shared" ref="X84:X147" si="81">IMABS(W84)</f>
        <v>1.0000000190698626</v>
      </c>
      <c r="Y84" s="160">
        <f t="shared" ref="Y84:Y147" si="82">IMARGUMENT(W84)</f>
        <v>-1.9529394371817891E-4</v>
      </c>
      <c r="Z84" s="98" t="str">
        <f t="shared" si="71"/>
        <v>0.999999164281548-0.0013371409718162i</v>
      </c>
      <c r="AA84" s="160">
        <f t="shared" ref="AA84:AA147" si="83">IMABS(Z84)</f>
        <v>1.0000000582548847</v>
      </c>
      <c r="AB84" s="160">
        <f t="shared" ref="AB84:AB147" si="84">IMARGUMENT(Z84)</f>
        <v>-1.3371412923774326E-3</v>
      </c>
      <c r="AC84" s="171" t="str">
        <f t="shared" ref="AC84:AC147" si="85">(IMDIV(IMPRODUCT(P84,T84,W84),IMPRODUCT(Q84,Z84)))</f>
        <v>103.900837430396-262.868120352652i</v>
      </c>
      <c r="AD84" s="190">
        <f t="shared" ref="AD84:AD147" si="86">20*LOG(IMABS(AC84))</f>
        <v>49.025197789274408</v>
      </c>
      <c r="AE84" s="169">
        <f t="shared" ref="AE84:AE147" si="87">(180/PI())*IMARGUMENT(AC84)</f>
        <v>-68.433173296491773</v>
      </c>
      <c r="AF84" s="98" t="str">
        <f t="shared" si="72"/>
        <v>-0.0000119284294234592</v>
      </c>
      <c r="AG84" s="98" t="str">
        <f t="shared" si="73"/>
        <v>5.17902313506265E-06i</v>
      </c>
      <c r="AH84" s="98">
        <f t="shared" ref="AH84:AH147" si="88">IMABS(AG84)</f>
        <v>5.1790231350626504E-6</v>
      </c>
      <c r="AI84" s="98">
        <f t="shared" ref="AI84:AI147" si="89">IMARGUMENT(AG84)</f>
        <v>1.5707963267948966</v>
      </c>
      <c r="AJ84" s="98" t="str">
        <f t="shared" si="74"/>
        <v>1+0.000283804701291243i</v>
      </c>
      <c r="AK84" s="98">
        <f t="shared" ref="AK84:AK147" si="90">IMABS(AJ84)</f>
        <v>1.0000000402725535</v>
      </c>
      <c r="AL84" s="98">
        <f t="shared" ref="AL84:AL147" si="91">IMARGUMENT(AJ84)</f>
        <v>2.8380469367154986E-4</v>
      </c>
      <c r="AM84" s="98" t="str">
        <f t="shared" si="75"/>
        <v>1+0.155086369041969i</v>
      </c>
      <c r="AN84" s="98">
        <f t="shared" ref="AN84:AN147" si="92">IMABS(AM84)</f>
        <v>1.0119544366534601</v>
      </c>
      <c r="AO84" s="98">
        <f t="shared" ref="AO84:AO147" si="93">IMARGUMENT(AM84)</f>
        <v>0.15386064172509986</v>
      </c>
      <c r="AP84" s="168" t="str">
        <f t="shared" ref="AP84:AP147" si="94">IMPRODUCT(AF84,IMDIV(AM84,IMPRODUCT(AG84,AJ84)))</f>
        <v>-0.356544326298952+2.30332114229089i</v>
      </c>
      <c r="AQ84" s="98">
        <f t="shared" ref="AQ84:AQ147" si="95">20*LOG(IMABS(AP84))</f>
        <v>7.3499271116806932</v>
      </c>
      <c r="AR84" s="169">
        <f t="shared" ref="AR84:AR147" si="96">(180/PI())*IMARGUMENT(AP84)</f>
        <v>98.799304592869277</v>
      </c>
      <c r="AS84" s="168" t="str">
        <f t="shared" ref="AS84:AS147" si="97">IMPRODUCT(AC84,AP84)</f>
        <v>568.424445159012+333.041132431768i</v>
      </c>
      <c r="AT84" s="190">
        <f t="shared" ref="AT84:AT147" si="98">20*LOG(IMABS(AS84))</f>
        <v>56.3751249009551</v>
      </c>
      <c r="AU84" s="169">
        <f t="shared" ref="AU84:AU147" si="99">(180/PI())*IMARGUMENT(AS84)</f>
        <v>30.366131296377528</v>
      </c>
      <c r="AV84" s="225"/>
      <c r="AX84">
        <f t="shared" ref="AX84:AX147" si="100">SUM((AT85&lt;0)*(AT84&gt;0))*O84</f>
        <v>0</v>
      </c>
      <c r="AY84">
        <f t="shared" ref="AY84:AY147" si="101">IF(AX84&gt;0,AU84,0)</f>
        <v>0</v>
      </c>
    </row>
    <row r="85" spans="14:51" x14ac:dyDescent="0.2">
      <c r="N85" s="170">
        <v>67</v>
      </c>
      <c r="O85" s="199">
        <f t="shared" si="76"/>
        <v>46.773514128719818</v>
      </c>
      <c r="P85" s="189" t="str">
        <f t="shared" si="67"/>
        <v>771.276595744681</v>
      </c>
      <c r="Q85" s="160" t="str">
        <f t="shared" si="68"/>
        <v>1+2.59795804557037i</v>
      </c>
      <c r="R85" s="160">
        <f t="shared" si="77"/>
        <v>2.7837719027506216</v>
      </c>
      <c r="S85" s="160">
        <f t="shared" si="78"/>
        <v>1.2033591743732797</v>
      </c>
      <c r="T85" s="160" t="str">
        <f t="shared" si="69"/>
        <v>1+0.0000489027396813245i</v>
      </c>
      <c r="U85" s="160">
        <f t="shared" si="79"/>
        <v>1.0000000011957388</v>
      </c>
      <c r="V85" s="160">
        <f t="shared" si="80"/>
        <v>4.8902739642341224E-5</v>
      </c>
      <c r="W85" s="98" t="str">
        <f t="shared" si="70"/>
        <v>1-0.000199842926582335i</v>
      </c>
      <c r="X85" s="160">
        <f t="shared" si="81"/>
        <v>1.0000000199685974</v>
      </c>
      <c r="Y85" s="160">
        <f t="shared" si="82"/>
        <v>-1.998429239219464E-4</v>
      </c>
      <c r="Z85" s="98" t="str">
        <f t="shared" si="71"/>
        <v>0.99999912489535-0.00136828698615099i</v>
      </c>
      <c r="AA85" s="160">
        <f t="shared" si="83"/>
        <v>1.0000000610003692</v>
      </c>
      <c r="AB85" s="160">
        <f t="shared" si="84"/>
        <v>-1.3682873296385299E-3</v>
      </c>
      <c r="AC85" s="171" t="str">
        <f t="shared" si="85"/>
        <v>99.8421351709585-258.446767261507i</v>
      </c>
      <c r="AD85" s="190">
        <f t="shared" si="86"/>
        <v>48.851529771620235</v>
      </c>
      <c r="AE85" s="169">
        <f t="shared" si="87"/>
        <v>-68.877653076304824</v>
      </c>
      <c r="AF85" s="98" t="str">
        <f t="shared" si="72"/>
        <v>-0.0000119284294234592</v>
      </c>
      <c r="AG85" s="98" t="str">
        <f t="shared" si="73"/>
        <v>0.0000052996580809695i</v>
      </c>
      <c r="AH85" s="98">
        <f t="shared" si="88"/>
        <v>5.2996580809695002E-6</v>
      </c>
      <c r="AI85" s="98">
        <f t="shared" si="89"/>
        <v>1.5707963267948966</v>
      </c>
      <c r="AJ85" s="98" t="str">
        <f t="shared" si="74"/>
        <v>1+0.000290415362007662i</v>
      </c>
      <c r="AK85" s="98">
        <f t="shared" si="90"/>
        <v>1.0000000421705404</v>
      </c>
      <c r="AL85" s="98">
        <f t="shared" si="91"/>
        <v>2.9041535384301373E-4</v>
      </c>
      <c r="AM85" s="98" t="str">
        <f t="shared" si="75"/>
        <v>1+0.158698794638914i</v>
      </c>
      <c r="AN85" s="98">
        <f t="shared" si="92"/>
        <v>1.0125143492414537</v>
      </c>
      <c r="AO85" s="98">
        <f t="shared" si="93"/>
        <v>0.15738627929267116</v>
      </c>
      <c r="AP85" s="168" t="str">
        <f t="shared" si="94"/>
        <v>-0.356544324945521+2.25089581239615i</v>
      </c>
      <c r="AQ85" s="98">
        <f t="shared" si="95"/>
        <v>7.1547316534121421</v>
      </c>
      <c r="AR85" s="169">
        <f t="shared" si="96"/>
        <v>99.00092998265626</v>
      </c>
      <c r="AS85" s="168" t="str">
        <f t="shared" si="97"/>
        <v>546.1385994706+316.881972124607i</v>
      </c>
      <c r="AT85" s="190">
        <f t="shared" si="98"/>
        <v>56.006261425032385</v>
      </c>
      <c r="AU85" s="169">
        <f t="shared" si="99"/>
        <v>30.123276906351421</v>
      </c>
      <c r="AV85" s="225"/>
      <c r="AX85">
        <f t="shared" si="100"/>
        <v>0</v>
      </c>
      <c r="AY85">
        <f t="shared" si="101"/>
        <v>0</v>
      </c>
    </row>
    <row r="86" spans="14:51" x14ac:dyDescent="0.2">
      <c r="N86" s="170">
        <v>68</v>
      </c>
      <c r="O86" s="199">
        <f t="shared" si="76"/>
        <v>47.863009232263877</v>
      </c>
      <c r="P86" s="189" t="str">
        <f t="shared" si="67"/>
        <v>771.276595744681</v>
      </c>
      <c r="Q86" s="160" t="str">
        <f t="shared" si="68"/>
        <v>1+2.65847226227157i</v>
      </c>
      <c r="R86" s="160">
        <f t="shared" si="77"/>
        <v>2.8403300458339906</v>
      </c>
      <c r="S86" s="160">
        <f t="shared" si="78"/>
        <v>1.2110126587675032</v>
      </c>
      <c r="T86" s="160" t="str">
        <f t="shared" si="69"/>
        <v>1+0.0000500418308192294i</v>
      </c>
      <c r="U86" s="160">
        <f t="shared" si="79"/>
        <v>1.0000000012520924</v>
      </c>
      <c r="V86" s="160">
        <f t="shared" si="80"/>
        <v>5.0041830777458069E-5</v>
      </c>
      <c r="W86" s="98" t="str">
        <f t="shared" si="70"/>
        <v>1-0.000204497866328581i</v>
      </c>
      <c r="X86" s="160">
        <f t="shared" si="81"/>
        <v>1.0000000209096884</v>
      </c>
      <c r="Y86" s="160">
        <f t="shared" si="82"/>
        <v>-2.0449786347792324E-4</v>
      </c>
      <c r="Z86" s="98" t="str">
        <f t="shared" si="71"/>
        <v>0.999999083652939-0.00140015848435726i</v>
      </c>
      <c r="AA86" s="160">
        <f t="shared" si="83"/>
        <v>1.0000000638752473</v>
      </c>
      <c r="AB86" s="160">
        <f t="shared" si="84"/>
        <v>-1.4001588524107775E-3</v>
      </c>
      <c r="AC86" s="171" t="str">
        <f t="shared" si="85"/>
        <v>95.9197515077265-254.03921764574i</v>
      </c>
      <c r="AD86" s="190">
        <f t="shared" si="86"/>
        <v>48.676826538727987</v>
      </c>
      <c r="AE86" s="169">
        <f t="shared" si="87"/>
        <v>-69.314540770197482</v>
      </c>
      <c r="AF86" s="98" t="str">
        <f t="shared" si="72"/>
        <v>-0.0000119284294234592</v>
      </c>
      <c r="AG86" s="98" t="str">
        <f t="shared" si="73"/>
        <v>5.42310297574017E-06i</v>
      </c>
      <c r="AH86" s="98">
        <f t="shared" si="88"/>
        <v>5.4231029757401697E-6</v>
      </c>
      <c r="AI86" s="98">
        <f t="shared" si="89"/>
        <v>1.5707963267948966</v>
      </c>
      <c r="AJ86" s="98" t="str">
        <f t="shared" si="74"/>
        <v>1+0.000297180004793119i</v>
      </c>
      <c r="AK86" s="98">
        <f t="shared" si="90"/>
        <v>1.0000000441579766</v>
      </c>
      <c r="AL86" s="98">
        <f t="shared" si="91"/>
        <v>2.971799960445408E-4</v>
      </c>
      <c r="AM86" s="98" t="str">
        <f t="shared" si="75"/>
        <v>1+0.162395364437403i</v>
      </c>
      <c r="AN86" s="98">
        <f t="shared" si="92"/>
        <v>1.013100318029146</v>
      </c>
      <c r="AO86" s="98">
        <f t="shared" si="93"/>
        <v>0.16098995923508558</v>
      </c>
      <c r="AP86" s="168" t="str">
        <f t="shared" si="94"/>
        <v>-0.356544323528301+2.19966393725521i</v>
      </c>
      <c r="AQ86" s="98">
        <f t="shared" si="95"/>
        <v>6.9597569358231226</v>
      </c>
      <c r="AR86" s="169">
        <f t="shared" si="96"/>
        <v>99.207018048624505</v>
      </c>
      <c r="AS86" s="168" t="str">
        <f t="shared" si="97"/>
        <v>524.601262789537+301.567459267186i</v>
      </c>
      <c r="AT86" s="190">
        <f t="shared" si="98"/>
        <v>55.636583474551109</v>
      </c>
      <c r="AU86" s="169">
        <f t="shared" si="99"/>
        <v>29.892477278426988</v>
      </c>
      <c r="AV86" s="225"/>
      <c r="AX86">
        <f t="shared" si="100"/>
        <v>0</v>
      </c>
      <c r="AY86">
        <f t="shared" si="101"/>
        <v>0</v>
      </c>
    </row>
    <row r="87" spans="14:51" x14ac:dyDescent="0.2">
      <c r="N87" s="170">
        <v>69</v>
      </c>
      <c r="O87" s="199">
        <f t="shared" si="76"/>
        <v>48.977881936844632</v>
      </c>
      <c r="P87" s="189" t="str">
        <f t="shared" si="67"/>
        <v>771.276595744681</v>
      </c>
      <c r="Q87" s="160" t="str">
        <f t="shared" si="68"/>
        <v>1+2.72039603615526i</v>
      </c>
      <c r="R87" s="160">
        <f t="shared" si="77"/>
        <v>2.8983710241322198</v>
      </c>
      <c r="S87" s="160">
        <f t="shared" si="78"/>
        <v>1.2185347522164898</v>
      </c>
      <c r="T87" s="160" t="str">
        <f t="shared" si="69"/>
        <v>1+0.0000512074547982166i</v>
      </c>
      <c r="U87" s="160">
        <f t="shared" si="79"/>
        <v>1.0000000013111017</v>
      </c>
      <c r="V87" s="160">
        <f t="shared" si="80"/>
        <v>5.1207454753457811E-5</v>
      </c>
      <c r="W87" s="98" t="str">
        <f t="shared" si="70"/>
        <v>1-0.000209261233550404i</v>
      </c>
      <c r="X87" s="160">
        <f t="shared" si="81"/>
        <v>1.0000000218951317</v>
      </c>
      <c r="Y87" s="160">
        <f t="shared" si="82"/>
        <v>-2.0926123049586922E-4</v>
      </c>
      <c r="Z87" s="98" t="str">
        <f t="shared" si="71"/>
        <v>0.999999040466832-0.00143277236512523i</v>
      </c>
      <c r="AA87" s="160">
        <f t="shared" si="83"/>
        <v>1.000000066885615</v>
      </c>
      <c r="AB87" s="160">
        <f t="shared" si="84"/>
        <v>-1.432772759501667E-3</v>
      </c>
      <c r="AC87" s="171" t="str">
        <f t="shared" si="85"/>
        <v>92.1308841024716-249.649331310721i</v>
      </c>
      <c r="AD87" s="190">
        <f t="shared" si="86"/>
        <v>48.501123094461931</v>
      </c>
      <c r="AE87" s="169">
        <f t="shared" si="87"/>
        <v>-69.743862474189854</v>
      </c>
      <c r="AF87" s="98" t="str">
        <f t="shared" si="72"/>
        <v>-0.0000119284294234592</v>
      </c>
      <c r="AG87" s="98" t="str">
        <f t="shared" si="73"/>
        <v>5.54942327149181E-06i</v>
      </c>
      <c r="AH87" s="98">
        <f t="shared" si="88"/>
        <v>5.5494232714918102E-6</v>
      </c>
      <c r="AI87" s="98">
        <f t="shared" si="89"/>
        <v>1.5707963267948966</v>
      </c>
      <c r="AJ87" s="98" t="str">
        <f t="shared" si="74"/>
        <v>1+0.00030410221635076i</v>
      </c>
      <c r="AK87" s="98">
        <f t="shared" si="90"/>
        <v>1.0000000462390779</v>
      </c>
      <c r="AL87" s="98">
        <f t="shared" si="91"/>
        <v>3.041022069764896E-4</v>
      </c>
      <c r="AM87" s="98" t="str">
        <f t="shared" si="75"/>
        <v>1+0.166178038407674i</v>
      </c>
      <c r="AN87" s="98">
        <f t="shared" si="92"/>
        <v>1.0137135396397852</v>
      </c>
      <c r="AO87" s="98">
        <f t="shared" si="93"/>
        <v>0.1646732176866115</v>
      </c>
      <c r="AP87" s="168" t="str">
        <f t="shared" si="94"/>
        <v>-0.356544322044293+2.14959835304978i</v>
      </c>
      <c r="AQ87" s="98">
        <f t="shared" si="95"/>
        <v>6.7650128275346768</v>
      </c>
      <c r="AR87" s="169">
        <f t="shared" si="96"/>
        <v>99.4176565992815</v>
      </c>
      <c r="AS87" s="168" t="str">
        <f t="shared" si="97"/>
        <v>503.797047813848+287.055448312685i</v>
      </c>
      <c r="AT87" s="190">
        <f t="shared" si="98"/>
        <v>55.266135921996607</v>
      </c>
      <c r="AU87" s="169">
        <f t="shared" si="99"/>
        <v>29.673794125091629</v>
      </c>
      <c r="AV87" s="225"/>
      <c r="AX87">
        <f t="shared" si="100"/>
        <v>0</v>
      </c>
      <c r="AY87">
        <f t="shared" si="101"/>
        <v>0</v>
      </c>
    </row>
    <row r="88" spans="14:51" x14ac:dyDescent="0.2">
      <c r="N88" s="170">
        <v>70</v>
      </c>
      <c r="O88" s="199">
        <f t="shared" si="76"/>
        <v>50.118723362727238</v>
      </c>
      <c r="P88" s="189" t="str">
        <f t="shared" si="67"/>
        <v>771.276595744681</v>
      </c>
      <c r="Q88" s="160" t="str">
        <f t="shared" si="68"/>
        <v>1+2.78376220002602i</v>
      </c>
      <c r="R88" s="160">
        <f t="shared" si="77"/>
        <v>2.9579269744694017</v>
      </c>
      <c r="S88" s="160">
        <f t="shared" si="78"/>
        <v>1.225926037127395</v>
      </c>
      <c r="T88" s="160" t="str">
        <f t="shared" si="69"/>
        <v>1+0.0000524002296475484i</v>
      </c>
      <c r="U88" s="160">
        <f t="shared" si="79"/>
        <v>1.000000001372892</v>
      </c>
      <c r="V88" s="160">
        <f t="shared" si="80"/>
        <v>5.2400229599588494E-5</v>
      </c>
      <c r="W88" s="98" t="str">
        <f t="shared" si="70"/>
        <v>1-0.000214135553848154i</v>
      </c>
      <c r="X88" s="160">
        <f t="shared" si="81"/>
        <v>1.0000000229270174</v>
      </c>
      <c r="Y88" s="160">
        <f t="shared" si="82"/>
        <v>-2.1413555057516102E-4</v>
      </c>
      <c r="Z88" s="98" t="str">
        <f t="shared" si="71"/>
        <v>0.999998995245427-0.00146614592076617i</v>
      </c>
      <c r="AA88" s="160">
        <f t="shared" si="83"/>
        <v>1.0000000700378597</v>
      </c>
      <c r="AB88" s="160">
        <f t="shared" si="84"/>
        <v>-1.4661463433481208E-3</v>
      </c>
      <c r="AC88" s="171" t="str">
        <f t="shared" si="85"/>
        <v>88.4726446671383-245.280742599241i</v>
      </c>
      <c r="AD88" s="190">
        <f t="shared" si="86"/>
        <v>48.324453704203869</v>
      </c>
      <c r="AE88" s="169">
        <f t="shared" si="87"/>
        <v>-70.16565067626567</v>
      </c>
      <c r="AF88" s="98" t="str">
        <f t="shared" si="72"/>
        <v>-0.0000119284294234592</v>
      </c>
      <c r="AG88" s="98" t="str">
        <f t="shared" si="73"/>
        <v>5.67868594491731E-06i</v>
      </c>
      <c r="AH88" s="98">
        <f t="shared" si="88"/>
        <v>5.6786859449173098E-6</v>
      </c>
      <c r="AI88" s="98">
        <f t="shared" si="89"/>
        <v>1.5707963267948966</v>
      </c>
      <c r="AJ88" s="98" t="str">
        <f t="shared" si="74"/>
        <v>1+0.000311185666928778i</v>
      </c>
      <c r="AK88" s="98">
        <f t="shared" si="90"/>
        <v>1.0000000484182585</v>
      </c>
      <c r="AL88" s="98">
        <f t="shared" si="91"/>
        <v>3.111856568840663E-4</v>
      </c>
      <c r="AM88" s="98" t="str">
        <f t="shared" si="75"/>
        <v>1+0.170048822173535i</v>
      </c>
      <c r="AN88" s="98">
        <f t="shared" si="92"/>
        <v>1.0143552641567977</v>
      </c>
      <c r="AO88" s="98">
        <f t="shared" si="93"/>
        <v>0.16843760760886772</v>
      </c>
      <c r="AP88" s="168" t="str">
        <f t="shared" si="94"/>
        <v>-0.356544320490345+2.10067251434437i</v>
      </c>
      <c r="AQ88" s="98">
        <f t="shared" si="95"/>
        <v>6.5705096127666049</v>
      </c>
      <c r="AR88" s="169">
        <f t="shared" si="96"/>
        <v>99.632934402484338</v>
      </c>
      <c r="AS88" s="168" t="str">
        <f t="shared" si="97"/>
        <v>483.710095301373+273.305508623027i</v>
      </c>
      <c r="AT88" s="190">
        <f t="shared" si="98"/>
        <v>54.894963316970468</v>
      </c>
      <c r="AU88" s="169">
        <f t="shared" si="99"/>
        <v>29.467283726218685</v>
      </c>
      <c r="AV88" s="225"/>
      <c r="AX88">
        <f t="shared" si="100"/>
        <v>0</v>
      </c>
      <c r="AY88">
        <f t="shared" si="101"/>
        <v>0</v>
      </c>
    </row>
    <row r="89" spans="14:51" x14ac:dyDescent="0.2">
      <c r="N89" s="170">
        <v>71</v>
      </c>
      <c r="O89" s="199">
        <f t="shared" si="76"/>
        <v>51.28613839913649</v>
      </c>
      <c r="P89" s="189" t="str">
        <f t="shared" si="67"/>
        <v>771.276595744681</v>
      </c>
      <c r="Q89" s="160" t="str">
        <f t="shared" si="68"/>
        <v>1+2.84860435146268i</v>
      </c>
      <c r="R89" s="160">
        <f t="shared" si="77"/>
        <v>3.01903076353523</v>
      </c>
      <c r="S89" s="160">
        <f t="shared" si="78"/>
        <v>1.2331872011326466</v>
      </c>
      <c r="T89" s="160" t="str">
        <f t="shared" si="69"/>
        <v>1+0.0000536207877922385i</v>
      </c>
      <c r="U89" s="160">
        <f t="shared" si="79"/>
        <v>1.0000000014375945</v>
      </c>
      <c r="V89" s="160">
        <f t="shared" si="80"/>
        <v>5.3620787740848536E-5</v>
      </c>
      <c r="W89" s="98" t="str">
        <f t="shared" si="70"/>
        <v>1-0.000219123411650974i</v>
      </c>
      <c r="X89" s="160">
        <f t="shared" si="81"/>
        <v>1.0000000240075344</v>
      </c>
      <c r="Y89" s="160">
        <f t="shared" si="82"/>
        <v>-2.191234081438988E-4</v>
      </c>
      <c r="Z89" s="98" t="str">
        <f t="shared" si="71"/>
        <v>0.999998947892803-0.00150029684638103i</v>
      </c>
      <c r="AA89" s="160">
        <f t="shared" si="83"/>
        <v>1.0000000733386674</v>
      </c>
      <c r="AB89" s="160">
        <f t="shared" si="84"/>
        <v>-1.5002972991857311E-3</v>
      </c>
      <c r="AC89" s="171" t="str">
        <f t="shared" si="85"/>
        <v>84.9420731865543-240.936863760621i</v>
      </c>
      <c r="AD89" s="190">
        <f t="shared" si="86"/>
        <v>48.146851874416619</v>
      </c>
      <c r="AE89" s="169">
        <f t="shared" si="87"/>
        <v>-70.579943872840431</v>
      </c>
      <c r="AF89" s="98" t="str">
        <f t="shared" si="72"/>
        <v>-0.0000119284294234592</v>
      </c>
      <c r="AG89" s="98" t="str">
        <f t="shared" si="73"/>
        <v>0.0000058109595327971i</v>
      </c>
      <c r="AH89" s="98">
        <f t="shared" si="88"/>
        <v>5.8109595327970996E-6</v>
      </c>
      <c r="AI89" s="98">
        <f t="shared" si="89"/>
        <v>1.5707963267948966</v>
      </c>
      <c r="AJ89" s="98" t="str">
        <f t="shared" si="74"/>
        <v>1+0.000318434112266431i</v>
      </c>
      <c r="AK89" s="98">
        <f t="shared" si="90"/>
        <v>1.0000000507001408</v>
      </c>
      <c r="AL89" s="98">
        <f t="shared" si="91"/>
        <v>3.1843410150332851E-4</v>
      </c>
      <c r="AM89" s="98" t="str">
        <f t="shared" si="75"/>
        <v>1+0.174009768075774i</v>
      </c>
      <c r="AN89" s="98">
        <f t="shared" si="92"/>
        <v>1.0150267973732441</v>
      </c>
      <c r="AO89" s="98">
        <f t="shared" si="93"/>
        <v>0.17228469796605278</v>
      </c>
      <c r="AP89" s="168" t="str">
        <f t="shared" si="94"/>
        <v>-0.356544318863159+2.05286048001172i</v>
      </c>
      <c r="AQ89" s="98">
        <f t="shared" si="95"/>
        <v>6.3762580064461005</v>
      </c>
      <c r="AR89" s="169">
        <f t="shared" si="96"/>
        <v>99.852941138071785</v>
      </c>
      <c r="AS89" s="168" t="str">
        <f t="shared" si="97"/>
        <v>464.324152165022+260.278895113497i</v>
      </c>
      <c r="AT89" s="190">
        <f t="shared" si="98"/>
        <v>54.523109880862719</v>
      </c>
      <c r="AU89" s="169">
        <f t="shared" si="99"/>
        <v>29.272997265231396</v>
      </c>
      <c r="AV89" s="225"/>
      <c r="AX89">
        <f t="shared" si="100"/>
        <v>0</v>
      </c>
      <c r="AY89">
        <f t="shared" si="101"/>
        <v>0</v>
      </c>
    </row>
    <row r="90" spans="14:51" x14ac:dyDescent="0.2">
      <c r="N90" s="170">
        <v>72</v>
      </c>
      <c r="O90" s="199">
        <f t="shared" si="76"/>
        <v>52.480746024977286</v>
      </c>
      <c r="P90" s="189" t="str">
        <f t="shared" si="67"/>
        <v>771.276595744681</v>
      </c>
      <c r="Q90" s="160" t="str">
        <f t="shared" si="68"/>
        <v>1+2.91495687063222i</v>
      </c>
      <c r="R90" s="160">
        <f t="shared" si="77"/>
        <v>3.0817160085974802</v>
      </c>
      <c r="S90" s="160">
        <f t="shared" si="78"/>
        <v>1.2403190305157983</v>
      </c>
      <c r="T90" s="160" t="str">
        <f t="shared" si="69"/>
        <v>1+0.0000548697763883712i</v>
      </c>
      <c r="U90" s="160">
        <f t="shared" si="79"/>
        <v>1.0000000015053461</v>
      </c>
      <c r="V90" s="160">
        <f t="shared" si="80"/>
        <v>5.4869776333305861E-5</v>
      </c>
      <c r="W90" s="98" t="str">
        <f t="shared" si="70"/>
        <v>1-0.000224227451587093i</v>
      </c>
      <c r="X90" s="160">
        <f t="shared" si="81"/>
        <v>1.0000000251389747</v>
      </c>
      <c r="Y90" s="160">
        <f t="shared" si="82"/>
        <v>-2.2422744782919424E-4</v>
      </c>
      <c r="Z90" s="98" t="str">
        <f t="shared" si="71"/>
        <v>0.999998898308519-0.00153524324924263i</v>
      </c>
      <c r="AA90" s="160">
        <f t="shared" si="83"/>
        <v>1.0000000767950401</v>
      </c>
      <c r="AB90" s="160">
        <f t="shared" si="84"/>
        <v>-1.535243734431589E-3</v>
      </c>
      <c r="AC90" s="171" t="str">
        <f t="shared" si="85"/>
        <v>81.5361513600366-236.620889039453i</v>
      </c>
      <c r="AD90" s="190">
        <f t="shared" si="86"/>
        <v>47.968350335796458</v>
      </c>
      <c r="AE90" s="169">
        <f t="shared" si="87"/>
        <v>-70.986786191611301</v>
      </c>
      <c r="AF90" s="98" t="str">
        <f t="shared" si="72"/>
        <v>-0.0000119284294234592</v>
      </c>
      <c r="AG90" s="98" t="str">
        <f t="shared" si="73"/>
        <v>5.94631416833831E-06i</v>
      </c>
      <c r="AH90" s="98">
        <f t="shared" si="88"/>
        <v>5.9463141683383099E-6</v>
      </c>
      <c r="AI90" s="98">
        <f t="shared" si="89"/>
        <v>1.5707963267948966</v>
      </c>
      <c r="AJ90" s="98" t="str">
        <f t="shared" si="74"/>
        <v>1+0.000325851395585382i</v>
      </c>
      <c r="AK90" s="98">
        <f t="shared" si="90"/>
        <v>1.0000000530895645</v>
      </c>
      <c r="AL90" s="98">
        <f t="shared" si="91"/>
        <v>3.2585138405250995E-4</v>
      </c>
      <c r="AM90" s="98" t="str">
        <f t="shared" si="75"/>
        <v>1+0.178062976260339i</v>
      </c>
      <c r="AN90" s="98">
        <f t="shared" si="92"/>
        <v>1.0157295031230953</v>
      </c>
      <c r="AO90" s="98">
        <f t="shared" si="93"/>
        <v>0.17621607280974291</v>
      </c>
      <c r="AP90" s="168" t="str">
        <f t="shared" si="94"/>
        <v>-0.356544317159289+2.00613689947835i</v>
      </c>
      <c r="AQ90" s="98">
        <f t="shared" si="95"/>
        <v>6.1822691696368324</v>
      </c>
      <c r="AR90" s="169">
        <f t="shared" si="96"/>
        <v>100.07776734531359</v>
      </c>
      <c r="AS90" s="168" t="str">
        <f t="shared" si="97"/>
        <v>445.622645278958+247.938515193017i</v>
      </c>
      <c r="AT90" s="190">
        <f t="shared" si="98"/>
        <v>54.150619505433284</v>
      </c>
      <c r="AU90" s="169">
        <f t="shared" si="99"/>
        <v>29.09098115370233</v>
      </c>
      <c r="AV90" s="225"/>
      <c r="AX90">
        <f t="shared" si="100"/>
        <v>0</v>
      </c>
      <c r="AY90">
        <f t="shared" si="101"/>
        <v>0</v>
      </c>
    </row>
    <row r="91" spans="14:51" x14ac:dyDescent="0.2">
      <c r="N91" s="170">
        <v>73</v>
      </c>
      <c r="O91" s="199">
        <f t="shared" si="76"/>
        <v>53.703179637025293</v>
      </c>
      <c r="P91" s="189" t="str">
        <f t="shared" si="67"/>
        <v>771.276595744681</v>
      </c>
      <c r="Q91" s="160" t="str">
        <f t="shared" si="68"/>
        <v>1+2.98285493851859i</v>
      </c>
      <c r="R91" s="160">
        <f t="shared" si="77"/>
        <v>3.1460170985302578</v>
      </c>
      <c r="S91" s="160">
        <f t="shared" si="78"/>
        <v>1.2473224037691442</v>
      </c>
      <c r="T91" s="160" t="str">
        <f t="shared" si="69"/>
        <v>1+0.0000561478576662321i</v>
      </c>
      <c r="U91" s="160">
        <f t="shared" si="79"/>
        <v>1.0000000015762909</v>
      </c>
      <c r="V91" s="160">
        <f t="shared" si="80"/>
        <v>5.6147857607228522E-5</v>
      </c>
      <c r="W91" s="98" t="str">
        <f t="shared" si="70"/>
        <v>1-0.000229450379886044i</v>
      </c>
      <c r="X91" s="160">
        <f t="shared" si="81"/>
        <v>1.0000000263237381</v>
      </c>
      <c r="Y91" s="160">
        <f t="shared" si="82"/>
        <v>-2.2945037585938294E-4</v>
      </c>
      <c r="Z91" s="98" t="str">
        <f t="shared" si="71"/>
        <v>0.999998846387399-0.00157100365839632i</v>
      </c>
      <c r="AA91" s="160">
        <f t="shared" si="83"/>
        <v>1.0000000804143085</v>
      </c>
      <c r="AB91" s="160">
        <f t="shared" si="84"/>
        <v>-1.5710041782856354E-3</v>
      </c>
      <c r="AC91" s="171" t="str">
        <f t="shared" si="85"/>
        <v>78.2518152497692-232.335799395208i</v>
      </c>
      <c r="AD91" s="190">
        <f t="shared" si="86"/>
        <v>47.78898102980952</v>
      </c>
      <c r="AE91" s="169">
        <f t="shared" si="87"/>
        <v>-71.386227021946368</v>
      </c>
      <c r="AF91" s="98" t="str">
        <f t="shared" si="72"/>
        <v>-0.0000119284294234592</v>
      </c>
      <c r="AG91" s="98" t="str">
        <f t="shared" si="73"/>
        <v>6.08482161836036E-06i</v>
      </c>
      <c r="AH91" s="98">
        <f t="shared" si="88"/>
        <v>6.08482161836036E-6</v>
      </c>
      <c r="AI91" s="98">
        <f t="shared" si="89"/>
        <v>1.5707963267948966</v>
      </c>
      <c r="AJ91" s="98" t="str">
        <f t="shared" si="74"/>
        <v>1+0.000333441449627425i</v>
      </c>
      <c r="AK91" s="98">
        <f t="shared" si="90"/>
        <v>1.0000000555915987</v>
      </c>
      <c r="AL91" s="98">
        <f t="shared" si="91"/>
        <v>3.3344143726973E-4</v>
      </c>
      <c r="AM91" s="98" t="str">
        <f t="shared" si="75"/>
        <v>1+0.182210595791859i</v>
      </c>
      <c r="AN91" s="98">
        <f t="shared" si="92"/>
        <v>1.0164648056961068</v>
      </c>
      <c r="AO91" s="98">
        <f t="shared" si="93"/>
        <v>0.18023333026779195</v>
      </c>
      <c r="AP91" s="168" t="str">
        <f t="shared" si="94"/>
        <v>-0.356544315375116+1.96047699928339i</v>
      </c>
      <c r="AQ91" s="98">
        <f t="shared" si="95"/>
        <v>5.988554725273473</v>
      </c>
      <c r="AR91" s="169">
        <f t="shared" si="96"/>
        <v>100.30750436486159</v>
      </c>
      <c r="AS91" s="168" t="str">
        <f t="shared" si="97"/>
        <v>427.588750929336+236.24889248184i</v>
      </c>
      <c r="AT91" s="190">
        <f t="shared" si="98"/>
        <v>53.77753575508298</v>
      </c>
      <c r="AU91" s="169">
        <f t="shared" si="99"/>
        <v>28.921277342915193</v>
      </c>
      <c r="AV91" s="225"/>
      <c r="AX91">
        <f t="shared" si="100"/>
        <v>0</v>
      </c>
      <c r="AY91">
        <f t="shared" si="101"/>
        <v>0</v>
      </c>
    </row>
    <row r="92" spans="14:51" x14ac:dyDescent="0.2">
      <c r="N92" s="170">
        <v>74</v>
      </c>
      <c r="O92" s="199">
        <f t="shared" si="76"/>
        <v>54.95408738576247</v>
      </c>
      <c r="P92" s="189" t="str">
        <f t="shared" si="67"/>
        <v>771.276595744681</v>
      </c>
      <c r="Q92" s="160" t="str">
        <f t="shared" si="68"/>
        <v>1+3.05233455557611i</v>
      </c>
      <c r="R92" s="160">
        <f t="shared" si="77"/>
        <v>3.2119692151644306</v>
      </c>
      <c r="S92" s="160">
        <f t="shared" si="78"/>
        <v>1.2541982853006575</v>
      </c>
      <c r="T92" s="160" t="str">
        <f t="shared" si="69"/>
        <v>1+0.0000574557092814326i</v>
      </c>
      <c r="U92" s="160">
        <f t="shared" si="79"/>
        <v>1.0000000016505792</v>
      </c>
      <c r="V92" s="160">
        <f t="shared" si="80"/>
        <v>5.7455709218209135E-5</v>
      </c>
      <c r="W92" s="98" t="str">
        <f t="shared" si="70"/>
        <v>1-0.000234794965813546i</v>
      </c>
      <c r="X92" s="160">
        <f t="shared" si="81"/>
        <v>1.0000000275643377</v>
      </c>
      <c r="Y92" s="160">
        <f t="shared" si="82"/>
        <v>-2.3479496149890095E-4</v>
      </c>
      <c r="Z92" s="98" t="str">
        <f t="shared" si="71"/>
        <v>0.999998792019312-0.00160759703448438i</v>
      </c>
      <c r="AA92" s="160">
        <f t="shared" si="83"/>
        <v>1.0000000842041508</v>
      </c>
      <c r="AB92" s="160">
        <f t="shared" si="84"/>
        <v>-1.6075975915557947E-3</v>
      </c>
      <c r="AC92" s="171" t="str">
        <f t="shared" si="85"/>
        <v>75.0859671314349-228.084367767938i</v>
      </c>
      <c r="AD92" s="190">
        <f t="shared" si="86"/>
        <v>47.608775098406618</v>
      </c>
      <c r="AE92" s="169">
        <f t="shared" si="87"/>
        <v>-71.778320653818525</v>
      </c>
      <c r="AF92" s="98" t="str">
        <f t="shared" si="72"/>
        <v>-0.0000119284294234592</v>
      </c>
      <c r="AG92" s="98" t="str">
        <f t="shared" si="73"/>
        <v>6.22655532134659E-06i</v>
      </c>
      <c r="AH92" s="98">
        <f t="shared" si="88"/>
        <v>6.2265553213465896E-6</v>
      </c>
      <c r="AI92" s="98">
        <f t="shared" si="89"/>
        <v>1.5707963267948966</v>
      </c>
      <c r="AJ92" s="98" t="str">
        <f t="shared" si="74"/>
        <v>1+0.00034120829873968i</v>
      </c>
      <c r="AK92" s="98">
        <f t="shared" si="90"/>
        <v>1.0000000582115498</v>
      </c>
      <c r="AL92" s="98">
        <f t="shared" si="91"/>
        <v>3.4120828549817124E-4</v>
      </c>
      <c r="AM92" s="98" t="str">
        <f t="shared" si="75"/>
        <v>1+0.186454825793111i</v>
      </c>
      <c r="AN92" s="98">
        <f t="shared" si="92"/>
        <v>1.0172341923379982</v>
      </c>
      <c r="AO92" s="98">
        <f t="shared" si="93"/>
        <v>0.18433808143170236</v>
      </c>
      <c r="AP92" s="168" t="str">
        <f t="shared" si="94"/>
        <v>-0.35654431350686+1.91585656994337i</v>
      </c>
      <c r="AQ92" s="98">
        <f t="shared" si="95"/>
        <v>5.7951267741811119</v>
      </c>
      <c r="AR92" s="169">
        <f t="shared" si="96"/>
        <v>100.54224427488147</v>
      </c>
      <c r="AS92" s="168" t="str">
        <f t="shared" si="97"/>
        <v>410.205459884708+225.176127766777i</v>
      </c>
      <c r="AT92" s="190">
        <f t="shared" si="98"/>
        <v>53.403901872587731</v>
      </c>
      <c r="AU92" s="169">
        <f t="shared" si="99"/>
        <v>28.763923621062933</v>
      </c>
      <c r="AV92" s="225"/>
      <c r="AX92">
        <f t="shared" si="100"/>
        <v>0</v>
      </c>
      <c r="AY92">
        <f t="shared" si="101"/>
        <v>0</v>
      </c>
    </row>
    <row r="93" spans="14:51" x14ac:dyDescent="0.2">
      <c r="N93" s="170">
        <v>75</v>
      </c>
      <c r="O93" s="199">
        <f t="shared" si="76"/>
        <v>56.234132519034915</v>
      </c>
      <c r="P93" s="189" t="str">
        <f t="shared" si="67"/>
        <v>771.276595744681</v>
      </c>
      <c r="Q93" s="160" t="str">
        <f t="shared" si="68"/>
        <v>1+3.12343256081743i</v>
      </c>
      <c r="R93" s="160">
        <f t="shared" si="77"/>
        <v>3.2796083549677895</v>
      </c>
      <c r="S93" s="160">
        <f t="shared" si="78"/>
        <v>1.2609477193053618</v>
      </c>
      <c r="T93" s="160" t="str">
        <f t="shared" si="69"/>
        <v>1+0.0000587940246742102i</v>
      </c>
      <c r="U93" s="160">
        <f t="shared" si="79"/>
        <v>1.0000000017283686</v>
      </c>
      <c r="V93" s="160">
        <f t="shared" si="80"/>
        <v>5.8794024606465032E-5</v>
      </c>
      <c r="W93" s="98" t="str">
        <f t="shared" si="70"/>
        <v>1-0.000240264043139801i</v>
      </c>
      <c r="X93" s="160">
        <f t="shared" si="81"/>
        <v>1.0000000288634048</v>
      </c>
      <c r="Y93" s="160">
        <f t="shared" si="82"/>
        <v>-2.4026403851657552E-4</v>
      </c>
      <c r="Z93" s="98" t="str">
        <f t="shared" si="71"/>
        <v>0.999998735088936-0.00164504277979919i</v>
      </c>
      <c r="AA93" s="160">
        <f t="shared" si="83"/>
        <v>1.0000000881726057</v>
      </c>
      <c r="AB93" s="160">
        <f t="shared" si="84"/>
        <v>-1.6450433767119389E-3</v>
      </c>
      <c r="AC93" s="171" t="str">
        <f t="shared" si="85"/>
        <v>72.0354865493386-223.869164809642i</v>
      </c>
      <c r="AD93" s="190">
        <f t="shared" si="86"/>
        <v>47.427762876709103</v>
      </c>
      <c r="AE93" s="169">
        <f t="shared" si="87"/>
        <v>-72.163125926147742</v>
      </c>
      <c r="AF93" s="98" t="str">
        <f t="shared" si="72"/>
        <v>-0.0000119284294234592</v>
      </c>
      <c r="AG93" s="98" t="str">
        <f t="shared" si="73"/>
        <v>0.0000063715904263824i</v>
      </c>
      <c r="AH93" s="98">
        <f t="shared" si="88"/>
        <v>6.3715904263823997E-6</v>
      </c>
      <c r="AI93" s="98">
        <f t="shared" si="89"/>
        <v>1.5707963267948966</v>
      </c>
      <c r="AJ93" s="98" t="str">
        <f t="shared" si="74"/>
        <v>1+0.000349156061008353i</v>
      </c>
      <c r="AK93" s="98">
        <f t="shared" si="90"/>
        <v>1.0000000609549757</v>
      </c>
      <c r="AL93" s="98">
        <f t="shared" si="91"/>
        <v>3.491560468198208E-4</v>
      </c>
      <c r="AM93" s="98" t="str">
        <f t="shared" si="75"/>
        <v>1+0.190797916611019i</v>
      </c>
      <c r="AN93" s="98">
        <f t="shared" si="92"/>
        <v>1.0180392158375362</v>
      </c>
      <c r="AO93" s="98">
        <f t="shared" si="93"/>
        <v>0.18853194913662705</v>
      </c>
      <c r="AP93" s="168" t="str">
        <f t="shared" si="94"/>
        <v>-0.356544311550555+1.87225195311603i</v>
      </c>
      <c r="AQ93" s="98">
        <f t="shared" si="95"/>
        <v>5.6019979113563139</v>
      </c>
      <c r="AR93" s="169">
        <f t="shared" si="96"/>
        <v>100.78207982102963</v>
      </c>
      <c r="AS93" s="168" t="str">
        <f t="shared" si="97"/>
        <v>393.455638098363+214.687857630114i</v>
      </c>
      <c r="AT93" s="190">
        <f t="shared" si="98"/>
        <v>53.02976078806541</v>
      </c>
      <c r="AU93" s="169">
        <f t="shared" si="99"/>
        <v>28.618953894881884</v>
      </c>
      <c r="AV93" s="225"/>
      <c r="AX93">
        <f t="shared" si="100"/>
        <v>0</v>
      </c>
      <c r="AY93">
        <f t="shared" si="101"/>
        <v>0</v>
      </c>
    </row>
    <row r="94" spans="14:51" x14ac:dyDescent="0.2">
      <c r="N94" s="170">
        <v>76</v>
      </c>
      <c r="O94" s="199">
        <f t="shared" si="76"/>
        <v>57.543993733715695</v>
      </c>
      <c r="P94" s="189" t="str">
        <f t="shared" si="67"/>
        <v>771.276595744681</v>
      </c>
      <c r="Q94" s="160" t="str">
        <f t="shared" si="68"/>
        <v>1+3.196186651346i</v>
      </c>
      <c r="R94" s="160">
        <f t="shared" si="77"/>
        <v>3.3489713510632422</v>
      </c>
      <c r="S94" s="160">
        <f t="shared" si="78"/>
        <v>1.2675718238138831</v>
      </c>
      <c r="T94" s="160" t="str">
        <f t="shared" si="69"/>
        <v>1+0.0000601635134371011i</v>
      </c>
      <c r="U94" s="160">
        <f t="shared" si="79"/>
        <v>1.0000000018098241</v>
      </c>
      <c r="V94" s="160">
        <f t="shared" si="80"/>
        <v>6.0163513364510847E-5</v>
      </c>
      <c r="W94" s="98" t="str">
        <f t="shared" si="70"/>
        <v>1-0.000245860511641999i</v>
      </c>
      <c r="X94" s="160">
        <f t="shared" si="81"/>
        <v>1.0000000302236951</v>
      </c>
      <c r="Y94" s="160">
        <f t="shared" si="82"/>
        <v>-2.4586050668812368E-4</v>
      </c>
      <c r="Z94" s="98" t="str">
        <f t="shared" si="71"/>
        <v>0.999998675475514-0.00168336074857056i</v>
      </c>
      <c r="AA94" s="160">
        <f t="shared" si="83"/>
        <v>1.0000000923280918</v>
      </c>
      <c r="AB94" s="160">
        <f t="shared" si="84"/>
        <v>-1.6833613881740643E-3</v>
      </c>
      <c r="AC94" s="171" t="str">
        <f t="shared" si="85"/>
        <v>69.0972405842164-219.692565005553i</v>
      </c>
      <c r="AD94" s="190">
        <f t="shared" si="86"/>
        <v>47.245973888460114</v>
      </c>
      <c r="AE94" s="169">
        <f t="shared" si="87"/>
        <v>-72.540705885283884</v>
      </c>
      <c r="AF94" s="98" t="str">
        <f t="shared" si="72"/>
        <v>-0.0000119284294234592</v>
      </c>
      <c r="AG94" s="98" t="str">
        <f t="shared" si="73"/>
        <v>6.52000383300026E-06i</v>
      </c>
      <c r="AH94" s="98">
        <f t="shared" si="88"/>
        <v>6.5200038330002601E-6</v>
      </c>
      <c r="AI94" s="98">
        <f t="shared" si="89"/>
        <v>1.5707963267948966</v>
      </c>
      <c r="AJ94" s="98" t="str">
        <f t="shared" si="74"/>
        <v>1+0.000357288950442199i</v>
      </c>
      <c r="AK94" s="98">
        <f t="shared" si="90"/>
        <v>1.0000000638276949</v>
      </c>
      <c r="AL94" s="98">
        <f t="shared" si="91"/>
        <v>3.5728893523891288E-4</v>
      </c>
      <c r="AM94" s="98" t="str">
        <f t="shared" si="75"/>
        <v>1+0.195242171009823i</v>
      </c>
      <c r="AN94" s="98">
        <f t="shared" si="92"/>
        <v>1.0188814972020195</v>
      </c>
      <c r="AO94" s="98">
        <f t="shared" si="93"/>
        <v>0.19281656662803529</v>
      </c>
      <c r="AP94" s="168" t="str">
        <f t="shared" si="94"/>
        <v>-0.35654430950205+1.82964002905636i</v>
      </c>
      <c r="AQ94" s="98">
        <f t="shared" si="95"/>
        <v>5.409181242483065</v>
      </c>
      <c r="AR94" s="169">
        <f t="shared" si="96"/>
        <v>101.02710433993353</v>
      </c>
      <c r="AS94" s="168" t="str">
        <f t="shared" si="97"/>
        <v>377.32208308763+204.753211162859i</v>
      </c>
      <c r="AT94" s="190">
        <f t="shared" si="98"/>
        <v>52.655155130943186</v>
      </c>
      <c r="AU94" s="169">
        <f t="shared" si="99"/>
        <v>28.486398454649638</v>
      </c>
      <c r="AV94" s="225"/>
      <c r="AX94">
        <f t="shared" si="100"/>
        <v>0</v>
      </c>
      <c r="AY94">
        <f t="shared" si="101"/>
        <v>0</v>
      </c>
    </row>
    <row r="95" spans="14:51" x14ac:dyDescent="0.2">
      <c r="N95" s="170">
        <v>77</v>
      </c>
      <c r="O95" s="199">
        <f t="shared" si="76"/>
        <v>58.884365535558949</v>
      </c>
      <c r="P95" s="189" t="str">
        <f t="shared" si="67"/>
        <v>771.276595744681</v>
      </c>
      <c r="Q95" s="160" t="str">
        <f t="shared" si="68"/>
        <v>1+3.27063540234366i</v>
      </c>
      <c r="R95" s="160">
        <f t="shared" si="77"/>
        <v>3.4200958955946947</v>
      </c>
      <c r="S95" s="160">
        <f t="shared" si="78"/>
        <v>1.2740717849287841</v>
      </c>
      <c r="T95" s="160" t="str">
        <f t="shared" si="69"/>
        <v>1+0.0000615649016911745i</v>
      </c>
      <c r="U95" s="160">
        <f t="shared" si="79"/>
        <v>1.0000000018951185</v>
      </c>
      <c r="V95" s="160">
        <f t="shared" si="80"/>
        <v>6.1564901613392638E-5</v>
      </c>
      <c r="W95" s="98" t="str">
        <f t="shared" si="70"/>
        <v>1-0.000251587338641818i</v>
      </c>
      <c r="X95" s="160">
        <f t="shared" si="81"/>
        <v>1.0000000316480939</v>
      </c>
      <c r="Y95" s="160">
        <f t="shared" si="82"/>
        <v>-2.5158733333364492E-4</v>
      </c>
      <c r="Z95" s="98" t="str">
        <f t="shared" si="71"/>
        <v>0.999998613052598-0.00172257125749274i</v>
      </c>
      <c r="AA95" s="160">
        <f t="shared" si="83"/>
        <v>1.0000000966794236</v>
      </c>
      <c r="AB95" s="160">
        <f t="shared" si="84"/>
        <v>-1.7225719428402095E-3</v>
      </c>
      <c r="AC95" s="171" t="str">
        <f t="shared" si="85"/>
        <v>66.268093347125-215.556753114506i</v>
      </c>
      <c r="AD95" s="190">
        <f t="shared" si="86"/>
        <v>47.063436844039224</v>
      </c>
      <c r="AE95" s="169">
        <f t="shared" si="87"/>
        <v>-72.911127454236862</v>
      </c>
      <c r="AF95" s="98" t="str">
        <f t="shared" si="72"/>
        <v>-0.0000119284294234592</v>
      </c>
      <c r="AG95" s="98" t="str">
        <f t="shared" si="73"/>
        <v>6.67187423195282E-06i</v>
      </c>
      <c r="AH95" s="98">
        <f t="shared" si="88"/>
        <v>6.6718742319528204E-6</v>
      </c>
      <c r="AI95" s="98">
        <f t="shared" si="89"/>
        <v>1.5707963267948966</v>
      </c>
      <c r="AJ95" s="98" t="str">
        <f t="shared" si="74"/>
        <v>1+0.000365611279206848i</v>
      </c>
      <c r="AK95" s="98">
        <f t="shared" si="90"/>
        <v>1.0000000668358016</v>
      </c>
      <c r="AL95" s="98">
        <f t="shared" si="91"/>
        <v>3.6561126291623355E-4</v>
      </c>
      <c r="AM95" s="98" t="str">
        <f t="shared" si="75"/>
        <v>1+0.199789945392033i</v>
      </c>
      <c r="AN95" s="98">
        <f t="shared" si="92"/>
        <v>1.0197627284225246</v>
      </c>
      <c r="AO95" s="98">
        <f t="shared" si="93"/>
        <v>0.19719357610888699</v>
      </c>
      <c r="AP95" s="168" t="str">
        <f t="shared" si="94"/>
        <v>-0.356544307357004+1.78799820435818i</v>
      </c>
      <c r="AQ95" s="98">
        <f t="shared" si="95"/>
        <v>5.2166904006525572</v>
      </c>
      <c r="AR95" s="169">
        <f t="shared" si="96"/>
        <v>101.27741167582339</v>
      </c>
      <c r="AS95" s="168" t="str">
        <f t="shared" si="97"/>
        <v>361.787576063696+195.342765146236i</v>
      </c>
      <c r="AT95" s="190">
        <f t="shared" si="98"/>
        <v>52.280127244691776</v>
      </c>
      <c r="AU95" s="169">
        <f t="shared" si="99"/>
        <v>28.366284221586554</v>
      </c>
      <c r="AV95" s="225"/>
      <c r="AX95">
        <f t="shared" si="100"/>
        <v>0</v>
      </c>
      <c r="AY95">
        <f t="shared" si="101"/>
        <v>0</v>
      </c>
    </row>
    <row r="96" spans="14:51" x14ac:dyDescent="0.2">
      <c r="N96" s="170">
        <v>78</v>
      </c>
      <c r="O96" s="199">
        <f t="shared" si="76"/>
        <v>60.255958607435822</v>
      </c>
      <c r="P96" s="189" t="str">
        <f t="shared" si="67"/>
        <v>771.276595744681</v>
      </c>
      <c r="Q96" s="160" t="str">
        <f t="shared" si="68"/>
        <v>1+3.34681828752361i</v>
      </c>
      <c r="R96" s="160">
        <f t="shared" si="77"/>
        <v>3.4930205624505661</v>
      </c>
      <c r="S96" s="160">
        <f t="shared" si="78"/>
        <v>1.2804488512571808</v>
      </c>
      <c r="T96" s="160" t="str">
        <f t="shared" si="69"/>
        <v>1+0.0000629989324710324i</v>
      </c>
      <c r="U96" s="160">
        <f t="shared" si="79"/>
        <v>1.0000000019844326</v>
      </c>
      <c r="V96" s="160">
        <f t="shared" si="80"/>
        <v>6.2998932387687642E-5</v>
      </c>
      <c r="W96" s="98" t="str">
        <f t="shared" si="70"/>
        <v>1-0.000257447560578738i</v>
      </c>
      <c r="X96" s="160">
        <f t="shared" si="81"/>
        <v>1.0000000331396228</v>
      </c>
      <c r="Y96" s="160">
        <f t="shared" si="82"/>
        <v>-2.5744755489092813E-4</v>
      </c>
      <c r="Z96" s="98" t="str">
        <f t="shared" si="71"/>
        <v>0.999998547687781-0.00176269509649657i</v>
      </c>
      <c r="AA96" s="160">
        <f t="shared" si="83"/>
        <v>1.0000001012358319</v>
      </c>
      <c r="AB96" s="160">
        <f t="shared" si="84"/>
        <v>-1.7626958308595763E-3</v>
      </c>
      <c r="AC96" s="171" t="str">
        <f t="shared" si="85"/>
        <v>63.5449147172743-211.463730862517i</v>
      </c>
      <c r="AD96" s="190">
        <f t="shared" si="86"/>
        <v>46.880179640841504</v>
      </c>
      <c r="AE96" s="169">
        <f t="shared" si="87"/>
        <v>-73.274461113139083</v>
      </c>
      <c r="AF96" s="98" t="str">
        <f t="shared" si="72"/>
        <v>-0.0000119284294234592</v>
      </c>
      <c r="AG96" s="98" t="str">
        <f t="shared" si="73"/>
        <v>6.82728214693586E-06i</v>
      </c>
      <c r="AH96" s="98">
        <f t="shared" si="88"/>
        <v>6.8272821469358597E-6</v>
      </c>
      <c r="AI96" s="98">
        <f t="shared" si="89"/>
        <v>1.5707963267948966</v>
      </c>
      <c r="AJ96" s="98" t="str">
        <f t="shared" si="74"/>
        <v>1+0.00037412745991117i</v>
      </c>
      <c r="AK96" s="98">
        <f t="shared" si="90"/>
        <v>1.0000000699856757</v>
      </c>
      <c r="AL96" s="98">
        <f t="shared" si="91"/>
        <v>3.7412744245546211E-4</v>
      </c>
      <c r="AM96" s="98" t="str">
        <f t="shared" si="75"/>
        <v>1+0.204443651047822i</v>
      </c>
      <c r="AN96" s="98">
        <f t="shared" si="92"/>
        <v>1.0206846753301253</v>
      </c>
      <c r="AO96" s="98">
        <f t="shared" si="93"/>
        <v>0.20166462716105213</v>
      </c>
      <c r="AP96" s="168" t="str">
        <f t="shared" si="94"/>
        <v>-0.356544305110865+1.74730439997481i</v>
      </c>
      <c r="AQ96" s="98">
        <f t="shared" si="95"/>
        <v>5.0245395632518717</v>
      </c>
      <c r="AR96" s="169">
        <f t="shared" si="96"/>
        <v>101.53309608995488</v>
      </c>
      <c r="AS96" s="168" t="str">
        <f t="shared" si="97"/>
        <v>346.834929909965+186.428498058045i</v>
      </c>
      <c r="AT96" s="190">
        <f t="shared" si="98"/>
        <v>51.904719204093375</v>
      </c>
      <c r="AU96" s="169">
        <f t="shared" si="99"/>
        <v>28.258634976815873</v>
      </c>
      <c r="AV96" s="225"/>
      <c r="AX96">
        <f t="shared" si="100"/>
        <v>0</v>
      </c>
      <c r="AY96">
        <f t="shared" si="101"/>
        <v>0</v>
      </c>
    </row>
    <row r="97" spans="14:51" x14ac:dyDescent="0.2">
      <c r="N97" s="170">
        <v>79</v>
      </c>
      <c r="O97" s="199">
        <f t="shared" si="76"/>
        <v>61.659500186148257</v>
      </c>
      <c r="P97" s="189" t="str">
        <f t="shared" si="67"/>
        <v>771.276595744681</v>
      </c>
      <c r="Q97" s="160" t="str">
        <f t="shared" si="68"/>
        <v>1+3.42477570005998i</v>
      </c>
      <c r="R97" s="160">
        <f t="shared" si="77"/>
        <v>3.5677848303564117</v>
      </c>
      <c r="S97" s="160">
        <f t="shared" si="78"/>
        <v>1.2867043285463213</v>
      </c>
      <c r="T97" s="160" t="str">
        <f t="shared" si="69"/>
        <v>1+0.000064466366118776i</v>
      </c>
      <c r="U97" s="160">
        <f t="shared" si="79"/>
        <v>1.000000002077956</v>
      </c>
      <c r="V97" s="160">
        <f t="shared" si="80"/>
        <v>6.4466366029470489E-5</v>
      </c>
      <c r="W97" s="98" t="str">
        <f t="shared" si="70"/>
        <v>1-0.000263444284619998i</v>
      </c>
      <c r="X97" s="160">
        <f t="shared" si="81"/>
        <v>1.0000000347014448</v>
      </c>
      <c r="Y97" s="160">
        <f t="shared" si="82"/>
        <v>-2.6344427852539989E-4</v>
      </c>
      <c r="Z97" s="98" t="str">
        <f t="shared" si="71"/>
        <v>0.999998479242415-0.00180375353977258i</v>
      </c>
      <c r="AA97" s="160">
        <f t="shared" si="83"/>
        <v>1.0000001060069816</v>
      </c>
      <c r="AB97" s="160">
        <f t="shared" si="84"/>
        <v>-1.803754326656676E-3</v>
      </c>
      <c r="AC97" s="171" t="str">
        <f t="shared" si="85"/>
        <v>60.9245883453964-207.415323828764i</v>
      </c>
      <c r="AD97" s="190">
        <f t="shared" si="86"/>
        <v>46.696229365827435</v>
      </c>
      <c r="AE97" s="169">
        <f t="shared" si="87"/>
        <v>-73.630780591325049</v>
      </c>
      <c r="AF97" s="98" t="str">
        <f t="shared" si="72"/>
        <v>-0.0000119284294234592</v>
      </c>
      <c r="AG97" s="98" t="str">
        <f t="shared" si="73"/>
        <v>6.98630997728297E-06i</v>
      </c>
      <c r="AH97" s="98">
        <f t="shared" si="88"/>
        <v>6.9863099772829696E-6</v>
      </c>
      <c r="AI97" s="98">
        <f t="shared" si="89"/>
        <v>1.5707963267948966</v>
      </c>
      <c r="AJ97" s="98" t="str">
        <f t="shared" si="74"/>
        <v>1+0.000382842007946899i</v>
      </c>
      <c r="AK97" s="98">
        <f t="shared" si="90"/>
        <v>1.0000000732839989</v>
      </c>
      <c r="AL97" s="98">
        <f t="shared" si="91"/>
        <v>3.8284198924277112E-4</v>
      </c>
      <c r="AM97" s="98" t="str">
        <f t="shared" si="75"/>
        <v>1+0.209205755433528i</v>
      </c>
      <c r="AN97" s="98">
        <f t="shared" si="92"/>
        <v>1.0216491805441401</v>
      </c>
      <c r="AO97" s="98">
        <f t="shared" si="93"/>
        <v>0.20623137503459985</v>
      </c>
      <c r="AP97" s="168" t="str">
        <f t="shared" si="94"/>
        <v>-0.356544302758869+1.70753703951255i</v>
      </c>
      <c r="AQ97" s="98">
        <f t="shared" si="95"/>
        <v>4.8327434689822839</v>
      </c>
      <c r="AR97" s="169">
        <f t="shared" si="96"/>
        <v>101.79425216245824</v>
      </c>
      <c r="AS97" s="168" t="str">
        <f t="shared" si="97"/>
        <v>332.447033127624+177.983743232851i</v>
      </c>
      <c r="AT97" s="190">
        <f t="shared" si="98"/>
        <v>51.528972834809721</v>
      </c>
      <c r="AU97" s="169">
        <f t="shared" si="99"/>
        <v>28.163471571133236</v>
      </c>
      <c r="AV97" s="225"/>
      <c r="AX97">
        <f t="shared" si="100"/>
        <v>0</v>
      </c>
      <c r="AY97">
        <f t="shared" si="101"/>
        <v>0</v>
      </c>
    </row>
    <row r="98" spans="14:51" x14ac:dyDescent="0.2">
      <c r="N98" s="170">
        <v>80</v>
      </c>
      <c r="O98" s="199">
        <f t="shared" si="76"/>
        <v>63.095734448019364</v>
      </c>
      <c r="P98" s="189" t="str">
        <f t="shared" si="67"/>
        <v>771.276595744681</v>
      </c>
      <c r="Q98" s="160" t="str">
        <f t="shared" si="68"/>
        <v>1+3.50454897400479i</v>
      </c>
      <c r="R98" s="160">
        <f t="shared" si="77"/>
        <v>3.6444291063482117</v>
      </c>
      <c r="S98" s="160">
        <f t="shared" si="78"/>
        <v>1.2928395745269985</v>
      </c>
      <c r="T98" s="160" t="str">
        <f t="shared" si="69"/>
        <v>1+0.0000659679806871488i</v>
      </c>
      <c r="U98" s="160">
        <f t="shared" si="79"/>
        <v>1.0000000021758872</v>
      </c>
      <c r="V98" s="160">
        <f t="shared" si="80"/>
        <v>6.5967980591456207E-5</v>
      </c>
      <c r="W98" s="98" t="str">
        <f t="shared" si="70"/>
        <v>1-0.00026958069030806i</v>
      </c>
      <c r="X98" s="160">
        <f t="shared" si="81"/>
        <v>1.0000000363368737</v>
      </c>
      <c r="Y98" s="160">
        <f t="shared" si="82"/>
        <v>-2.6958068377758051E-4</v>
      </c>
      <c r="Z98" s="98" t="str">
        <f t="shared" si="71"/>
        <v>0.999998407571318-0.00184576835705089i</v>
      </c>
      <c r="AA98" s="160">
        <f t="shared" si="83"/>
        <v>1.0000001110029937</v>
      </c>
      <c r="AB98" s="160">
        <f t="shared" si="84"/>
        <v>-1.8457692002123427E-3</v>
      </c>
      <c r="AC98" s="171" t="str">
        <f t="shared" si="85"/>
        <v>58.4040189473941-203.413188468203i</v>
      </c>
      <c r="AD98" s="190">
        <f t="shared" si="86"/>
        <v>46.511612300056925</v>
      </c>
      <c r="AE98" s="169">
        <f t="shared" si="87"/>
        <v>-73.98016257130655</v>
      </c>
      <c r="AF98" s="98" t="str">
        <f t="shared" si="72"/>
        <v>-0.0000119284294234592</v>
      </c>
      <c r="AG98" s="98" t="str">
        <f t="shared" si="73"/>
        <v>7.14904204165478E-06i</v>
      </c>
      <c r="AH98" s="98">
        <f t="shared" si="88"/>
        <v>7.1490420416547802E-6</v>
      </c>
      <c r="AI98" s="98">
        <f t="shared" si="89"/>
        <v>1.5707963267948966</v>
      </c>
      <c r="AJ98" s="98" t="str">
        <f t="shared" si="74"/>
        <v>1+0.000391759543882754i</v>
      </c>
      <c r="AK98" s="98">
        <f t="shared" si="90"/>
        <v>1.0000000767377673</v>
      </c>
      <c r="AL98" s="98">
        <f t="shared" si="91"/>
        <v>3.9175952384091996E-4</v>
      </c>
      <c r="AM98" s="98" t="str">
        <f t="shared" si="75"/>
        <v>1+0.21407878347993i</v>
      </c>
      <c r="AN98" s="98">
        <f t="shared" si="92"/>
        <v>1.0226581665132521</v>
      </c>
      <c r="AO98" s="98">
        <f t="shared" si="93"/>
        <v>0.21089547879847412</v>
      </c>
      <c r="AP98" s="168" t="str">
        <f t="shared" si="94"/>
        <v>-0.356544300296025+1.66867503779047i</v>
      </c>
      <c r="AQ98" s="98">
        <f t="shared" si="95"/>
        <v>4.6413174349611603</v>
      </c>
      <c r="AR98" s="169">
        <f t="shared" si="96"/>
        <v>102.06097468624321</v>
      </c>
      <c r="AS98" s="168" t="str">
        <f t="shared" si="97"/>
        <v>318.606889884184+169.983141477537i</v>
      </c>
      <c r="AT98" s="190">
        <f t="shared" si="98"/>
        <v>51.152929735018084</v>
      </c>
      <c r="AU98" s="169">
        <f t="shared" si="99"/>
        <v>28.080812114936691</v>
      </c>
      <c r="AV98" s="225"/>
      <c r="AX98">
        <f t="shared" si="100"/>
        <v>0</v>
      </c>
      <c r="AY98">
        <f t="shared" si="101"/>
        <v>0</v>
      </c>
    </row>
    <row r="99" spans="14:51" x14ac:dyDescent="0.2">
      <c r="N99" s="170">
        <v>81</v>
      </c>
      <c r="O99" s="199">
        <f t="shared" si="76"/>
        <v>64.565422903465588</v>
      </c>
      <c r="P99" s="189" t="str">
        <f t="shared" si="67"/>
        <v>771.276595744681</v>
      </c>
      <c r="Q99" s="160" t="str">
        <f t="shared" si="68"/>
        <v>1+3.58618040620381i</v>
      </c>
      <c r="R99" s="160">
        <f t="shared" si="77"/>
        <v>3.7229947496390756</v>
      </c>
      <c r="S99" s="160">
        <f t="shared" si="78"/>
        <v>1.2988559939681188</v>
      </c>
      <c r="T99" s="160" t="str">
        <f t="shared" si="69"/>
        <v>1+0.0000675045723520715i</v>
      </c>
      <c r="U99" s="160">
        <f t="shared" si="79"/>
        <v>1.0000000022784337</v>
      </c>
      <c r="V99" s="160">
        <f t="shared" si="80"/>
        <v>6.750457224953504E-5</v>
      </c>
      <c r="W99" s="98" t="str">
        <f t="shared" si="70"/>
        <v>1-0.000275860031246445i</v>
      </c>
      <c r="X99" s="160">
        <f t="shared" si="81"/>
        <v>1.0000000380493776</v>
      </c>
      <c r="Y99" s="160">
        <f t="shared" si="82"/>
        <v>-2.7586002424891018E-4</v>
      </c>
      <c r="Z99" s="98" t="str">
        <f t="shared" si="71"/>
        <v>0.999998332522466-0.00188876182514373i</v>
      </c>
      <c r="AA99" s="160">
        <f t="shared" si="83"/>
        <v>1.0000001162344656</v>
      </c>
      <c r="AB99" s="160">
        <f t="shared" si="84"/>
        <v>-1.8887627286074517E-3</v>
      </c>
      <c r="AC99" s="171" t="str">
        <f t="shared" si="85"/>
        <v>55.9801389155141-199.458819219959i</v>
      </c>
      <c r="AD99" s="190">
        <f t="shared" si="86"/>
        <v>46.326353925026204</v>
      </c>
      <c r="AE99" s="169">
        <f t="shared" si="87"/>
        <v>-74.322686404830065</v>
      </c>
      <c r="AF99" s="98" t="str">
        <f t="shared" si="72"/>
        <v>-0.0000119284294234592</v>
      </c>
      <c r="AG99" s="98" t="str">
        <f t="shared" si="73"/>
        <v>7.31556462274583E-06i</v>
      </c>
      <c r="AH99" s="98">
        <f t="shared" si="88"/>
        <v>7.31556462274583E-6</v>
      </c>
      <c r="AI99" s="98">
        <f t="shared" si="89"/>
        <v>1.5707963267948966</v>
      </c>
      <c r="AJ99" s="98" t="str">
        <f t="shared" si="74"/>
        <v>1+0.000400884795914327i</v>
      </c>
      <c r="AK99" s="98">
        <f t="shared" si="90"/>
        <v>1.0000000803543065</v>
      </c>
      <c r="AL99" s="98">
        <f t="shared" si="91"/>
        <v>4.0088477443911506E-4</v>
      </c>
      <c r="AM99" s="98" t="str">
        <f t="shared" si="75"/>
        <v>1+0.219065318931001i</v>
      </c>
      <c r="AN99" s="98">
        <f t="shared" si="92"/>
        <v>1.0237136386501555</v>
      </c>
      <c r="AO99" s="98">
        <f t="shared" si="93"/>
        <v>0.21565859934603687</v>
      </c>
      <c r="AP99" s="168" t="str">
        <f t="shared" si="94"/>
        <v>-0.356544297717112+1.63069778966088i</v>
      </c>
      <c r="AQ99" s="98">
        <f t="shared" si="95"/>
        <v>4.4502773738597314</v>
      </c>
      <c r="AR99" s="169">
        <f t="shared" si="96"/>
        <v>102.33335855258426</v>
      </c>
      <c r="AS99" s="168" t="str">
        <f t="shared" si="97"/>
        <v>305.297656314618+162.402593416703i</v>
      </c>
      <c r="AT99" s="190">
        <f t="shared" si="98"/>
        <v>50.776631298885931</v>
      </c>
      <c r="AU99" s="169">
        <f t="shared" si="99"/>
        <v>28.010672147754253</v>
      </c>
      <c r="AV99" s="225"/>
      <c r="AX99">
        <f t="shared" si="100"/>
        <v>0</v>
      </c>
      <c r="AY99">
        <f t="shared" si="101"/>
        <v>0</v>
      </c>
    </row>
    <row r="100" spans="14:51" x14ac:dyDescent="0.2">
      <c r="N100" s="170">
        <v>82</v>
      </c>
      <c r="O100" s="199">
        <f t="shared" si="76"/>
        <v>66.069344800759623</v>
      </c>
      <c r="P100" s="189" t="str">
        <f t="shared" si="67"/>
        <v>771.276595744681</v>
      </c>
      <c r="Q100" s="160" t="str">
        <f t="shared" si="68"/>
        <v>1+3.66971327872291i</v>
      </c>
      <c r="R100" s="160">
        <f t="shared" si="77"/>
        <v>3.8035240958925511</v>
      </c>
      <c r="S100" s="160">
        <f t="shared" si="78"/>
        <v>1.3047550339442913</v>
      </c>
      <c r="T100" s="160" t="str">
        <f t="shared" si="69"/>
        <v>1+0.000069076955834784i</v>
      </c>
      <c r="U100" s="160">
        <f t="shared" si="79"/>
        <v>1.0000000023858129</v>
      </c>
      <c r="V100" s="160">
        <f t="shared" si="80"/>
        <v>6.9076955724914208E-5</v>
      </c>
      <c r="W100" s="98" t="str">
        <f t="shared" si="70"/>
        <v>1-0.000282285636824838i</v>
      </c>
      <c r="X100" s="160">
        <f t="shared" si="81"/>
        <v>1.0000000398425894</v>
      </c>
      <c r="Y100" s="160">
        <f t="shared" si="82"/>
        <v>-2.8228562932684434E-4</v>
      </c>
      <c r="Z100" s="98" t="str">
        <f t="shared" si="71"/>
        <v>0.999998253936671-0.00193275673975699i</v>
      </c>
      <c r="AA100" s="160">
        <f t="shared" si="83"/>
        <v>1.0000001217124956</v>
      </c>
      <c r="AB100" s="160">
        <f t="shared" si="84"/>
        <v>-1.9327577078357499E-3</v>
      </c>
      <c r="AC100" s="171" t="str">
        <f t="shared" si="85"/>
        <v>53.6499142762311-195.553555655492i</v>
      </c>
      <c r="AD100" s="190">
        <f t="shared" si="86"/>
        <v>46.140478930634231</v>
      </c>
      <c r="AE100" s="169">
        <f t="shared" si="87"/>
        <v>-74.658433841128925</v>
      </c>
      <c r="AF100" s="98" t="str">
        <f t="shared" si="72"/>
        <v>-0.0000119284294234592</v>
      </c>
      <c r="AG100" s="98" t="str">
        <f t="shared" si="73"/>
        <v>0.0000074859660130328i</v>
      </c>
      <c r="AH100" s="98">
        <f t="shared" si="88"/>
        <v>7.4859660130327999E-6</v>
      </c>
      <c r="AI100" s="98">
        <f t="shared" si="89"/>
        <v>1.5707963267948966</v>
      </c>
      <c r="AJ100" s="98" t="str">
        <f t="shared" si="74"/>
        <v>1+0.000410222602371031i</v>
      </c>
      <c r="AK100" s="98">
        <f t="shared" si="90"/>
        <v>1.0000000841412882</v>
      </c>
      <c r="AL100" s="98">
        <f t="shared" si="91"/>
        <v>4.1022257935992686E-4</v>
      </c>
      <c r="AM100" s="98" t="str">
        <f t="shared" si="75"/>
        <v>1+0.224168005713842i</v>
      </c>
      <c r="AN100" s="98">
        <f t="shared" si="92"/>
        <v>1.0248176885601268</v>
      </c>
      <c r="AO100" s="98">
        <f t="shared" si="93"/>
        <v>0.22052239724891928</v>
      </c>
      <c r="AP100" s="168" t="str">
        <f t="shared" si="94"/>
        <v>-0.356544295016659+1.59358515908409i</v>
      </c>
      <c r="AQ100" s="98">
        <f t="shared" si="95"/>
        <v>4.259639811018995</v>
      </c>
      <c r="AR100" s="169">
        <f t="shared" si="96"/>
        <v>102.61149862801216</v>
      </c>
      <c r="AS100" s="168" t="str">
        <f t="shared" si="97"/>
        <v>292.502673235394+155.219211815924i</v>
      </c>
      <c r="AT100" s="190">
        <f t="shared" si="98"/>
        <v>50.400118741653237</v>
      </c>
      <c r="AU100" s="169">
        <f t="shared" si="99"/>
        <v>27.953064786883225</v>
      </c>
      <c r="AV100" s="225"/>
      <c r="AX100">
        <f t="shared" si="100"/>
        <v>0</v>
      </c>
      <c r="AY100">
        <f t="shared" si="101"/>
        <v>0</v>
      </c>
    </row>
    <row r="101" spans="14:51" x14ac:dyDescent="0.2">
      <c r="N101" s="170">
        <v>83</v>
      </c>
      <c r="O101" s="199">
        <f t="shared" si="76"/>
        <v>67.60829753919819</v>
      </c>
      <c r="P101" s="189" t="str">
        <f t="shared" si="67"/>
        <v>771.276595744681</v>
      </c>
      <c r="Q101" s="160" t="str">
        <f t="shared" si="68"/>
        <v>1+3.75519188179678i</v>
      </c>
      <c r="R101" s="160">
        <f t="shared" si="77"/>
        <v>3.8860604819164153</v>
      </c>
      <c r="S101" s="160">
        <f t="shared" si="78"/>
        <v>1.3105381793169901</v>
      </c>
      <c r="T101" s="160" t="str">
        <f t="shared" si="69"/>
        <v>1+0.0000706859648338216i</v>
      </c>
      <c r="U101" s="160">
        <f t="shared" si="79"/>
        <v>1.0000000024982527</v>
      </c>
      <c r="V101" s="160">
        <f t="shared" si="80"/>
        <v>7.0685964716093988E-5</v>
      </c>
      <c r="W101" s="98" t="str">
        <f t="shared" si="70"/>
        <v>1-0.000288860913984366i</v>
      </c>
      <c r="X101" s="160">
        <f t="shared" si="81"/>
        <v>1.000000041720313</v>
      </c>
      <c r="Y101" s="160">
        <f t="shared" si="82"/>
        <v>-2.8886090595012107E-4</v>
      </c>
      <c r="Z101" s="98" t="str">
        <f t="shared" si="71"/>
        <v>0.999998171647242-0.00197777642757673i</v>
      </c>
      <c r="AA101" s="160">
        <f t="shared" si="83"/>
        <v>1.000000127448704</v>
      </c>
      <c r="AB101" s="160">
        <f t="shared" si="84"/>
        <v>-1.9777774648917427E-3</v>
      </c>
      <c r="AC101" s="171" t="str">
        <f t="shared" si="85"/>
        <v>51.410350025534-191.69858962519i</v>
      </c>
      <c r="AD101" s="190">
        <f t="shared" si="86"/>
        <v>45.954011224613815</v>
      </c>
      <c r="AE101" s="169">
        <f t="shared" si="87"/>
        <v>-74.987488767396428</v>
      </c>
      <c r="AF101" s="98" t="str">
        <f t="shared" si="72"/>
        <v>-0.0000119284294234592</v>
      </c>
      <c r="AG101" s="98" t="str">
        <f t="shared" si="73"/>
        <v>7.66033656158836E-06i</v>
      </c>
      <c r="AH101" s="98">
        <f t="shared" si="88"/>
        <v>7.6603365615883602E-6</v>
      </c>
      <c r="AI101" s="98">
        <f t="shared" si="89"/>
        <v>1.5707963267948966</v>
      </c>
      <c r="AJ101" s="98" t="str">
        <f t="shared" si="74"/>
        <v>1+0.00041977791428145i</v>
      </c>
      <c r="AK101" s="98">
        <f t="shared" si="90"/>
        <v>1.0000000881067448</v>
      </c>
      <c r="AL101" s="98">
        <f t="shared" si="91"/>
        <v>4.1977788962460784E-4</v>
      </c>
      <c r="AM101" s="98" t="str">
        <f t="shared" si="75"/>
        <v>1+0.229389549340527i</v>
      </c>
      <c r="AN101" s="98">
        <f t="shared" si="92"/>
        <v>1.0259724973636721</v>
      </c>
      <c r="AO101" s="98">
        <f t="shared" si="93"/>
        <v>0.22548853045264447</v>
      </c>
      <c r="AP101" s="168" t="str">
        <f t="shared" si="94"/>
        <v>-0.356544292188939+1.55731746845215i</v>
      </c>
      <c r="AQ101" s="98">
        <f t="shared" si="95"/>
        <v>4.0694219014849304</v>
      </c>
      <c r="AR101" s="169">
        <f t="shared" si="96"/>
        <v>102.89548962213526</v>
      </c>
      <c r="AS101" s="168" t="str">
        <f t="shared" si="97"/>
        <v>280.205495439909+148.411274105535i</v>
      </c>
      <c r="AT101" s="190">
        <f t="shared" si="98"/>
        <v>50.023433126098745</v>
      </c>
      <c r="AU101" s="169">
        <f t="shared" si="99"/>
        <v>27.908000854738845</v>
      </c>
      <c r="AV101" s="225"/>
      <c r="AX101">
        <f t="shared" si="100"/>
        <v>0</v>
      </c>
      <c r="AY101">
        <f t="shared" si="101"/>
        <v>0</v>
      </c>
    </row>
    <row r="102" spans="14:51" x14ac:dyDescent="0.2">
      <c r="N102" s="170">
        <v>84</v>
      </c>
      <c r="O102" s="199">
        <f t="shared" si="76"/>
        <v>69.183097091893657</v>
      </c>
      <c r="P102" s="189" t="str">
        <f t="shared" si="67"/>
        <v>771.276595744681</v>
      </c>
      <c r="Q102" s="160" t="str">
        <f t="shared" si="68"/>
        <v>1+3.84266153731222i</v>
      </c>
      <c r="R102" s="160">
        <f t="shared" si="77"/>
        <v>3.9706482707913975</v>
      </c>
      <c r="S102" s="160">
        <f t="shared" si="78"/>
        <v>1.31620694842869</v>
      </c>
      <c r="T102" s="160" t="str">
        <f t="shared" si="69"/>
        <v>1+0.0000723324524670534i</v>
      </c>
      <c r="U102" s="160">
        <f t="shared" si="79"/>
        <v>1.0000000026159919</v>
      </c>
      <c r="V102" s="160">
        <f t="shared" si="80"/>
        <v>7.2332452340906009E-5</v>
      </c>
      <c r="W102" s="98" t="str">
        <f t="shared" si="70"/>
        <v>1-0.000295589349024016i</v>
      </c>
      <c r="X102" s="160">
        <f t="shared" si="81"/>
        <v>1.0000000436865306</v>
      </c>
      <c r="Y102" s="160">
        <f t="shared" si="82"/>
        <v>-2.9558934041516748E-4</v>
      </c>
      <c r="Z102" s="98" t="str">
        <f t="shared" si="71"/>
        <v>0.999998085479631-0.00202384475863733i</v>
      </c>
      <c r="AA102" s="160">
        <f t="shared" si="83"/>
        <v>1.0000001334552582</v>
      </c>
      <c r="AB102" s="160">
        <f t="shared" si="84"/>
        <v>-2.0238458701403172E-3</v>
      </c>
      <c r="AC102" s="171" t="str">
        <f t="shared" si="85"/>
        <v>49.2584948732869-187.894972366497i</v>
      </c>
      <c r="AD102" s="190">
        <f t="shared" si="86"/>
        <v>45.766973943268979</v>
      </c>
      <c r="AE102" s="169">
        <f t="shared" si="87"/>
        <v>-75.309936961446923</v>
      </c>
      <c r="AF102" s="98" t="str">
        <f t="shared" si="72"/>
        <v>-0.0000119284294234592</v>
      </c>
      <c r="AG102" s="98" t="str">
        <f t="shared" si="73"/>
        <v>7.83876872198542E-06i</v>
      </c>
      <c r="AH102" s="98">
        <f t="shared" si="88"/>
        <v>7.8387687219854201E-6</v>
      </c>
      <c r="AI102" s="98">
        <f t="shared" si="89"/>
        <v>1.5707963267948966</v>
      </c>
      <c r="AJ102" s="98" t="str">
        <f t="shared" si="74"/>
        <v>1+0.000429555797998439i</v>
      </c>
      <c r="AK102" s="98">
        <f t="shared" si="90"/>
        <v>1.0000000922590875</v>
      </c>
      <c r="AL102" s="98">
        <f t="shared" si="91"/>
        <v>4.2955577157815676E-4</v>
      </c>
      <c r="AM102" s="98" t="str">
        <f t="shared" si="75"/>
        <v>1+0.234732718342601i</v>
      </c>
      <c r="AN102" s="98">
        <f t="shared" si="92"/>
        <v>1.0271803391131018</v>
      </c>
      <c r="AO102" s="98">
        <f t="shared" si="93"/>
        <v>0.23055865180753721</v>
      </c>
      <c r="AP102" s="168" t="str">
        <f t="shared" si="94"/>
        <v>-0.356544289227949+1.52187548815539i</v>
      </c>
      <c r="AQ102" s="98">
        <f t="shared" si="95"/>
        <v>3.8796414468926788</v>
      </c>
      <c r="AR102" s="169">
        <f t="shared" si="96"/>
        <v>103.18542594602125</v>
      </c>
      <c r="AS102" s="168" t="str">
        <f t="shared" si="97"/>
        <v>268.389917749172+141.958175303001i</v>
      </c>
      <c r="AT102" s="190">
        <f t="shared" si="98"/>
        <v>49.646615390161671</v>
      </c>
      <c r="AU102" s="169">
        <f t="shared" si="99"/>
        <v>27.875488984574275</v>
      </c>
      <c r="AV102" s="225"/>
      <c r="AX102">
        <f t="shared" si="100"/>
        <v>0</v>
      </c>
      <c r="AY102">
        <f t="shared" si="101"/>
        <v>0</v>
      </c>
    </row>
    <row r="103" spans="14:51" x14ac:dyDescent="0.2">
      <c r="N103" s="170">
        <v>85</v>
      </c>
      <c r="O103" s="199">
        <f t="shared" si="76"/>
        <v>70.794578438413865</v>
      </c>
      <c r="P103" s="189" t="str">
        <f t="shared" si="67"/>
        <v>771.276595744681</v>
      </c>
      <c r="Q103" s="160" t="str">
        <f t="shared" si="68"/>
        <v>1+3.93216862283839i</v>
      </c>
      <c r="R103" s="160">
        <f t="shared" si="77"/>
        <v>4.0573328774497615</v>
      </c>
      <c r="S103" s="160">
        <f t="shared" si="78"/>
        <v>1.3217628890083164</v>
      </c>
      <c r="T103" s="160" t="str">
        <f t="shared" si="69"/>
        <v>1+0.0000740172917240166i</v>
      </c>
      <c r="U103" s="160">
        <f t="shared" si="79"/>
        <v>1.0000000027392797</v>
      </c>
      <c r="V103" s="160">
        <f t="shared" si="80"/>
        <v>7.4017291588847217E-5</v>
      </c>
      <c r="W103" s="98" t="str">
        <f t="shared" si="70"/>
        <v>1-0.000302474509449106i</v>
      </c>
      <c r="X103" s="160">
        <f t="shared" si="81"/>
        <v>1.0000000457454135</v>
      </c>
      <c r="Y103" s="160">
        <f t="shared" si="82"/>
        <v>-3.0247450022455867E-4</v>
      </c>
      <c r="Z103" s="98" t="str">
        <f t="shared" si="71"/>
        <v>0.999997995251065-0.00207098615897772i</v>
      </c>
      <c r="AA103" s="160">
        <f t="shared" si="83"/>
        <v>1.0000001397449001</v>
      </c>
      <c r="AB103" s="160">
        <f t="shared" si="84"/>
        <v>-2.0709873499745461E-3</v>
      </c>
      <c r="AC103" s="171" t="str">
        <f t="shared" si="85"/>
        <v>47.1914454289634-184.143621540967i</v>
      </c>
      <c r="AD103" s="190">
        <f t="shared" si="86"/>
        <v>45.579389463370589</v>
      </c>
      <c r="AE103" s="169">
        <f t="shared" si="87"/>
        <v>-75.625865856470824</v>
      </c>
      <c r="AF103" s="98" t="str">
        <f t="shared" si="72"/>
        <v>-0.0000119284294234592</v>
      </c>
      <c r="AG103" s="98" t="str">
        <f t="shared" si="73"/>
        <v>8.02135710131725E-06i</v>
      </c>
      <c r="AH103" s="98">
        <f t="shared" si="88"/>
        <v>8.0213571013172495E-6</v>
      </c>
      <c r="AI103" s="98">
        <f t="shared" si="89"/>
        <v>1.5707963267948966</v>
      </c>
      <c r="AJ103" s="98" t="str">
        <f t="shared" si="74"/>
        <v>1+0.000439561437885371i</v>
      </c>
      <c r="AK103" s="98">
        <f t="shared" si="90"/>
        <v>1.0000000966071241</v>
      </c>
      <c r="AL103" s="98">
        <f t="shared" si="91"/>
        <v>4.3956140957552865E-4</v>
      </c>
      <c r="AM103" s="98" t="str">
        <f t="shared" si="75"/>
        <v>1+0.240200345738996i</v>
      </c>
      <c r="AN103" s="98">
        <f t="shared" si="92"/>
        <v>1.0284435843025777</v>
      </c>
      <c r="AO103" s="98">
        <f t="shared" si="93"/>
        <v>0.2357344064285484</v>
      </c>
      <c r="AP103" s="168" t="str">
        <f t="shared" si="94"/>
        <v>-0.356544286127414+1.48724042638674i</v>
      </c>
      <c r="AQ103" s="98">
        <f t="shared" si="95"/>
        <v>3.6903169121282509</v>
      </c>
      <c r="AR103" s="169">
        <f t="shared" si="96"/>
        <v>103.48140156077193</v>
      </c>
      <c r="AS103" s="168" t="str">
        <f t="shared" si="97"/>
        <v>257.039997995196+135.840381508819i</v>
      </c>
      <c r="AT103" s="190">
        <f t="shared" si="98"/>
        <v>49.269706375498849</v>
      </c>
      <c r="AU103" s="169">
        <f t="shared" si="99"/>
        <v>27.855535704301097</v>
      </c>
      <c r="AV103" s="225"/>
      <c r="AX103">
        <f t="shared" si="100"/>
        <v>0</v>
      </c>
      <c r="AY103">
        <f t="shared" si="101"/>
        <v>0</v>
      </c>
    </row>
    <row r="104" spans="14:51" x14ac:dyDescent="0.2">
      <c r="N104" s="170">
        <v>86</v>
      </c>
      <c r="O104" s="199">
        <f t="shared" si="76"/>
        <v>72.443596007499011</v>
      </c>
      <c r="P104" s="189" t="str">
        <f t="shared" si="67"/>
        <v>771.276595744681</v>
      </c>
      <c r="Q104" s="160" t="str">
        <f t="shared" si="68"/>
        <v>1+4.02376059621678i</v>
      </c>
      <c r="R104" s="160">
        <f t="shared" si="77"/>
        <v>4.1461607947192327</v>
      </c>
      <c r="S104" s="160">
        <f t="shared" si="78"/>
        <v>1.3272075742854617</v>
      </c>
      <c r="T104" s="160" t="str">
        <f t="shared" si="69"/>
        <v>1+0.0000757413759287863i</v>
      </c>
      <c r="U104" s="160">
        <f t="shared" si="79"/>
        <v>1.000000002868378</v>
      </c>
      <c r="V104" s="160">
        <f t="shared" si="80"/>
        <v>7.5741375783949699E-5</v>
      </c>
      <c r="W104" s="98" t="str">
        <f t="shared" si="70"/>
        <v>1-0.000309520045862828i</v>
      </c>
      <c r="X104" s="160">
        <f t="shared" si="81"/>
        <v>1.0000000479013282</v>
      </c>
      <c r="Y104" s="160">
        <f t="shared" si="82"/>
        <v>-3.0952003597854743E-4</v>
      </c>
      <c r="Z104" s="98" t="str">
        <f t="shared" si="71"/>
        <v>0.999997900770159-0.00211922562359233i</v>
      </c>
      <c r="AA104" s="160">
        <f t="shared" si="83"/>
        <v>1.0000001463309736</v>
      </c>
      <c r="AB104" s="160">
        <f t="shared" si="84"/>
        <v>-2.1192268997683263E-3</v>
      </c>
      <c r="AC104" s="171" t="str">
        <f t="shared" si="85"/>
        <v>45.2063498613097-180.445328171617i</v>
      </c>
      <c r="AD104" s="190">
        <f t="shared" si="86"/>
        <v>45.391279415068304</v>
      </c>
      <c r="AE104" s="169">
        <f t="shared" si="87"/>
        <v>-75.935364317734781</v>
      </c>
      <c r="AF104" s="98" t="str">
        <f t="shared" si="72"/>
        <v>-0.0000119284294234592</v>
      </c>
      <c r="AG104" s="98" t="str">
        <f t="shared" si="73"/>
        <v>0.0000082081985103594i</v>
      </c>
      <c r="AH104" s="98">
        <f t="shared" si="88"/>
        <v>8.2081985103594007E-6</v>
      </c>
      <c r="AI104" s="98">
        <f t="shared" si="89"/>
        <v>1.5707963267948966</v>
      </c>
      <c r="AJ104" s="98" t="str">
        <f t="shared" si="74"/>
        <v>1+0.00044980013906495i</v>
      </c>
      <c r="AK104" s="98">
        <f t="shared" si="90"/>
        <v>1.0000001011600774</v>
      </c>
      <c r="AL104" s="98">
        <f t="shared" si="91"/>
        <v>4.4980010873040758E-4</v>
      </c>
      <c r="AM104" s="98" t="str">
        <f t="shared" si="75"/>
        <v>1+0.245795330538129i</v>
      </c>
      <c r="AN104" s="98">
        <f t="shared" si="92"/>
        <v>1.0297647034708211</v>
      </c>
      <c r="AO104" s="98">
        <f t="shared" si="93"/>
        <v>0.24101742887776606</v>
      </c>
      <c r="AP104" s="168" t="str">
        <f t="shared" si="94"/>
        <v>-0.356544282880757+1.45339391917798i</v>
      </c>
      <c r="AQ104" s="98">
        <f t="shared" si="95"/>
        <v>3.5014674416842335</v>
      </c>
      <c r="AR104" s="169">
        <f t="shared" si="96"/>
        <v>103.78350981593579</v>
      </c>
      <c r="AS104" s="168" t="str">
        <f t="shared" si="97"/>
        <v>246.140077115746+130.039384128792i</v>
      </c>
      <c r="AT104" s="190">
        <f t="shared" si="98"/>
        <v>48.892746856752545</v>
      </c>
      <c r="AU104" s="169">
        <f t="shared" si="99"/>
        <v>27.848145498201035</v>
      </c>
      <c r="AV104" s="225"/>
      <c r="AX104">
        <f t="shared" si="100"/>
        <v>0</v>
      </c>
      <c r="AY104">
        <f t="shared" si="101"/>
        <v>0</v>
      </c>
    </row>
    <row r="105" spans="14:51" x14ac:dyDescent="0.2">
      <c r="N105" s="170">
        <v>87</v>
      </c>
      <c r="O105" s="199">
        <f t="shared" si="76"/>
        <v>74.131024130091816</v>
      </c>
      <c r="P105" s="189" t="str">
        <f t="shared" si="67"/>
        <v>771.276595744681</v>
      </c>
      <c r="Q105" s="160" t="str">
        <f t="shared" si="68"/>
        <v>1+4.11748602072407i</v>
      </c>
      <c r="R105" s="160">
        <f t="shared" si="77"/>
        <v>4.2371796198483418</v>
      </c>
      <c r="S105" s="160">
        <f t="shared" si="78"/>
        <v>1.3325425993100082</v>
      </c>
      <c r="T105" s="160" t="str">
        <f t="shared" si="69"/>
        <v>1+0.0000775056192136293i</v>
      </c>
      <c r="U105" s="160">
        <f t="shared" si="79"/>
        <v>1.0000000030035605</v>
      </c>
      <c r="V105" s="160">
        <f t="shared" si="80"/>
        <v>7.7505619058434097E-5</v>
      </c>
      <c r="W105" s="98" t="str">
        <f t="shared" si="70"/>
        <v>1-0.00031672969390185i</v>
      </c>
      <c r="X105" s="160">
        <f t="shared" si="81"/>
        <v>1.0000000501588482</v>
      </c>
      <c r="Y105" s="160">
        <f t="shared" si="82"/>
        <v>-3.167296833106526E-4</v>
      </c>
      <c r="Z105" s="98" t="str">
        <f t="shared" si="71"/>
        <v>0.999997801836505-0.00216858872968384i</v>
      </c>
      <c r="AA105" s="160">
        <f t="shared" si="83"/>
        <v>1.0000001532274485</v>
      </c>
      <c r="AB105" s="160">
        <f t="shared" si="84"/>
        <v>-2.168590097130951E-3</v>
      </c>
      <c r="AC105" s="171" t="str">
        <f t="shared" si="85"/>
        <v>43.3004110644392-176.800763455768i</v>
      </c>
      <c r="AD105" s="190">
        <f t="shared" si="86"/>
        <v>45.202664695687645</v>
      </c>
      <c r="AE105" s="169">
        <f t="shared" si="87"/>
        <v>-76.238522431035904</v>
      </c>
      <c r="AF105" s="98" t="str">
        <f t="shared" si="72"/>
        <v>-0.0000119284294234592</v>
      </c>
      <c r="AG105" s="98" t="str">
        <f t="shared" si="73"/>
        <v>0.0000083993920149001i</v>
      </c>
      <c r="AH105" s="98">
        <f t="shared" si="88"/>
        <v>8.3993920149001E-6</v>
      </c>
      <c r="AI105" s="98">
        <f t="shared" si="89"/>
        <v>1.5707963267948966</v>
      </c>
      <c r="AJ105" s="98" t="str">
        <f t="shared" si="74"/>
        <v>1+0.000460277330232073i</v>
      </c>
      <c r="AK105" s="98">
        <f t="shared" si="90"/>
        <v>1.0000001059276047</v>
      </c>
      <c r="AL105" s="98">
        <f t="shared" si="91"/>
        <v>4.6027729772802532E-4</v>
      </c>
      <c r="AM105" s="98" t="str">
        <f t="shared" si="75"/>
        <v>1+0.251520639274999i</v>
      </c>
      <c r="AN105" s="98">
        <f t="shared" si="92"/>
        <v>1.0311462708953101</v>
      </c>
      <c r="AO105" s="98">
        <f t="shared" si="93"/>
        <v>0.24640934016364133</v>
      </c>
      <c r="AP105" s="168" t="str">
        <f t="shared" si="94"/>
        <v>-0.356544279481088+1.42031802066299i</v>
      </c>
      <c r="AQ105" s="98">
        <f t="shared" si="95"/>
        <v>3.3131128756230979</v>
      </c>
      <c r="AR105" s="169">
        <f t="shared" si="96"/>
        <v>104.09184327741457</v>
      </c>
      <c r="AS105" s="168" t="str">
        <f t="shared" si="97"/>
        <v>235.674796538996+124.537654954981i</v>
      </c>
      <c r="AT105" s="190">
        <f t="shared" si="98"/>
        <v>48.515777571310721</v>
      </c>
      <c r="AU105" s="169">
        <f t="shared" si="99"/>
        <v>27.853320846378686</v>
      </c>
      <c r="AV105" s="225"/>
      <c r="AX105">
        <f t="shared" si="100"/>
        <v>0</v>
      </c>
      <c r="AY105">
        <f t="shared" si="101"/>
        <v>0</v>
      </c>
    </row>
    <row r="106" spans="14:51" x14ac:dyDescent="0.2">
      <c r="N106" s="170">
        <v>88</v>
      </c>
      <c r="O106" s="199">
        <f t="shared" si="76"/>
        <v>75.857757502918361</v>
      </c>
      <c r="P106" s="189" t="str">
        <f t="shared" si="67"/>
        <v>771.276595744681</v>
      </c>
      <c r="Q106" s="160" t="str">
        <f t="shared" si="68"/>
        <v>1+4.21339459082091i</v>
      </c>
      <c r="R106" s="160">
        <f t="shared" si="77"/>
        <v>4.3304380815292696</v>
      </c>
      <c r="S106" s="160">
        <f t="shared" si="78"/>
        <v>1.3377695774730995</v>
      </c>
      <c r="T106" s="160" t="str">
        <f t="shared" si="69"/>
        <v>1+0.0000793109570036874i</v>
      </c>
      <c r="U106" s="160">
        <f t="shared" si="79"/>
        <v>1.0000000031451139</v>
      </c>
      <c r="V106" s="160">
        <f t="shared" si="80"/>
        <v>7.9310956837392736E-5</v>
      </c>
      <c r="W106" s="98" t="str">
        <f t="shared" si="70"/>
        <v>1-0.000324107276216991i</v>
      </c>
      <c r="X106" s="160">
        <f t="shared" si="81"/>
        <v>1.0000000525227619</v>
      </c>
      <c r="Y106" s="160">
        <f t="shared" si="82"/>
        <v>-3.2410726486831854E-4</v>
      </c>
      <c r="Z106" s="98" t="str">
        <f t="shared" si="71"/>
        <v>0.999997698240251-0.0022191016502245i</v>
      </c>
      <c r="AA106" s="160">
        <f t="shared" si="83"/>
        <v>1.0000001604489541</v>
      </c>
      <c r="AB106" s="160">
        <f t="shared" si="84"/>
        <v>-2.2191031154703599E-3</v>
      </c>
      <c r="AC106" s="171" t="str">
        <f t="shared" si="85"/>
        <v>41.4708893625433-173.210485432071i</v>
      </c>
      <c r="AD106" s="190">
        <f t="shared" si="86"/>
        <v>45.013565484288101</v>
      </c>
      <c r="AE106" s="169">
        <f t="shared" si="87"/>
        <v>-76.535431302677779</v>
      </c>
      <c r="AF106" s="98" t="str">
        <f t="shared" si="72"/>
        <v>-0.0000119284294234592</v>
      </c>
      <c r="AG106" s="98" t="str">
        <f t="shared" si="73"/>
        <v>8.59503898826619E-06i</v>
      </c>
      <c r="AH106" s="98">
        <f t="shared" si="88"/>
        <v>8.5950389882661897E-6</v>
      </c>
      <c r="AI106" s="98">
        <f t="shared" si="89"/>
        <v>1.5707963267948966</v>
      </c>
      <c r="AJ106" s="98" t="str">
        <f t="shared" si="74"/>
        <v>1+0.000470998566532175i</v>
      </c>
      <c r="AK106" s="98">
        <f t="shared" si="90"/>
        <v>1.0000001109198187</v>
      </c>
      <c r="AL106" s="98">
        <f t="shared" si="91"/>
        <v>4.7099853170346064E-4</v>
      </c>
      <c r="AM106" s="98" t="str">
        <f t="shared" si="75"/>
        <v>1+0.257379307584082i</v>
      </c>
      <c r="AN106" s="98">
        <f t="shared" si="92"/>
        <v>1.0325909683763757</v>
      </c>
      <c r="AO106" s="98">
        <f t="shared" si="93"/>
        <v>0.25191174455121529</v>
      </c>
      <c r="AP106" s="168" t="str">
        <f t="shared" si="94"/>
        <v>-0.356544275921198+1.38799519356252i</v>
      </c>
      <c r="AQ106" s="98">
        <f t="shared" si="95"/>
        <v>3.1252737650504998</v>
      </c>
      <c r="AR106" s="169">
        <f t="shared" si="96"/>
        <v>104.40649354453895</v>
      </c>
      <c r="AS106" s="168" t="str">
        <f t="shared" si="97"/>
        <v>225.629113034769+119.31860221831i</v>
      </c>
      <c r="AT106" s="190">
        <f t="shared" si="98"/>
        <v>48.138839249338588</v>
      </c>
      <c r="AU106" s="169">
        <f t="shared" si="99"/>
        <v>27.871062241861193</v>
      </c>
      <c r="AV106" s="225"/>
      <c r="AX106">
        <f t="shared" si="100"/>
        <v>0</v>
      </c>
      <c r="AY106">
        <f t="shared" si="101"/>
        <v>0</v>
      </c>
    </row>
    <row r="107" spans="14:51" x14ac:dyDescent="0.2">
      <c r="N107" s="170">
        <v>89</v>
      </c>
      <c r="O107" s="199">
        <f t="shared" si="76"/>
        <v>77.624711662869217</v>
      </c>
      <c r="P107" s="189" t="str">
        <f t="shared" si="67"/>
        <v>771.276595744681</v>
      </c>
      <c r="Q107" s="160" t="str">
        <f t="shared" si="68"/>
        <v>1+4.31153715850067i</v>
      </c>
      <c r="R107" s="160">
        <f t="shared" si="77"/>
        <v>4.4259860674353719</v>
      </c>
      <c r="S107" s="160">
        <f t="shared" si="78"/>
        <v>1.3428901372248514</v>
      </c>
      <c r="T107" s="160" t="str">
        <f t="shared" si="69"/>
        <v>1+0.0000811583465129536i</v>
      </c>
      <c r="U107" s="160">
        <f t="shared" si="79"/>
        <v>1.0000000032933385</v>
      </c>
      <c r="V107" s="160">
        <f t="shared" si="80"/>
        <v>8.1158346334765647E-5</v>
      </c>
      <c r="W107" s="98" t="str">
        <f t="shared" si="70"/>
        <v>1-0.00033165670450005i</v>
      </c>
      <c r="X107" s="160">
        <f t="shared" si="81"/>
        <v>1.0000000549980834</v>
      </c>
      <c r="Y107" s="160">
        <f t="shared" si="82"/>
        <v>-3.3165669233972841E-4</v>
      </c>
      <c r="Z107" s="98" t="str">
        <f t="shared" si="71"/>
        <v>0.999997589761656-0.00227079116783339i</v>
      </c>
      <c r="AA107" s="160">
        <f t="shared" si="83"/>
        <v>1.0000001680108104</v>
      </c>
      <c r="AB107" s="160">
        <f t="shared" si="84"/>
        <v>-2.2707927378724825E-3</v>
      </c>
      <c r="AC107" s="171" t="str">
        <f t="shared" si="85"/>
        <v>39.7151047848567-169.674945483654i</v>
      </c>
      <c r="AD107" s="190">
        <f t="shared" si="86"/>
        <v>44.824001256865742</v>
      </c>
      <c r="AE107" s="169">
        <f t="shared" si="87"/>
        <v>-76.826182870700038</v>
      </c>
      <c r="AF107" s="98" t="str">
        <f t="shared" si="72"/>
        <v>-0.0000119284294234592</v>
      </c>
      <c r="AG107" s="98" t="str">
        <f t="shared" si="73"/>
        <v>8.79524316507266E-06i</v>
      </c>
      <c r="AH107" s="98">
        <f t="shared" si="88"/>
        <v>8.79524316507266E-6</v>
      </c>
      <c r="AI107" s="98">
        <f t="shared" si="89"/>
        <v>1.5707963267948966</v>
      </c>
      <c r="AJ107" s="98" t="str">
        <f t="shared" si="74"/>
        <v>1+0.000481969532506655i</v>
      </c>
      <c r="AK107" s="98">
        <f t="shared" si="90"/>
        <v>1.0000001161473084</v>
      </c>
      <c r="AL107" s="98">
        <f t="shared" si="91"/>
        <v>4.8196949518701542E-4</v>
      </c>
      <c r="AM107" s="98" t="str">
        <f t="shared" si="75"/>
        <v>1+0.263374441808864i</v>
      </c>
      <c r="AN107" s="98">
        <f t="shared" si="92"/>
        <v>1.0341015891091796</v>
      </c>
      <c r="AO107" s="98">
        <f t="shared" si="93"/>
        <v>0.25752622617802234</v>
      </c>
      <c r="AP107" s="168" t="str">
        <f t="shared" si="94"/>
        <v>-0.356544272193535+1.35640829988582i</v>
      </c>
      <c r="AQ107" s="98">
        <f t="shared" si="95"/>
        <v>2.9379713869970603</v>
      </c>
      <c r="AR107" s="169">
        <f t="shared" si="96"/>
        <v>104.72755105600388</v>
      </c>
      <c r="AS107" s="168" t="str">
        <f t="shared" si="97"/>
        <v>215.988311206096+114.366527707962i</v>
      </c>
      <c r="AT107" s="190">
        <f t="shared" si="98"/>
        <v>47.761972643862819</v>
      </c>
      <c r="AU107" s="169">
        <f t="shared" si="99"/>
        <v>27.901368185303848</v>
      </c>
      <c r="AV107" s="225"/>
      <c r="AX107">
        <f t="shared" si="100"/>
        <v>0</v>
      </c>
      <c r="AY107">
        <f t="shared" si="101"/>
        <v>0</v>
      </c>
    </row>
    <row r="108" spans="14:51" x14ac:dyDescent="0.2">
      <c r="N108" s="170">
        <v>90</v>
      </c>
      <c r="O108" s="199">
        <f t="shared" si="76"/>
        <v>79.432823472428197</v>
      </c>
      <c r="P108" s="189" t="str">
        <f t="shared" si="67"/>
        <v>771.276595744681</v>
      </c>
      <c r="Q108" s="160" t="str">
        <f t="shared" si="68"/>
        <v>1+4.41196576025181i</v>
      </c>
      <c r="R108" s="160">
        <f t="shared" si="77"/>
        <v>4.523874652290262</v>
      </c>
      <c r="S108" s="160">
        <f t="shared" si="78"/>
        <v>1.3479059189836518</v>
      </c>
      <c r="T108" s="160" t="str">
        <f t="shared" si="69"/>
        <v>1+0.0000830487672517986i</v>
      </c>
      <c r="U108" s="160">
        <f t="shared" si="79"/>
        <v>1.0000000034485488</v>
      </c>
      <c r="V108" s="160">
        <f t="shared" si="80"/>
        <v>8.3048767060866778E-5</v>
      </c>
      <c r="W108" s="98" t="str">
        <f t="shared" si="70"/>
        <v>1-0.00033938198155783i</v>
      </c>
      <c r="X108" s="160">
        <f t="shared" si="81"/>
        <v>1.0000000575900632</v>
      </c>
      <c r="Y108" s="160">
        <f t="shared" si="82"/>
        <v>-3.3938196852781072E-4</v>
      </c>
      <c r="Z108" s="98" t="str">
        <f t="shared" si="71"/>
        <v>0.999997476170622-0.00232368468897694i</v>
      </c>
      <c r="AA108" s="160">
        <f t="shared" si="83"/>
        <v>1.0000001759290582</v>
      </c>
      <c r="AB108" s="160">
        <f t="shared" si="84"/>
        <v>-2.3236863713039899E-3</v>
      </c>
      <c r="AC108" s="171" t="str">
        <f t="shared" si="85"/>
        <v>38.0304389417736-166.194494662414i</v>
      </c>
      <c r="AD108" s="190">
        <f t="shared" si="86"/>
        <v>44.63399080209436</v>
      </c>
      <c r="AE108" s="169">
        <f t="shared" si="87"/>
        <v>-77.11086972707129</v>
      </c>
      <c r="AF108" s="98" t="str">
        <f t="shared" si="72"/>
        <v>-0.0000119284294234592</v>
      </c>
      <c r="AG108" s="98" t="str">
        <f t="shared" si="73"/>
        <v>9.00011069622405E-06i</v>
      </c>
      <c r="AH108" s="98">
        <f t="shared" si="88"/>
        <v>9.0001106962240498E-6</v>
      </c>
      <c r="AI108" s="98">
        <f t="shared" si="89"/>
        <v>1.5707963267948966</v>
      </c>
      <c r="AJ108" s="98" t="str">
        <f t="shared" si="74"/>
        <v>1+0.000493196045106892i</v>
      </c>
      <c r="AK108" s="98">
        <f t="shared" si="90"/>
        <v>1.000000121621162</v>
      </c>
      <c r="AL108" s="98">
        <f t="shared" si="91"/>
        <v>4.9319600511817791E-4</v>
      </c>
      <c r="AM108" s="98" t="str">
        <f t="shared" si="75"/>
        <v>1+0.269509220648866i</v>
      </c>
      <c r="AN108" s="98">
        <f t="shared" si="92"/>
        <v>1.0356810416410831</v>
      </c>
      <c r="AO108" s="98">
        <f t="shared" si="93"/>
        <v>0.26325434547078957</v>
      </c>
      <c r="AP108" s="168" t="str">
        <f t="shared" si="94"/>
        <v>-0.356544268290193+1.32554059184373i</v>
      </c>
      <c r="AQ108" s="98">
        <f t="shared" si="95"/>
        <v>2.7512277585943421</v>
      </c>
      <c r="AR108" s="169">
        <f t="shared" si="96"/>
        <v>105.05510488438919</v>
      </c>
      <c r="AS108" s="168" t="str">
        <f t="shared" si="97"/>
        <v>206.738013790736+109.666585036224i</v>
      </c>
      <c r="AT108" s="190">
        <f t="shared" si="98"/>
        <v>47.385218560688685</v>
      </c>
      <c r="AU108" s="169">
        <f t="shared" si="99"/>
        <v>27.944235157317912</v>
      </c>
      <c r="AV108" s="225"/>
      <c r="AX108">
        <f t="shared" si="100"/>
        <v>0</v>
      </c>
      <c r="AY108">
        <f t="shared" si="101"/>
        <v>0</v>
      </c>
    </row>
    <row r="109" spans="14:51" x14ac:dyDescent="0.2">
      <c r="N109" s="170">
        <v>91</v>
      </c>
      <c r="O109" s="199">
        <f t="shared" si="76"/>
        <v>81.283051616409963</v>
      </c>
      <c r="P109" s="189" t="str">
        <f t="shared" si="67"/>
        <v>771.276595744681</v>
      </c>
      <c r="Q109" s="160" t="str">
        <f t="shared" si="68"/>
        <v>1+4.51473364464831i</v>
      </c>
      <c r="R109" s="160">
        <f t="shared" si="77"/>
        <v>4.6241561264861533</v>
      </c>
      <c r="S109" s="160">
        <f t="shared" si="78"/>
        <v>1.3528185722315338</v>
      </c>
      <c r="T109" s="160" t="str">
        <f t="shared" si="69"/>
        <v>1+0.0000849832215463208i</v>
      </c>
      <c r="U109" s="160">
        <f t="shared" si="79"/>
        <v>1.0000000036110739</v>
      </c>
      <c r="V109" s="160">
        <f t="shared" si="80"/>
        <v>8.4983221341733661E-5</v>
      </c>
      <c r="W109" s="98" t="str">
        <f t="shared" si="70"/>
        <v>1-0.000347287203434483i</v>
      </c>
      <c r="X109" s="160">
        <f t="shared" si="81"/>
        <v>1.000000060304199</v>
      </c>
      <c r="Y109" s="160">
        <f t="shared" si="82"/>
        <v>-3.4728718947256584E-4</v>
      </c>
      <c r="Z109" s="98" t="str">
        <f t="shared" si="71"/>
        <v>0.999997357226208-0.00237781025850018i</v>
      </c>
      <c r="AA109" s="160">
        <f t="shared" si="83"/>
        <v>1.0000001842204957</v>
      </c>
      <c r="AB109" s="160">
        <f t="shared" si="84"/>
        <v>-2.3778120611459234E-3</v>
      </c>
      <c r="AC109" s="171" t="str">
        <f t="shared" si="85"/>
        <v>36.4143365321164-162.76938982217i</v>
      </c>
      <c r="AD109" s="190">
        <f t="shared" si="86"/>
        <v>44.443552237504377</v>
      </c>
      <c r="AE109" s="169">
        <f t="shared" si="87"/>
        <v>-77.389584950525233</v>
      </c>
      <c r="AF109" s="98" t="str">
        <f t="shared" si="72"/>
        <v>-0.0000119284294234592</v>
      </c>
      <c r="AG109" s="98" t="str">
        <f t="shared" si="73"/>
        <v>9.20975020519713E-06i</v>
      </c>
      <c r="AH109" s="98">
        <f t="shared" si="88"/>
        <v>9.2097502051971308E-6</v>
      </c>
      <c r="AI109" s="98">
        <f t="shared" si="89"/>
        <v>1.5707963267948966</v>
      </c>
      <c r="AJ109" s="98" t="str">
        <f t="shared" si="74"/>
        <v>1+0.000504684056778465i</v>
      </c>
      <c r="AK109" s="98">
        <f t="shared" si="90"/>
        <v>1.0000001273529904</v>
      </c>
      <c r="AL109" s="98">
        <f t="shared" si="91"/>
        <v>5.0468401392978618E-4</v>
      </c>
      <c r="AM109" s="98" t="str">
        <f t="shared" si="75"/>
        <v>1+0.275786896845032i</v>
      </c>
      <c r="AN109" s="98">
        <f t="shared" si="92"/>
        <v>1.0373323539114223</v>
      </c>
      <c r="AO109" s="98">
        <f t="shared" si="93"/>
        <v>0.26909763535859105</v>
      </c>
      <c r="AP109" s="168" t="str">
        <f t="shared" si="94"/>
        <v>-0.356544264202893+1.29537570296886i</v>
      </c>
      <c r="AQ109" s="98">
        <f t="shared" si="95"/>
        <v>2.565065650427651</v>
      </c>
      <c r="AR109" s="169">
        <f t="shared" si="96"/>
        <v>105.3892425190118</v>
      </c>
      <c r="AS109" s="168" t="str">
        <f t="shared" si="97"/>
        <v>197.864189937426+105.204739112334i</v>
      </c>
      <c r="AT109" s="190">
        <f t="shared" si="98"/>
        <v>47.008617887932019</v>
      </c>
      <c r="AU109" s="169">
        <f t="shared" si="99"/>
        <v>27.999657568486484</v>
      </c>
      <c r="AV109" s="225"/>
      <c r="AX109">
        <f t="shared" si="100"/>
        <v>0</v>
      </c>
      <c r="AY109">
        <f t="shared" si="101"/>
        <v>0</v>
      </c>
    </row>
    <row r="110" spans="14:51" x14ac:dyDescent="0.2">
      <c r="N110" s="170">
        <v>92</v>
      </c>
      <c r="O110" s="199">
        <f t="shared" si="76"/>
        <v>83.176377110267126</v>
      </c>
      <c r="P110" s="189" t="str">
        <f t="shared" si="67"/>
        <v>771.276595744681</v>
      </c>
      <c r="Q110" s="160" t="str">
        <f t="shared" si="68"/>
        <v>1+4.61989530058276i</v>
      </c>
      <c r="R110" s="160">
        <f t="shared" si="77"/>
        <v>4.72688402526936</v>
      </c>
      <c r="S110" s="160">
        <f t="shared" si="78"/>
        <v>1.3576297527897558</v>
      </c>
      <c r="T110" s="160" t="str">
        <f t="shared" si="69"/>
        <v>1+0.0000869627350697929i</v>
      </c>
      <c r="U110" s="160">
        <f t="shared" si="79"/>
        <v>1.0000000037812586</v>
      </c>
      <c r="V110" s="160">
        <f t="shared" si="80"/>
        <v>8.6962734850573836E-5</v>
      </c>
      <c r="W110" s="98" t="str">
        <f t="shared" si="70"/>
        <v>1-0.000355376561583288i</v>
      </c>
      <c r="X110" s="160">
        <f t="shared" si="81"/>
        <v>1.0000000631462482</v>
      </c>
      <c r="Y110" s="160">
        <f t="shared" si="82"/>
        <v>-3.5537654662282423E-4</v>
      </c>
      <c r="Z110" s="98" t="str">
        <f t="shared" si="71"/>
        <v>0.999997232676116-0.00243319657449652i</v>
      </c>
      <c r="AA110" s="160">
        <f t="shared" si="83"/>
        <v>1.0000001929027116</v>
      </c>
      <c r="AB110" s="160">
        <f t="shared" si="84"/>
        <v>-2.4331985060660481E-3</v>
      </c>
      <c r="AC110" s="171" t="str">
        <f t="shared" si="85"/>
        <v>34.8643065105364-159.399799550979i</v>
      </c>
      <c r="AD110" s="190">
        <f t="shared" si="86"/>
        <v>44.25270302600866</v>
      </c>
      <c r="AE110" s="169">
        <f t="shared" si="87"/>
        <v>-77.662421949704751</v>
      </c>
      <c r="AF110" s="98" t="str">
        <f t="shared" si="72"/>
        <v>-0.0000119284294234592</v>
      </c>
      <c r="AG110" s="98" t="str">
        <f t="shared" si="73"/>
        <v>9.42427284563446E-06i</v>
      </c>
      <c r="AH110" s="98">
        <f t="shared" si="88"/>
        <v>9.4242728456344592E-6</v>
      </c>
      <c r="AI110" s="98">
        <f t="shared" si="89"/>
        <v>1.5707963267948966</v>
      </c>
      <c r="AJ110" s="98" t="str">
        <f t="shared" si="74"/>
        <v>1+0.000516439658617225i</v>
      </c>
      <c r="AK110" s="98">
        <f t="shared" si="90"/>
        <v>1.0000001333549515</v>
      </c>
      <c r="AL110" s="98">
        <f t="shared" si="91"/>
        <v>5.1643961270403892E-4</v>
      </c>
      <c r="AM110" s="98" t="str">
        <f t="shared" si="75"/>
        <v>1+0.282210798904376i</v>
      </c>
      <c r="AN110" s="98">
        <f t="shared" si="92"/>
        <v>1.0390586773701695</v>
      </c>
      <c r="AO110" s="98">
        <f t="shared" si="93"/>
        <v>0.27505759727875878</v>
      </c>
      <c r="AP110" s="168" t="str">
        <f t="shared" si="94"/>
        <v>-0.356544259922963+1.26589763943784i</v>
      </c>
      <c r="AQ110" s="98">
        <f t="shared" si="95"/>
        <v>2.3795085989356899</v>
      </c>
      <c r="AR110" s="169">
        <f t="shared" si="96"/>
        <v>105.73004963690062</v>
      </c>
      <c r="AS110" s="168" t="str">
        <f t="shared" si="97"/>
        <v>189.353161615923+100.967726875098i</v>
      </c>
      <c r="AT110" s="190">
        <f t="shared" si="98"/>
        <v>46.632211624944368</v>
      </c>
      <c r="AU110" s="169">
        <f t="shared" si="99"/>
        <v>28.067627687195877</v>
      </c>
      <c r="AV110" s="225"/>
      <c r="AX110">
        <f t="shared" si="100"/>
        <v>0</v>
      </c>
      <c r="AY110">
        <f t="shared" si="101"/>
        <v>0</v>
      </c>
    </row>
    <row r="111" spans="14:51" x14ac:dyDescent="0.2">
      <c r="N111" s="170">
        <v>93</v>
      </c>
      <c r="O111" s="199">
        <f t="shared" si="76"/>
        <v>85.113803820237734</v>
      </c>
      <c r="P111" s="189" t="str">
        <f t="shared" si="67"/>
        <v>771.276595744681</v>
      </c>
      <c r="Q111" s="160" t="str">
        <f t="shared" si="68"/>
        <v>1+4.72750648615713i</v>
      </c>
      <c r="R111" s="160">
        <f t="shared" si="77"/>
        <v>4.8321131585112669</v>
      </c>
      <c r="S111" s="160">
        <f t="shared" si="78"/>
        <v>1.3623411202684756</v>
      </c>
      <c r="T111" s="160" t="str">
        <f t="shared" si="69"/>
        <v>1+0.000088988357386487i</v>
      </c>
      <c r="U111" s="160">
        <f t="shared" si="79"/>
        <v>1.0000000039594639</v>
      </c>
      <c r="V111" s="160">
        <f t="shared" si="80"/>
        <v>8.8988357151589549E-5</v>
      </c>
      <c r="W111" s="98" t="str">
        <f t="shared" si="70"/>
        <v>1-0.000363654345089009i</v>
      </c>
      <c r="X111" s="160">
        <f t="shared" si="81"/>
        <v>1.0000000661222392</v>
      </c>
      <c r="Y111" s="160">
        <f t="shared" si="82"/>
        <v>-3.6365432905858337E-4</v>
      </c>
      <c r="Z111" s="98" t="str">
        <f t="shared" si="71"/>
        <v>0.99999710225616-0.00248987300352383i</v>
      </c>
      <c r="AA111" s="160">
        <f t="shared" si="83"/>
        <v>1.0000002019941248</v>
      </c>
      <c r="AB111" s="160">
        <f t="shared" si="84"/>
        <v>-2.4898750732376559E-3</v>
      </c>
      <c r="AC111" s="171" t="str">
        <f t="shared" si="85"/>
        <v>33.3779229428888-156.085809895142i</v>
      </c>
      <c r="AD111" s="190">
        <f t="shared" si="86"/>
        <v>44.061459992689159</v>
      </c>
      <c r="AE111" s="169">
        <f t="shared" si="87"/>
        <v>-77.929474316262869</v>
      </c>
      <c r="AF111" s="98" t="str">
        <f t="shared" si="72"/>
        <v>-0.0000119284294234592</v>
      </c>
      <c r="AG111" s="98" t="str">
        <f t="shared" si="73"/>
        <v>9.64379236027955E-06i</v>
      </c>
      <c r="AH111" s="98">
        <f t="shared" si="88"/>
        <v>9.6437923602795506E-6</v>
      </c>
      <c r="AI111" s="98">
        <f t="shared" si="89"/>
        <v>1.5707963267948966</v>
      </c>
      <c r="AJ111" s="98" t="str">
        <f t="shared" si="74"/>
        <v>1+0.000528469083598872i</v>
      </c>
      <c r="AK111" s="98">
        <f t="shared" si="90"/>
        <v>1.0000001396397764</v>
      </c>
      <c r="AL111" s="98">
        <f t="shared" si="91"/>
        <v>5.2846903440200701E-4</v>
      </c>
      <c r="AM111" s="98" t="str">
        <f t="shared" si="75"/>
        <v>1+0.288784332864802i</v>
      </c>
      <c r="AN111" s="98">
        <f t="shared" si="92"/>
        <v>1.0408632911714049</v>
      </c>
      <c r="AO111" s="98">
        <f t="shared" si="93"/>
        <v>0.28113569697259327</v>
      </c>
      <c r="AP111" s="168" t="str">
        <f t="shared" si="94"/>
        <v>-0.356544255441328+1.23709077159116i</v>
      </c>
      <c r="AQ111" s="98">
        <f t="shared" si="95"/>
        <v>2.1945809177210847</v>
      </c>
      <c r="AR111" s="169">
        <f t="shared" si="96"/>
        <v>106.07760986172396</v>
      </c>
      <c r="AS111" s="168" t="str">
        <f t="shared" si="97"/>
        <v>181.191608313762+96.9430193215487i</v>
      </c>
      <c r="AT111" s="190">
        <f t="shared" si="98"/>
        <v>46.256040910410249</v>
      </c>
      <c r="AU111" s="169">
        <f t="shared" si="99"/>
        <v>28.148135545461106</v>
      </c>
      <c r="AV111" s="225"/>
      <c r="AX111">
        <f t="shared" si="100"/>
        <v>0</v>
      </c>
      <c r="AY111">
        <f t="shared" si="101"/>
        <v>0</v>
      </c>
    </row>
    <row r="112" spans="14:51" x14ac:dyDescent="0.2">
      <c r="N112" s="170">
        <v>94</v>
      </c>
      <c r="O112" s="199">
        <f t="shared" si="76"/>
        <v>87.096358995608071</v>
      </c>
      <c r="P112" s="189" t="str">
        <f t="shared" si="67"/>
        <v>771.276595744681</v>
      </c>
      <c r="Q112" s="160" t="str">
        <f t="shared" si="68"/>
        <v>1+4.8376242582464i</v>
      </c>
      <c r="R112" s="160">
        <f t="shared" si="77"/>
        <v>4.939899641083211</v>
      </c>
      <c r="S112" s="160">
        <f t="shared" si="78"/>
        <v>1.3669543356842075</v>
      </c>
      <c r="T112" s="160" t="str">
        <f t="shared" si="69"/>
        <v>1+0.0000910611625081672i</v>
      </c>
      <c r="U112" s="160">
        <f t="shared" si="79"/>
        <v>1.0000000041460677</v>
      </c>
      <c r="V112" s="160">
        <f t="shared" si="80"/>
        <v>9.1061162256470048E-5</v>
      </c>
      <c r="W112" s="98" t="str">
        <f t="shared" si="70"/>
        <v>1-0.000372124942942029i</v>
      </c>
      <c r="X112" s="160">
        <f t="shared" si="81"/>
        <v>1.0000000692384843</v>
      </c>
      <c r="Y112" s="160">
        <f t="shared" si="82"/>
        <v>-3.7212492576511847E-4</v>
      </c>
      <c r="Z112" s="98" t="str">
        <f t="shared" si="71"/>
        <v>0.9999969656897-0.00254786959617496i</v>
      </c>
      <c r="AA112" s="160">
        <f t="shared" si="83"/>
        <v>1.0000002115140207</v>
      </c>
      <c r="AB112" s="160">
        <f t="shared" si="84"/>
        <v>-2.5478718139130448E-3</v>
      </c>
      <c r="AC112" s="171" t="str">
        <f t="shared" si="85"/>
        <v>31.9528255762371-152.827429869575i</v>
      </c>
      <c r="AD112" s="190">
        <f t="shared" si="86"/>
        <v>43.869839341768966</v>
      </c>
      <c r="AE112" s="169">
        <f t="shared" si="87"/>
        <v>-78.190835687559854</v>
      </c>
      <c r="AF112" s="98" t="str">
        <f t="shared" si="72"/>
        <v>-0.0000119284294234592</v>
      </c>
      <c r="AG112" s="98" t="str">
        <f t="shared" si="73"/>
        <v>9.86842514128473E-06i</v>
      </c>
      <c r="AH112" s="98">
        <f t="shared" si="88"/>
        <v>9.86842514128473E-6</v>
      </c>
      <c r="AI112" s="98">
        <f t="shared" si="89"/>
        <v>1.5707963267948966</v>
      </c>
      <c r="AJ112" s="98" t="str">
        <f t="shared" si="74"/>
        <v>1+0.000540778709883757i</v>
      </c>
      <c r="AK112" s="98">
        <f t="shared" si="90"/>
        <v>1.0000001462207959</v>
      </c>
      <c r="AL112" s="98">
        <f t="shared" si="91"/>
        <v>5.4077865716836682E-4</v>
      </c>
      <c r="AM112" s="98" t="str">
        <f t="shared" si="75"/>
        <v>1+0.295510984101024i</v>
      </c>
      <c r="AN112" s="98">
        <f t="shared" si="92"/>
        <v>1.0427496064369219</v>
      </c>
      <c r="AO112" s="98">
        <f t="shared" si="93"/>
        <v>0.28733336006876653</v>
      </c>
      <c r="AP112" s="168" t="str">
        <f t="shared" si="94"/>
        <v>-0.356544250748479+1.20893982564621i</v>
      </c>
      <c r="AQ112" s="98">
        <f t="shared" si="95"/>
        <v>2.0103077076273519</v>
      </c>
      <c r="AR112" s="169">
        <f t="shared" si="96"/>
        <v>106.43200451054662</v>
      </c>
      <c r="AS112" s="168" t="str">
        <f t="shared" si="97"/>
        <v>173.366570166106+93.1187848577032i</v>
      </c>
      <c r="AT112" s="190">
        <f t="shared" si="98"/>
        <v>45.880147049396314</v>
      </c>
      <c r="AU112" s="169">
        <f t="shared" si="99"/>
        <v>28.241168822986797</v>
      </c>
      <c r="AV112" s="225"/>
      <c r="AX112">
        <f t="shared" si="100"/>
        <v>0</v>
      </c>
      <c r="AY112">
        <f t="shared" si="101"/>
        <v>0</v>
      </c>
    </row>
    <row r="113" spans="14:51" x14ac:dyDescent="0.2">
      <c r="N113" s="170">
        <v>95</v>
      </c>
      <c r="O113" s="199">
        <f t="shared" si="76"/>
        <v>89.125093813374562</v>
      </c>
      <c r="P113" s="189" t="str">
        <f t="shared" si="67"/>
        <v>771.276595744681</v>
      </c>
      <c r="Q113" s="160" t="str">
        <f t="shared" si="68"/>
        <v>1+4.95030700275092i</v>
      </c>
      <c r="R113" s="160">
        <f t="shared" si="77"/>
        <v>5.0503009238544196</v>
      </c>
      <c r="S113" s="160">
        <f t="shared" si="78"/>
        <v>1.3714710592386314</v>
      </c>
      <c r="T113" s="160" t="str">
        <f t="shared" si="69"/>
        <v>1+0.0000931822494635464i</v>
      </c>
      <c r="U113" s="160">
        <f t="shared" si="79"/>
        <v>1.0000000043414659</v>
      </c>
      <c r="V113" s="160">
        <f t="shared" si="80"/>
        <v>9.3182249193848028E-5</v>
      </c>
      <c r="W113" s="98" t="str">
        <f t="shared" si="70"/>
        <v>1-0.000380792846365453i</v>
      </c>
      <c r="X113" s="160">
        <f t="shared" si="81"/>
        <v>1.0000000725015934</v>
      </c>
      <c r="Y113" s="160">
        <f t="shared" si="82"/>
        <v>-3.8079282796006186E-4</v>
      </c>
      <c r="Z113" s="98" t="str">
        <f t="shared" si="71"/>
        <v>0.999996822687061-0.00260721710301103i</v>
      </c>
      <c r="AA113" s="160">
        <f t="shared" si="83"/>
        <v>1.0000002214825952</v>
      </c>
      <c r="AB113" s="160">
        <f t="shared" si="84"/>
        <v>-2.6072194793599368E-3</v>
      </c>
      <c r="AC113" s="171" t="str">
        <f t="shared" si="85"/>
        <v>30.5867201488744-149.62459675098i</v>
      </c>
      <c r="AD113" s="190">
        <f t="shared" si="86"/>
        <v>43.677856673697036</v>
      </c>
      <c r="AE113" s="169">
        <f t="shared" si="87"/>
        <v>-78.446599618585111</v>
      </c>
      <c r="AF113" s="98" t="str">
        <f t="shared" si="72"/>
        <v>-0.0000119284294234592</v>
      </c>
      <c r="AG113" s="98" t="str">
        <f t="shared" si="73"/>
        <v>0.0000100982902919239i</v>
      </c>
      <c r="AH113" s="98">
        <f t="shared" si="88"/>
        <v>1.00982902919239E-5</v>
      </c>
      <c r="AI113" s="98">
        <f t="shared" si="89"/>
        <v>1.5707963267948966</v>
      </c>
      <c r="AJ113" s="98" t="str">
        <f t="shared" si="74"/>
        <v>1+0.000553375064198675i</v>
      </c>
      <c r="AK113" s="98">
        <f t="shared" si="90"/>
        <v>1.0000001531119691</v>
      </c>
      <c r="AL113" s="98">
        <f t="shared" si="91"/>
        <v>5.5337500771311719E-4</v>
      </c>
      <c r="AM113" s="98" t="str">
        <f t="shared" si="75"/>
        <v>1+0.302394319172567i</v>
      </c>
      <c r="AN113" s="98">
        <f t="shared" si="92"/>
        <v>1.0447211705846877</v>
      </c>
      <c r="AO113" s="98">
        <f t="shared" si="93"/>
        <v>0.29365196745331706</v>
      </c>
      <c r="AP113" s="168" t="str">
        <f t="shared" si="94"/>
        <v>-0.356544245834462+1.18142987559877i</v>
      </c>
      <c r="AQ113" s="98">
        <f t="shared" si="95"/>
        <v>1.8267148654266243</v>
      </c>
      <c r="AR113" s="169">
        <f t="shared" si="96"/>
        <v>106.79331232835814</v>
      </c>
      <c r="AS113" s="168" t="str">
        <f t="shared" si="97"/>
        <v>165.865449657996+89.4838539873227i</v>
      </c>
      <c r="AT113" s="190">
        <f t="shared" si="98"/>
        <v>45.504571539123653</v>
      </c>
      <c r="AU113" s="169">
        <f t="shared" si="99"/>
        <v>28.346712709773065</v>
      </c>
      <c r="AV113" s="225"/>
      <c r="AX113">
        <f t="shared" si="100"/>
        <v>0</v>
      </c>
      <c r="AY113">
        <f t="shared" si="101"/>
        <v>0</v>
      </c>
    </row>
    <row r="114" spans="14:51" x14ac:dyDescent="0.2">
      <c r="N114" s="170">
        <v>96</v>
      </c>
      <c r="O114" s="199">
        <f t="shared" si="76"/>
        <v>91.201083935590972</v>
      </c>
      <c r="P114" s="189" t="str">
        <f t="shared" si="67"/>
        <v>771.276595744681</v>
      </c>
      <c r="Q114" s="160" t="str">
        <f t="shared" si="68"/>
        <v>1+5.06561446555336i</v>
      </c>
      <c r="R114" s="160">
        <f t="shared" si="77"/>
        <v>5.1633758253320536</v>
      </c>
      <c r="S114" s="160">
        <f t="shared" si="78"/>
        <v>1.3758929482522282</v>
      </c>
      <c r="T114" s="160" t="str">
        <f t="shared" si="69"/>
        <v>1+0.0000953527428810041i</v>
      </c>
      <c r="U114" s="160">
        <f t="shared" si="79"/>
        <v>1.0000000045460726</v>
      </c>
      <c r="V114" s="160">
        <f t="shared" si="80"/>
        <v>9.5352742592017098E-5</v>
      </c>
      <c r="W114" s="98" t="str">
        <f t="shared" si="70"/>
        <v>1-0.00038966265119641i</v>
      </c>
      <c r="X114" s="160">
        <f t="shared" si="81"/>
        <v>1.0000000759184879</v>
      </c>
      <c r="Y114" s="160">
        <f t="shared" si="82"/>
        <v>-3.8966263147467814E-4</v>
      </c>
      <c r="Z114" s="98" t="str">
        <f t="shared" si="71"/>
        <v>0.999996672944916-0.00266794699086572i</v>
      </c>
      <c r="AA114" s="160">
        <f t="shared" si="83"/>
        <v>1.0000002319209969</v>
      </c>
      <c r="AB114" s="160">
        <f t="shared" si="84"/>
        <v>-2.6679495371691505E-3</v>
      </c>
      <c r="AC114" s="171" t="str">
        <f t="shared" si="85"/>
        <v>29.2773784644593-146.477181151975i</v>
      </c>
      <c r="AD114" s="190">
        <f t="shared" si="86"/>
        <v>43.485527002282886</v>
      </c>
      <c r="AE114" s="169">
        <f t="shared" si="87"/>
        <v>-78.696859462732775</v>
      </c>
      <c r="AF114" s="98" t="str">
        <f t="shared" si="72"/>
        <v>-0.0000119284294234592</v>
      </c>
      <c r="AG114" s="98" t="str">
        <f t="shared" si="73"/>
        <v>0.0000103335096897425i</v>
      </c>
      <c r="AH114" s="98">
        <f t="shared" si="88"/>
        <v>1.03335096897425E-5</v>
      </c>
      <c r="AI114" s="98">
        <f t="shared" si="89"/>
        <v>1.5707963267948966</v>
      </c>
      <c r="AJ114" s="98" t="str">
        <f t="shared" si="74"/>
        <v>1+0.000566264825297417i</v>
      </c>
      <c r="AK114" s="98">
        <f t="shared" si="90"/>
        <v>1.0000001603279134</v>
      </c>
      <c r="AL114" s="98">
        <f t="shared" si="91"/>
        <v>5.6626476477205192E-4</v>
      </c>
      <c r="AM114" s="98" t="str">
        <f t="shared" si="75"/>
        <v>1+0.309437987714797i</v>
      </c>
      <c r="AN114" s="98">
        <f t="shared" si="92"/>
        <v>1.0467816717162097</v>
      </c>
      <c r="AO114" s="98">
        <f t="shared" si="93"/>
        <v>0.30009285042618994</v>
      </c>
      <c r="AP114" s="168" t="str">
        <f t="shared" si="94"/>
        <v>-0.356544240688856+1.1545463353092i</v>
      </c>
      <c r="AQ114" s="98">
        <f t="shared" si="95"/>
        <v>1.6438290909598985</v>
      </c>
      <c r="AR114" s="169">
        <f t="shared" si="96"/>
        <v>107.16160921036298</v>
      </c>
      <c r="AS114" s="168" t="str">
        <f t="shared" si="97"/>
        <v>158.676012031464+86.0276853456769i</v>
      </c>
      <c r="AT114" s="190">
        <f t="shared" si="98"/>
        <v>45.129356093242805</v>
      </c>
      <c r="AU114" s="169">
        <f t="shared" si="99"/>
        <v>28.464749747630151</v>
      </c>
      <c r="AV114" s="225"/>
      <c r="AX114">
        <f t="shared" si="100"/>
        <v>0</v>
      </c>
      <c r="AY114">
        <f t="shared" si="101"/>
        <v>0</v>
      </c>
    </row>
    <row r="115" spans="14:51" x14ac:dyDescent="0.2">
      <c r="N115" s="170">
        <v>97</v>
      </c>
      <c r="O115" s="199">
        <f t="shared" si="76"/>
        <v>93.325430079699174</v>
      </c>
      <c r="P115" s="189" t="str">
        <f t="shared" si="67"/>
        <v>771.276595744681</v>
      </c>
      <c r="Q115" s="160" t="str">
        <f t="shared" si="68"/>
        <v>1+5.18360778419678i</v>
      </c>
      <c r="R115" s="160">
        <f t="shared" si="77"/>
        <v>5.2791845639630219</v>
      </c>
      <c r="S115" s="160">
        <f t="shared" si="78"/>
        <v>1.3802216552461932</v>
      </c>
      <c r="T115" s="160" t="str">
        <f t="shared" si="69"/>
        <v>1+0.0000975737935848803i</v>
      </c>
      <c r="U115" s="160">
        <f t="shared" si="79"/>
        <v>1.0000000047603226</v>
      </c>
      <c r="V115" s="160">
        <f t="shared" si="80"/>
        <v>9.757379327522514E-5</v>
      </c>
      <c r="W115" s="98" t="str">
        <f t="shared" si="70"/>
        <v>1-0.000398739060322827i</v>
      </c>
      <c r="X115" s="160">
        <f t="shared" si="81"/>
        <v>1.0000000794964159</v>
      </c>
      <c r="Y115" s="160">
        <f t="shared" si="82"/>
        <v>-3.9873903919061067E-4</v>
      </c>
      <c r="Z115" s="98" t="str">
        <f t="shared" si="71"/>
        <v>0.99999651614564-0.00273009145952942i</v>
      </c>
      <c r="AA115" s="160">
        <f t="shared" si="83"/>
        <v>1.0000002428513679</v>
      </c>
      <c r="AB115" s="160">
        <f t="shared" si="84"/>
        <v>-2.7300941879423706E-3</v>
      </c>
      <c r="AC115" s="171" t="str">
        <f t="shared" si="85"/>
        <v>28.0226382530621-143.384991875755i</v>
      </c>
      <c r="AD115" s="190">
        <f t="shared" si="86"/>
        <v>43.292864771822117</v>
      </c>
      <c r="AE115" s="169">
        <f t="shared" si="87"/>
        <v>-78.941708261052057</v>
      </c>
      <c r="AF115" s="98" t="str">
        <f t="shared" si="72"/>
        <v>-0.0000119284294234592</v>
      </c>
      <c r="AG115" s="98" t="str">
        <f t="shared" si="73"/>
        <v>0.0000105742080511788i</v>
      </c>
      <c r="AH115" s="98">
        <f t="shared" si="88"/>
        <v>1.0574208051178799E-5</v>
      </c>
      <c r="AI115" s="98">
        <f t="shared" si="89"/>
        <v>1.5707963267948966</v>
      </c>
      <c r="AJ115" s="98" t="str">
        <f t="shared" si="74"/>
        <v>1+0.000579454827501933i</v>
      </c>
      <c r="AK115" s="98">
        <f t="shared" si="90"/>
        <v>1.0000001678839345</v>
      </c>
      <c r="AL115" s="98">
        <f t="shared" si="91"/>
        <v>5.7945476264783646E-4</v>
      </c>
      <c r="AM115" s="98" t="str">
        <f t="shared" si="75"/>
        <v>1+0.316645724374011i</v>
      </c>
      <c r="AN115" s="98">
        <f t="shared" si="92"/>
        <v>1.0489349430562136</v>
      </c>
      <c r="AO115" s="98">
        <f t="shared" si="93"/>
        <v>0.30665728564556882</v>
      </c>
      <c r="AP115" s="168" t="str">
        <f t="shared" si="94"/>
        <v>-0.356544235300745+1.12827495076856i</v>
      </c>
      <c r="AQ115" s="98">
        <f t="shared" si="95"/>
        <v>1.4616778925564546</v>
      </c>
      <c r="AR115" s="169">
        <f t="shared" si="96"/>
        <v>107.53696791211028</v>
      </c>
      <c r="AS115" s="168" t="str">
        <f t="shared" si="97"/>
        <v>151.78638452252+82.7403330773234i</v>
      </c>
      <c r="AT115" s="190">
        <f t="shared" si="98"/>
        <v>44.754542664378548</v>
      </c>
      <c r="AU115" s="169">
        <f t="shared" si="99"/>
        <v>28.595259651058303</v>
      </c>
      <c r="AV115" s="225"/>
      <c r="AX115">
        <f t="shared" si="100"/>
        <v>0</v>
      </c>
      <c r="AY115">
        <f t="shared" si="101"/>
        <v>0</v>
      </c>
    </row>
    <row r="116" spans="14:51" x14ac:dyDescent="0.2">
      <c r="N116" s="170">
        <v>98</v>
      </c>
      <c r="O116" s="199">
        <f t="shared" si="76"/>
        <v>95.499258602143655</v>
      </c>
      <c r="P116" s="189" t="str">
        <f t="shared" si="67"/>
        <v>771.276595744681</v>
      </c>
      <c r="Q116" s="160" t="str">
        <f t="shared" si="68"/>
        <v>1+5.30434952030053i</v>
      </c>
      <c r="R116" s="160">
        <f t="shared" si="77"/>
        <v>5.3977887911173834</v>
      </c>
      <c r="S116" s="160">
        <f t="shared" si="78"/>
        <v>1.3844588261660802</v>
      </c>
      <c r="T116" s="160" t="str">
        <f t="shared" si="69"/>
        <v>1+0.0000998465792056567i</v>
      </c>
      <c r="U116" s="160">
        <f t="shared" si="79"/>
        <v>1.0000000049846696</v>
      </c>
      <c r="V116" s="160">
        <f t="shared" si="80"/>
        <v>9.9846578873855215E-5</v>
      </c>
      <c r="W116" s="98" t="str">
        <f t="shared" si="70"/>
        <v>1-0.000408026886176962i</v>
      </c>
      <c r="X116" s="160">
        <f t="shared" si="81"/>
        <v>1.0000000832429665</v>
      </c>
      <c r="Y116" s="160">
        <f t="shared" si="82"/>
        <v>-4.0802686353338442E-4</v>
      </c>
      <c r="Z116" s="98" t="str">
        <f t="shared" si="71"/>
        <v>0.999996351956643-0.00279368345882199i</v>
      </c>
      <c r="AA116" s="160">
        <f t="shared" si="83"/>
        <v>1.0000002542968989</v>
      </c>
      <c r="AB116" s="160">
        <f t="shared" si="84"/>
        <v>-2.7936863823687626E-3</v>
      </c>
      <c r="AC116" s="171" t="str">
        <f t="shared" si="85"/>
        <v>26.820402840588-140.347780552153i</v>
      </c>
      <c r="AD116" s="190">
        <f t="shared" si="86"/>
        <v>43.099883874160483</v>
      </c>
      <c r="AE116" s="169">
        <f t="shared" si="87"/>
        <v>-79.181238639599727</v>
      </c>
      <c r="AF116" s="98" t="str">
        <f t="shared" si="72"/>
        <v>-0.0000119284294234592</v>
      </c>
      <c r="AG116" s="98" t="str">
        <f t="shared" si="73"/>
        <v>0.0000108205129976899i</v>
      </c>
      <c r="AH116" s="98">
        <f t="shared" si="88"/>
        <v>1.08205129976899E-5</v>
      </c>
      <c r="AI116" s="98">
        <f t="shared" si="89"/>
        <v>1.5707963267948966</v>
      </c>
      <c r="AJ116" s="98" t="str">
        <f t="shared" si="74"/>
        <v>1+0.000592952064325981i</v>
      </c>
      <c r="AK116" s="98">
        <f t="shared" si="90"/>
        <v>1.0000001757960597</v>
      </c>
      <c r="AL116" s="98">
        <f t="shared" si="91"/>
        <v>5.9295199483356512E-4</v>
      </c>
      <c r="AM116" s="98" t="str">
        <f t="shared" si="75"/>
        <v>1+0.324021350787588i</v>
      </c>
      <c r="AN116" s="98">
        <f t="shared" si="92"/>
        <v>1.0511849674373264</v>
      </c>
      <c r="AO116" s="98">
        <f t="shared" si="93"/>
        <v>0.31334648986257502</v>
      </c>
      <c r="AP116" s="168" t="str">
        <f t="shared" si="94"/>
        <v>-0.356544229658704+1.10260179254102i</v>
      </c>
      <c r="AQ116" s="98">
        <f t="shared" si="95"/>
        <v>1.2802895905583465</v>
      </c>
      <c r="AR116" s="169">
        <f t="shared" si="96"/>
        <v>107.91945774760651</v>
      </c>
      <c r="AS116" s="168" t="str">
        <f t="shared" si="97"/>
        <v>145.185054546024+79.6124155499808i</v>
      </c>
      <c r="AT116" s="190">
        <f t="shared" si="98"/>
        <v>44.380173464718816</v>
      </c>
      <c r="AU116" s="169">
        <f t="shared" si="99"/>
        <v>28.738219108006795</v>
      </c>
      <c r="AV116" s="225"/>
      <c r="AX116">
        <f t="shared" si="100"/>
        <v>0</v>
      </c>
      <c r="AY116">
        <f t="shared" si="101"/>
        <v>0</v>
      </c>
    </row>
    <row r="117" spans="14:51" x14ac:dyDescent="0.2">
      <c r="N117" s="170">
        <v>99</v>
      </c>
      <c r="O117" s="199">
        <f t="shared" si="76"/>
        <v>97.723722095581124</v>
      </c>
      <c r="P117" s="189" t="str">
        <f t="shared" si="67"/>
        <v>771.276595744681</v>
      </c>
      <c r="Q117" s="160" t="str">
        <f t="shared" si="68"/>
        <v>1+5.4279036927313i</v>
      </c>
      <c r="R117" s="160">
        <f t="shared" si="77"/>
        <v>5.519251624773605</v>
      </c>
      <c r="S117" s="160">
        <f t="shared" si="78"/>
        <v>1.3886060987406781</v>
      </c>
      <c r="T117" s="160" t="str">
        <f t="shared" si="69"/>
        <v>1+0.000102172304804354i</v>
      </c>
      <c r="U117" s="160">
        <f t="shared" si="79"/>
        <v>1.0000000052195899</v>
      </c>
      <c r="V117" s="160">
        <f t="shared" si="80"/>
        <v>1.0217230444882231E-4</v>
      </c>
      <c r="W117" s="98" t="str">
        <f t="shared" si="70"/>
        <v>1-0.000417531053287021i</v>
      </c>
      <c r="X117" s="160">
        <f t="shared" si="81"/>
        <v>1.0000000871660863</v>
      </c>
      <c r="Y117" s="160">
        <f t="shared" si="82"/>
        <v>-4.1753102902399058E-4</v>
      </c>
      <c r="Z117" s="98" t="str">
        <f t="shared" si="71"/>
        <v>0.999996180029656-0.0028587567060632i</v>
      </c>
      <c r="AA117" s="160">
        <f t="shared" si="83"/>
        <v>1.0000002662818688</v>
      </c>
      <c r="AB117" s="160">
        <f t="shared" si="84"/>
        <v>-2.8587598386995874E-3</v>
      </c>
      <c r="AC117" s="171" t="str">
        <f t="shared" si="85"/>
        <v>25.6686406467558-137.365246057094i</v>
      </c>
      <c r="AD117" s="190">
        <f t="shared" si="86"/>
        <v>42.906597665649819</v>
      </c>
      <c r="AE117" s="169">
        <f t="shared" si="87"/>
        <v>-79.415542714519049</v>
      </c>
      <c r="AF117" s="98" t="str">
        <f t="shared" si="72"/>
        <v>-0.0000119284294234592</v>
      </c>
      <c r="AG117" s="98" t="str">
        <f t="shared" si="73"/>
        <v>0.0000110725551234189i</v>
      </c>
      <c r="AH117" s="98">
        <f t="shared" si="88"/>
        <v>1.1072555123418901E-5</v>
      </c>
      <c r="AI117" s="98">
        <f t="shared" si="89"/>
        <v>1.5707963267948966</v>
      </c>
      <c r="AJ117" s="98" t="str">
        <f t="shared" si="74"/>
        <v>1+0.000606763692183183i</v>
      </c>
      <c r="AK117" s="98">
        <f t="shared" si="90"/>
        <v>1.0000001840810722</v>
      </c>
      <c r="AL117" s="98">
        <f t="shared" si="91"/>
        <v>6.0676361772071862E-4</v>
      </c>
      <c r="AM117" s="98" t="str">
        <f t="shared" si="75"/>
        <v>1+0.331568777610283i</v>
      </c>
      <c r="AN117" s="98">
        <f t="shared" si="92"/>
        <v>1.0535358818217713</v>
      </c>
      <c r="AO117" s="98">
        <f t="shared" si="93"/>
        <v>0.32016161445048258</v>
      </c>
      <c r="AP117" s="168" t="str">
        <f t="shared" si="94"/>
        <v>-0.356544223750758+1.07751324837821i</v>
      </c>
      <c r="AQ117" s="98">
        <f t="shared" si="95"/>
        <v>1.0996933187633113</v>
      </c>
      <c r="AR117" s="169">
        <f t="shared" si="96"/>
        <v>108.30914427564987</v>
      </c>
      <c r="AS117" s="168" t="str">
        <f t="shared" si="97"/>
        <v>138.860866939117+76.6350853904973i</v>
      </c>
      <c r="AT117" s="190">
        <f t="shared" si="98"/>
        <v>44.006290984413141</v>
      </c>
      <c r="AU117" s="169">
        <f t="shared" si="99"/>
        <v>28.893601561130804</v>
      </c>
      <c r="AV117" s="225"/>
      <c r="AX117">
        <f t="shared" si="100"/>
        <v>0</v>
      </c>
      <c r="AY117">
        <f t="shared" si="101"/>
        <v>0</v>
      </c>
    </row>
    <row r="118" spans="14:51" x14ac:dyDescent="0.2">
      <c r="N118" s="170">
        <v>100</v>
      </c>
      <c r="O118" s="199">
        <f t="shared" si="76"/>
        <v>100</v>
      </c>
      <c r="P118" s="189" t="str">
        <f t="shared" si="67"/>
        <v>771.276595744681</v>
      </c>
      <c r="Q118" s="160" t="str">
        <f t="shared" si="68"/>
        <v>1+5.55433581154677i</v>
      </c>
      <c r="R118" s="160">
        <f t="shared" si="77"/>
        <v>5.6436376839261149</v>
      </c>
      <c r="S118" s="160">
        <f t="shared" si="78"/>
        <v>1.3926651009696882</v>
      </c>
      <c r="T118" s="160" t="str">
        <f t="shared" si="69"/>
        <v>1+0.000104552203511468i</v>
      </c>
      <c r="U118" s="160">
        <f t="shared" si="79"/>
        <v>1.0000000054655815</v>
      </c>
      <c r="V118" s="160">
        <f t="shared" si="80"/>
        <v>1.0455220313050893E-4</v>
      </c>
      <c r="W118" s="98" t="str">
        <f t="shared" si="70"/>
        <v>1-0.000427256600888211i</v>
      </c>
      <c r="X118" s="160">
        <f t="shared" si="81"/>
        <v>1.0000000912740974</v>
      </c>
      <c r="Y118" s="160">
        <f t="shared" si="82"/>
        <v>-4.2725657488990558E-4</v>
      </c>
      <c r="Z118" s="98" t="str">
        <f t="shared" si="71"/>
        <v>0.999996-0.00292534570395009i</v>
      </c>
      <c r="AA118" s="160">
        <f t="shared" si="83"/>
        <v>1.0000002788317051</v>
      </c>
      <c r="AB118" s="160">
        <f t="shared" si="84"/>
        <v>-2.9253490606299835E-3</v>
      </c>
      <c r="AC118" s="171" t="str">
        <f t="shared" si="85"/>
        <v>24.5653845305043-134.437038718383i</v>
      </c>
      <c r="AD118" s="190">
        <f t="shared" si="86"/>
        <v>42.713018983953191</v>
      </c>
      <c r="AE118" s="169">
        <f t="shared" si="87"/>
        <v>-79.644712004479402</v>
      </c>
      <c r="AF118" s="98" t="str">
        <f t="shared" si="72"/>
        <v>-0.0000119284294234592</v>
      </c>
      <c r="AG118" s="98" t="str">
        <f t="shared" si="73"/>
        <v>0.000011330468064437i</v>
      </c>
      <c r="AH118" s="98">
        <f t="shared" si="88"/>
        <v>1.1330468064437E-5</v>
      </c>
      <c r="AI118" s="98">
        <f t="shared" si="89"/>
        <v>1.5707963267948966</v>
      </c>
      <c r="AJ118" s="98" t="str">
        <f t="shared" si="74"/>
        <v>1+0.000620897034181448i</v>
      </c>
      <c r="AK118" s="98">
        <f t="shared" si="90"/>
        <v>1.0000001927565449</v>
      </c>
      <c r="AL118" s="98">
        <f t="shared" si="91"/>
        <v>6.2089695439348071E-4</v>
      </c>
      <c r="AM118" s="98" t="str">
        <f t="shared" si="75"/>
        <v>1+0.339292006587698i</v>
      </c>
      <c r="AN118" s="98">
        <f t="shared" si="92"/>
        <v>1.0559919818513333</v>
      </c>
      <c r="AO118" s="98">
        <f t="shared" si="93"/>
        <v>0.32710373973420082</v>
      </c>
      <c r="AP118" s="168" t="str">
        <f t="shared" si="94"/>
        <v>-0.356544217564376+1.05299601600193i</v>
      </c>
      <c r="AQ118" s="98">
        <f t="shared" si="95"/>
        <v>0.91991902359795386</v>
      </c>
      <c r="AR118" s="169">
        <f t="shared" si="96"/>
        <v>108.70608897471611</v>
      </c>
      <c r="AS118" s="168" t="str">
        <f t="shared" si="97"/>
        <v>132.803020366958+73.8000008236941i</v>
      </c>
      <c r="AT118" s="190">
        <f t="shared" si="98"/>
        <v>43.632938007551154</v>
      </c>
      <c r="AU118" s="169">
        <f t="shared" si="99"/>
        <v>29.061376970236687</v>
      </c>
      <c r="AV118" s="225"/>
      <c r="AX118">
        <f t="shared" si="100"/>
        <v>0</v>
      </c>
      <c r="AY118">
        <f t="shared" si="101"/>
        <v>0</v>
      </c>
    </row>
    <row r="119" spans="14:51" x14ac:dyDescent="0.2">
      <c r="N119" s="170">
        <v>1</v>
      </c>
      <c r="O119" s="199">
        <f>10^(2+(N119/100))</f>
        <v>102.32929922807544</v>
      </c>
      <c r="P119" s="189" t="str">
        <f t="shared" si="67"/>
        <v>771.276595744681</v>
      </c>
      <c r="Q119" s="160" t="str">
        <f t="shared" si="68"/>
        <v>1+5.68371291272985i</v>
      </c>
      <c r="R119" s="160">
        <f t="shared" si="77"/>
        <v>5.7710131237359041</v>
      </c>
      <c r="S119" s="160">
        <f t="shared" si="78"/>
        <v>1.3966374497338727</v>
      </c>
      <c r="T119" s="160" t="str">
        <f t="shared" si="69"/>
        <v>1+0.000106987537180797i</v>
      </c>
      <c r="U119" s="160">
        <f t="shared" si="79"/>
        <v>1.0000000057231666</v>
      </c>
      <c r="V119" s="160">
        <f t="shared" si="80"/>
        <v>1.06987536772592E-4</v>
      </c>
      <c r="W119" s="98" t="str">
        <f t="shared" si="70"/>
        <v>1-0.000437208685594602i</v>
      </c>
      <c r="X119" s="160">
        <f t="shared" si="81"/>
        <v>1.0000000955757127</v>
      </c>
      <c r="Y119" s="160">
        <f t="shared" si="82"/>
        <v>-4.37208657736916E-4</v>
      </c>
      <c r="Z119" s="98" t="str">
        <f t="shared" si="71"/>
        <v>0.999995811485808-0.00299348575885073i</v>
      </c>
      <c r="AA119" s="160">
        <f t="shared" si="83"/>
        <v>1.0000002919730313</v>
      </c>
      <c r="AB119" s="160">
        <f t="shared" si="84"/>
        <v>-2.9934893555975074E-3</v>
      </c>
      <c r="AC119" s="171" t="str">
        <f t="shared" si="85"/>
        <v>23.508731000459-131.562764311611i</v>
      </c>
      <c r="AD119" s="190">
        <f t="shared" si="86"/>
        <v>42.519160164662452</v>
      </c>
      <c r="AE119" s="169">
        <f t="shared" si="87"/>
        <v>-79.868837350109814</v>
      </c>
      <c r="AF119" s="98" t="str">
        <f t="shared" si="72"/>
        <v>-0.0000119284294234592</v>
      </c>
      <c r="AG119" s="98" t="str">
        <f t="shared" si="73"/>
        <v>0.0000115943885695992i</v>
      </c>
      <c r="AH119" s="98">
        <f t="shared" si="88"/>
        <v>1.15943885695992E-5</v>
      </c>
      <c r="AI119" s="98">
        <f t="shared" si="89"/>
        <v>1.5707963267948966</v>
      </c>
      <c r="AJ119" s="98" t="str">
        <f t="shared" si="74"/>
        <v>1+0.000635359584005779i</v>
      </c>
      <c r="AK119" s="98">
        <f t="shared" si="90"/>
        <v>1.0000002018408802</v>
      </c>
      <c r="AL119" s="98">
        <f t="shared" si="91"/>
        <v>6.3535949851143271E-4</v>
      </c>
      <c r="AM119" s="98" t="str">
        <f t="shared" si="75"/>
        <v>1+0.347195132678067i</v>
      </c>
      <c r="AN119" s="98">
        <f t="shared" si="92"/>
        <v>1.0585577264161556</v>
      </c>
      <c r="AO119" s="98">
        <f t="shared" si="93"/>
        <v>0.33417386912766861</v>
      </c>
      <c r="AP119" s="168" t="str">
        <f t="shared" si="94"/>
        <v>-0.356544211086446+1.02903709605103i</v>
      </c>
      <c r="AQ119" s="98">
        <f t="shared" si="95"/>
        <v>0.74099746082228679</v>
      </c>
      <c r="AR119" s="169">
        <f t="shared" si="96"/>
        <v>109.11034890683429</v>
      </c>
      <c r="AS119" s="168" t="str">
        <f t="shared" si="97"/>
        <v>127.001062987464+71.0992982903925i</v>
      </c>
      <c r="AT119" s="190">
        <f t="shared" si="98"/>
        <v>43.26015762548473</v>
      </c>
      <c r="AU119" s="169">
        <f t="shared" si="99"/>
        <v>29.241511556724497</v>
      </c>
      <c r="AV119" s="225"/>
      <c r="AX119">
        <f t="shared" si="100"/>
        <v>0</v>
      </c>
      <c r="AY119">
        <f t="shared" si="101"/>
        <v>0</v>
      </c>
    </row>
    <row r="120" spans="14:51" x14ac:dyDescent="0.2">
      <c r="N120" s="170">
        <v>2</v>
      </c>
      <c r="O120" s="199">
        <f t="shared" ref="O120:O183" si="102">10^(2+(N120/100))</f>
        <v>104.71285480508998</v>
      </c>
      <c r="P120" s="189" t="str">
        <f t="shared" si="67"/>
        <v>771.276595744681</v>
      </c>
      <c r="Q120" s="160" t="str">
        <f t="shared" si="68"/>
        <v>1+5.81610359373209i</v>
      </c>
      <c r="R120" s="160">
        <f t="shared" si="77"/>
        <v>5.9014456714455434</v>
      </c>
      <c r="S120" s="160">
        <f t="shared" si="78"/>
        <v>1.4005247495214797</v>
      </c>
      <c r="T120" s="160" t="str">
        <f t="shared" si="69"/>
        <v>1+0.000109479597058486i</v>
      </c>
      <c r="U120" s="160">
        <f t="shared" si="79"/>
        <v>1.0000000059928911</v>
      </c>
      <c r="V120" s="160">
        <f t="shared" si="80"/>
        <v>1.0947959662108647E-4</v>
      </c>
      <c r="W120" s="98" t="str">
        <f t="shared" si="70"/>
        <v>1-0.000447392584133236i</v>
      </c>
      <c r="X120" s="160">
        <f t="shared" si="81"/>
        <v>1.0000001000800571</v>
      </c>
      <c r="Y120" s="160">
        <f t="shared" si="82"/>
        <v>-4.4739255428318783E-4</v>
      </c>
      <c r="Z120" s="98" t="str">
        <f t="shared" si="71"/>
        <v>0.999995614087215-0.00306321299952419i</v>
      </c>
      <c r="AA120" s="160">
        <f t="shared" si="83"/>
        <v>1.0000003057337266</v>
      </c>
      <c r="AB120" s="160">
        <f t="shared" si="84"/>
        <v>-3.063216853507206E-3</v>
      </c>
      <c r="AC120" s="171" t="str">
        <f t="shared" si="85"/>
        <v>22.4968393068452-128.741987850656i</v>
      </c>
      <c r="AD120" s="190">
        <f t="shared" si="86"/>
        <v>42.325033057695563</v>
      </c>
      <c r="AE120" s="169">
        <f t="shared" si="87"/>
        <v>-80.088008840075133</v>
      </c>
      <c r="AF120" s="98" t="str">
        <f t="shared" si="72"/>
        <v>-0.0000119284294234592</v>
      </c>
      <c r="AG120" s="98" t="str">
        <f t="shared" si="73"/>
        <v>0.000011864456573051i</v>
      </c>
      <c r="AH120" s="98">
        <f t="shared" si="88"/>
        <v>1.1864456573051E-5</v>
      </c>
      <c r="AI120" s="98">
        <f t="shared" si="89"/>
        <v>1.5707963267948966</v>
      </c>
      <c r="AJ120" s="98" t="str">
        <f t="shared" si="74"/>
        <v>1+0.000650159009891529i</v>
      </c>
      <c r="AK120" s="98">
        <f t="shared" si="90"/>
        <v>1.0000002113533466</v>
      </c>
      <c r="AL120" s="98">
        <f t="shared" si="91"/>
        <v>6.5015891828268748E-4</v>
      </c>
      <c r="AM120" s="98" t="str">
        <f t="shared" si="75"/>
        <v>1+0.355282346223453i</v>
      </c>
      <c r="AN120" s="98">
        <f t="shared" si="92"/>
        <v>1.0612377422321737</v>
      </c>
      <c r="AO120" s="98">
        <f t="shared" si="93"/>
        <v>0.34137292308871214</v>
      </c>
      <c r="AP120" s="168" t="str">
        <f t="shared" si="94"/>
        <v>-0.356544204303216+1.00562378518898i</v>
      </c>
      <c r="AQ120" s="98">
        <f t="shared" si="95"/>
        <v>0.56296018956663352</v>
      </c>
      <c r="AR120" s="169">
        <f t="shared" si="96"/>
        <v>109.52197637099678</v>
      </c>
      <c r="AS120" s="168" t="str">
        <f t="shared" si="97"/>
        <v>121.444887465134+68.5255663171643i</v>
      </c>
      <c r="AT120" s="190">
        <f t="shared" si="98"/>
        <v>42.887993247262209</v>
      </c>
      <c r="AU120" s="169">
        <f t="shared" si="99"/>
        <v>29.433967530921642</v>
      </c>
      <c r="AV120" s="225"/>
      <c r="AX120">
        <f t="shared" si="100"/>
        <v>0</v>
      </c>
      <c r="AY120">
        <f t="shared" si="101"/>
        <v>0</v>
      </c>
    </row>
    <row r="121" spans="14:51" x14ac:dyDescent="0.2">
      <c r="N121" s="170">
        <v>3</v>
      </c>
      <c r="O121" s="199">
        <f t="shared" si="102"/>
        <v>107.15193052376065</v>
      </c>
      <c r="P121" s="189" t="str">
        <f t="shared" si="67"/>
        <v>771.276595744681</v>
      </c>
      <c r="Q121" s="160" t="str">
        <f t="shared" si="68"/>
        <v>1+5.95157804984496i</v>
      </c>
      <c r="R121" s="160">
        <f t="shared" si="77"/>
        <v>6.0350046630799161</v>
      </c>
      <c r="S121" s="160">
        <f t="shared" si="78"/>
        <v>1.4043285912648757</v>
      </c>
      <c r="T121" s="160" t="str">
        <f t="shared" si="69"/>
        <v>1+0.000112029704467669i</v>
      </c>
      <c r="U121" s="160">
        <f t="shared" si="79"/>
        <v>1.0000000062753274</v>
      </c>
      <c r="V121" s="160">
        <f t="shared" si="80"/>
        <v>1.1202970399898695E-4</v>
      </c>
      <c r="W121" s="98" t="str">
        <f t="shared" si="70"/>
        <v>1-0.000457813696141918i</v>
      </c>
      <c r="X121" s="160">
        <f t="shared" si="81"/>
        <v>1.0000001047966847</v>
      </c>
      <c r="Y121" s="160">
        <f t="shared" si="82"/>
        <v>-4.578136641570153E-4</v>
      </c>
      <c r="Z121" s="98" t="str">
        <f t="shared" si="71"/>
        <v>0.999995407385514-0.00313456439627641i</v>
      </c>
      <c r="AA121" s="160">
        <f t="shared" si="83"/>
        <v>1.0000003201429861</v>
      </c>
      <c r="AB121" s="160">
        <f t="shared" si="84"/>
        <v>-3.1345685258929458E-3</v>
      </c>
      <c r="AC121" s="171" t="str">
        <f t="shared" si="85"/>
        <v>21.5279304300681-125.974237177822i</v>
      </c>
      <c r="AD121" s="190">
        <f t="shared" si="86"/>
        <v>42.130649043444073</v>
      </c>
      <c r="AE121" s="169">
        <f t="shared" si="87"/>
        <v>-80.302315743441966</v>
      </c>
      <c r="AF121" s="98" t="str">
        <f t="shared" si="72"/>
        <v>-0.0000119284294234592</v>
      </c>
      <c r="AG121" s="98" t="str">
        <f t="shared" si="73"/>
        <v>0.0000121408152684224i</v>
      </c>
      <c r="AH121" s="98">
        <f t="shared" si="88"/>
        <v>1.21408152684224E-5</v>
      </c>
      <c r="AI121" s="98">
        <f t="shared" si="89"/>
        <v>1.5707963267948966</v>
      </c>
      <c r="AJ121" s="98" t="str">
        <f t="shared" si="74"/>
        <v>1+0.000665303158690195i</v>
      </c>
      <c r="AK121" s="98">
        <f t="shared" si="90"/>
        <v>1.0000002213141219</v>
      </c>
      <c r="AL121" s="98">
        <f t="shared" si="91"/>
        <v>6.6530306052955393E-4</v>
      </c>
      <c r="AM121" s="98" t="str">
        <f t="shared" si="75"/>
        <v>1+0.363557935171524i</v>
      </c>
      <c r="AN121" s="98">
        <f t="shared" si="92"/>
        <v>1.0640368284162829</v>
      </c>
      <c r="AO121" s="98">
        <f t="shared" si="93"/>
        <v>0.34870173290307988</v>
      </c>
      <c r="AP121" s="168" t="str">
        <f t="shared" si="94"/>
        <v>-0.356544197200305+0.982743669368424i</v>
      </c>
      <c r="AQ121" s="98">
        <f t="shared" si="95"/>
        <v>0.38583956349653215</v>
      </c>
      <c r="AR121" s="169">
        <f t="shared" si="96"/>
        <v>109.94101854677911</v>
      </c>
      <c r="AS121" s="168" t="str">
        <f t="shared" si="97"/>
        <v>116.124725417448+66.0718206072406i</v>
      </c>
      <c r="AT121" s="190">
        <f t="shared" si="98"/>
        <v>42.516488606940584</v>
      </c>
      <c r="AU121" s="169">
        <f t="shared" si="99"/>
        <v>29.638702803337182</v>
      </c>
      <c r="AV121" s="225"/>
      <c r="AX121">
        <f t="shared" si="100"/>
        <v>0</v>
      </c>
      <c r="AY121">
        <f t="shared" si="101"/>
        <v>0</v>
      </c>
    </row>
    <row r="122" spans="14:51" x14ac:dyDescent="0.2">
      <c r="N122" s="170">
        <v>4</v>
      </c>
      <c r="O122" s="199">
        <f t="shared" si="102"/>
        <v>109.64781961431861</v>
      </c>
      <c r="P122" s="189" t="str">
        <f t="shared" si="67"/>
        <v>771.276595744681</v>
      </c>
      <c r="Q122" s="160" t="str">
        <f t="shared" si="68"/>
        <v>1+6.0902081114183i</v>
      </c>
      <c r="R122" s="160">
        <f t="shared" si="77"/>
        <v>6.171761080954548</v>
      </c>
      <c r="S122" s="160">
        <f t="shared" si="78"/>
        <v>1.4080505512814854</v>
      </c>
      <c r="T122" s="160" t="str">
        <f t="shared" si="69"/>
        <v>1+0.00011463921150905i</v>
      </c>
      <c r="U122" s="160">
        <f t="shared" si="79"/>
        <v>1.0000000065710744</v>
      </c>
      <c r="V122" s="160">
        <f t="shared" si="80"/>
        <v>1.1463921100684815E-4</v>
      </c>
      <c r="W122" s="98" t="str">
        <f t="shared" si="70"/>
        <v>1-0.000468477547032175i</v>
      </c>
      <c r="X122" s="160">
        <f t="shared" si="81"/>
        <v>1.0000001097355999</v>
      </c>
      <c r="Y122" s="160">
        <f t="shared" si="82"/>
        <v>-4.6847751275973449E-4</v>
      </c>
      <c r="Z122" s="98" t="str">
        <f t="shared" si="71"/>
        <v>0.999995190942262-0.00320757778056241i</v>
      </c>
      <c r="AA122" s="160">
        <f t="shared" si="83"/>
        <v>1.0000003352313784</v>
      </c>
      <c r="AB122" s="160">
        <f t="shared" si="84"/>
        <v>-3.2075822055255021E-3</v>
      </c>
      <c r="AC122" s="171" t="str">
        <f t="shared" si="85"/>
        <v>20.6002859800215-123.259006359163i</v>
      </c>
      <c r="AD122" s="190">
        <f t="shared" si="86"/>
        <v>41.936019048646529</v>
      </c>
      <c r="AE122" s="169">
        <f t="shared" si="87"/>
        <v>-80.511846448000568</v>
      </c>
      <c r="AF122" s="98" t="str">
        <f t="shared" si="72"/>
        <v>-0.0000119284294234592</v>
      </c>
      <c r="AG122" s="98" t="str">
        <f t="shared" si="73"/>
        <v>0.0000124236111847518i</v>
      </c>
      <c r="AH122" s="98">
        <f t="shared" si="88"/>
        <v>1.24236111847518E-5</v>
      </c>
      <c r="AI122" s="98">
        <f t="shared" si="89"/>
        <v>1.5707963267948966</v>
      </c>
      <c r="AJ122" s="98" t="str">
        <f t="shared" si="74"/>
        <v>1+0.000680800060029927i</v>
      </c>
      <c r="AK122" s="98">
        <f t="shared" si="90"/>
        <v>1.0000002317443342</v>
      </c>
      <c r="AL122" s="98">
        <f t="shared" si="91"/>
        <v>6.8079995484890638E-4</v>
      </c>
      <c r="AM122" s="98" t="str">
        <f t="shared" si="75"/>
        <v>1+0.372026287349081i</v>
      </c>
      <c r="AN122" s="98">
        <f t="shared" si="92"/>
        <v>1.066959961047621</v>
      </c>
      <c r="AO122" s="98">
        <f t="shared" si="93"/>
        <v>0.35616103431161139</v>
      </c>
      <c r="AP122" s="168" t="str">
        <f t="shared" si="94"/>
        <v>-0.356544189762644+0.960384617249076i</v>
      </c>
      <c r="AQ122" s="98">
        <f t="shared" si="95"/>
        <v>0.20966871889840286</v>
      </c>
      <c r="AR122" s="169">
        <f t="shared" si="96"/>
        <v>110.3675171289639</v>
      </c>
      <c r="AS122" s="168" t="str">
        <f t="shared" si="97"/>
        <v>111.031141371121+63.7314803194208i</v>
      </c>
      <c r="AT122" s="190">
        <f t="shared" si="98"/>
        <v>42.145687767544942</v>
      </c>
      <c r="AU122" s="169">
        <f t="shared" si="99"/>
        <v>29.855670680963261</v>
      </c>
      <c r="AV122" s="225"/>
      <c r="AX122">
        <f t="shared" si="100"/>
        <v>0</v>
      </c>
      <c r="AY122">
        <f t="shared" si="101"/>
        <v>0</v>
      </c>
    </row>
    <row r="123" spans="14:51" x14ac:dyDescent="0.2">
      <c r="N123" s="170">
        <v>5</v>
      </c>
      <c r="O123" s="199">
        <f t="shared" si="102"/>
        <v>112.20184543019634</v>
      </c>
      <c r="P123" s="189" t="str">
        <f t="shared" si="67"/>
        <v>771.276595744681</v>
      </c>
      <c r="Q123" s="160" t="str">
        <f t="shared" si="68"/>
        <v>1+6.23206728194575i</v>
      </c>
      <c r="R123" s="160">
        <f t="shared" si="77"/>
        <v>6.3117875920137463</v>
      </c>
      <c r="S123" s="160">
        <f t="shared" si="78"/>
        <v>1.4116921903133077</v>
      </c>
      <c r="T123" s="160" t="str">
        <f t="shared" si="69"/>
        <v>1+0.000117309501777802i</v>
      </c>
      <c r="U123" s="160">
        <f t="shared" si="79"/>
        <v>1.0000000068807595</v>
      </c>
      <c r="V123" s="160">
        <f t="shared" si="80"/>
        <v>1.1730950123968302E-4</v>
      </c>
      <c r="W123" s="98" t="str">
        <f t="shared" si="70"/>
        <v>1-0.000479389790918902i</v>
      </c>
      <c r="X123" s="160">
        <f t="shared" si="81"/>
        <v>1.0000001149072792</v>
      </c>
      <c r="Y123" s="160">
        <f t="shared" si="82"/>
        <v>-4.7938975419532055E-4</v>
      </c>
      <c r="Z123" s="98" t="str">
        <f t="shared" si="71"/>
        <v>0.999994964298353-0.00328229186504497i</v>
      </c>
      <c r="AA123" s="160">
        <f t="shared" si="83"/>
        <v>1.0000003510309143</v>
      </c>
      <c r="AB123" s="160">
        <f t="shared" si="84"/>
        <v>-3.2822966064775094E-3</v>
      </c>
      <c r="AC123" s="171" t="str">
        <f t="shared" si="85"/>
        <v>19.7122470191101-120.595758890901i</v>
      </c>
      <c r="AD123" s="190">
        <f t="shared" si="86"/>
        <v>41.741153561966371</v>
      </c>
      <c r="AE123" s="169">
        <f t="shared" si="87"/>
        <v>-80.716688404209592</v>
      </c>
      <c r="AF123" s="98" t="str">
        <f t="shared" si="72"/>
        <v>-0.0000119284294234592</v>
      </c>
      <c r="AG123" s="98" t="str">
        <f t="shared" si="73"/>
        <v>0.0000127129942641773i</v>
      </c>
      <c r="AH123" s="98">
        <f t="shared" si="88"/>
        <v>1.27129942641773E-5</v>
      </c>
      <c r="AI123" s="98">
        <f t="shared" si="89"/>
        <v>1.5707963267948966</v>
      </c>
      <c r="AJ123" s="98" t="str">
        <f t="shared" si="74"/>
        <v>1+0.000696657930572941i</v>
      </c>
      <c r="AK123" s="98">
        <f t="shared" si="90"/>
        <v>1.0000002426661065</v>
      </c>
      <c r="AL123" s="98">
        <f t="shared" si="91"/>
        <v>6.9665781786944832E-4</v>
      </c>
      <c r="AM123" s="98" t="str">
        <f t="shared" si="75"/>
        <v>1+0.380691892788541i</v>
      </c>
      <c r="AN123" s="98">
        <f t="shared" si="92"/>
        <v>1.0700122977026583</v>
      </c>
      <c r="AO123" s="98">
        <f t="shared" si="93"/>
        <v>0.36375146099690564</v>
      </c>
      <c r="AP123" s="168" t="str">
        <f t="shared" si="94"/>
        <v>-0.356544181974457+0.938534773765508i</v>
      </c>
      <c r="AQ123" s="98">
        <f t="shared" si="95"/>
        <v>3.4481559479708886E-2</v>
      </c>
      <c r="AR123" s="169">
        <f t="shared" si="96"/>
        <v>110.80150795411154</v>
      </c>
      <c r="AS123" s="168" t="str">
        <f t="shared" si="97"/>
        <v>106.155026299444+61.4983454998355i</v>
      </c>
      <c r="AT123" s="190">
        <f t="shared" si="98"/>
        <v>41.775635121446058</v>
      </c>
      <c r="AU123" s="169">
        <f t="shared" si="99"/>
        <v>30.084819549902079</v>
      </c>
      <c r="AV123" s="225"/>
      <c r="AX123">
        <f t="shared" si="100"/>
        <v>0</v>
      </c>
      <c r="AY123">
        <f t="shared" si="101"/>
        <v>0</v>
      </c>
    </row>
    <row r="124" spans="14:51" x14ac:dyDescent="0.2">
      <c r="N124" s="170">
        <v>6</v>
      </c>
      <c r="O124" s="199">
        <f t="shared" si="102"/>
        <v>114.81536214968835</v>
      </c>
      <c r="P124" s="189" t="str">
        <f t="shared" si="67"/>
        <v>771.276595744681</v>
      </c>
      <c r="Q124" s="160" t="str">
        <f t="shared" si="68"/>
        <v>1+6.37723077703726i</v>
      </c>
      <c r="R124" s="160">
        <f t="shared" si="77"/>
        <v>6.4551585870210229</v>
      </c>
      <c r="S124" s="160">
        <f t="shared" si="78"/>
        <v>1.4152550526594589</v>
      </c>
      <c r="T124" s="160" t="str">
        <f t="shared" si="69"/>
        <v>1+0.000120041991097172i</v>
      </c>
      <c r="U124" s="160">
        <f t="shared" si="79"/>
        <v>1.0000000072050397</v>
      </c>
      <c r="V124" s="160">
        <f t="shared" si="80"/>
        <v>1.2004199052056712E-4</v>
      </c>
      <c r="W124" s="98" t="str">
        <f t="shared" si="70"/>
        <v>1-0.000490556213618248i</v>
      </c>
      <c r="X124" s="160">
        <f t="shared" si="81"/>
        <v>1.000000120322692</v>
      </c>
      <c r="Y124" s="160">
        <f t="shared" si="82"/>
        <v>-4.9055617426822188E-4</v>
      </c>
      <c r="Z124" s="98" t="str">
        <f t="shared" si="71"/>
        <v>0.999994726973046-0.00335874626412064i</v>
      </c>
      <c r="AA124" s="160">
        <f t="shared" si="83"/>
        <v>1.0000003675751143</v>
      </c>
      <c r="AB124" s="160">
        <f t="shared" si="84"/>
        <v>-3.3587513446561995E-3</v>
      </c>
      <c r="AC124" s="171" t="str">
        <f t="shared" si="85"/>
        <v>18.8622128209142-117.983930723144i</v>
      </c>
      <c r="AD124" s="190">
        <f t="shared" si="86"/>
        <v>41.546062649255447</v>
      </c>
      <c r="AE124" s="169">
        <f t="shared" si="87"/>
        <v>-80.916928074447796</v>
      </c>
      <c r="AF124" s="98" t="str">
        <f t="shared" si="72"/>
        <v>-0.0000119284294234592</v>
      </c>
      <c r="AG124" s="98" t="str">
        <f t="shared" si="73"/>
        <v>0.0000130091179414381i</v>
      </c>
      <c r="AH124" s="98">
        <f t="shared" si="88"/>
        <v>1.30091179414381E-5</v>
      </c>
      <c r="AI124" s="98">
        <f t="shared" si="89"/>
        <v>1.5707963267948966</v>
      </c>
      <c r="AJ124" s="98" t="str">
        <f t="shared" si="74"/>
        <v>1+0.000712885178372103i</v>
      </c>
      <c r="AK124" s="98">
        <f t="shared" si="90"/>
        <v>1.0000002541026065</v>
      </c>
      <c r="AL124" s="98">
        <f t="shared" si="91"/>
        <v>7.1288505760813648E-4</v>
      </c>
      <c r="AM124" s="98" t="str">
        <f t="shared" si="75"/>
        <v>1+0.38955934610861i</v>
      </c>
      <c r="AN124" s="98">
        <f t="shared" si="92"/>
        <v>1.0731991819511268</v>
      </c>
      <c r="AO124" s="98">
        <f t="shared" si="93"/>
        <v>0.37147353794839055</v>
      </c>
      <c r="AP124" s="168" t="str">
        <f t="shared" si="94"/>
        <v>-0.356544173819223+0.917182553841451i</v>
      </c>
      <c r="AQ124" s="98">
        <f t="shared" si="95"/>
        <v>-0.13968726232200288</v>
      </c>
      <c r="AR124" s="169">
        <f t="shared" si="96"/>
        <v>111.24302062015673</v>
      </c>
      <c r="AS124" s="168" t="str">
        <f t="shared" si="97"/>
        <v>101.487590806271+59.3665756298149i</v>
      </c>
      <c r="AT124" s="190">
        <f t="shared" si="98"/>
        <v>41.406375386933462</v>
      </c>
      <c r="AU124" s="169">
        <f t="shared" si="99"/>
        <v>30.326092545708907</v>
      </c>
      <c r="AV124" s="225"/>
      <c r="AX124">
        <f t="shared" si="100"/>
        <v>0</v>
      </c>
      <c r="AY124">
        <f t="shared" si="101"/>
        <v>0</v>
      </c>
    </row>
    <row r="125" spans="14:51" x14ac:dyDescent="0.2">
      <c r="N125" s="170">
        <v>7</v>
      </c>
      <c r="O125" s="199">
        <f t="shared" si="102"/>
        <v>117.48975549395293</v>
      </c>
      <c r="P125" s="189" t="str">
        <f t="shared" si="67"/>
        <v>771.276595744681</v>
      </c>
      <c r="Q125" s="160" t="str">
        <f t="shared" si="68"/>
        <v>1+6.52577556429937i</v>
      </c>
      <c r="R125" s="160">
        <f t="shared" si="77"/>
        <v>6.601950220624718</v>
      </c>
      <c r="S125" s="160">
        <f t="shared" si="78"/>
        <v>1.418740665396377</v>
      </c>
      <c r="T125" s="160" t="str">
        <f t="shared" si="69"/>
        <v>1+0.000122838128269164i</v>
      </c>
      <c r="U125" s="160">
        <f t="shared" si="79"/>
        <v>1.0000000075446027</v>
      </c>
      <c r="V125" s="160">
        <f t="shared" si="80"/>
        <v>1.2283812765132075E-4</v>
      </c>
      <c r="W125" s="98" t="str">
        <f t="shared" si="70"/>
        <v>1-0.000501982735715334i</v>
      </c>
      <c r="X125" s="160">
        <f t="shared" si="81"/>
        <v>1.0000001259933256</v>
      </c>
      <c r="Y125" s="160">
        <f t="shared" si="82"/>
        <v>-5.0198269355102162E-4</v>
      </c>
      <c r="Z125" s="98" t="str">
        <f t="shared" si="71"/>
        <v>0.999994478462942-0.00343698151492381i</v>
      </c>
      <c r="AA125" s="160">
        <f t="shared" si="83"/>
        <v>1.0000003848990786</v>
      </c>
      <c r="AB125" s="160">
        <f t="shared" si="84"/>
        <v>-3.436986958814686E-3</v>
      </c>
      <c r="AC125" s="171" t="str">
        <f t="shared" si="85"/>
        <v>18.0486395754415-115.422933107346i</v>
      </c>
      <c r="AD125" s="190">
        <f t="shared" si="86"/>
        <v>41.35075596848867</v>
      </c>
      <c r="AE125" s="169">
        <f t="shared" si="87"/>
        <v>-81.112650887264323</v>
      </c>
      <c r="AF125" s="98" t="str">
        <f t="shared" si="72"/>
        <v>-0.0000119284294234592</v>
      </c>
      <c r="AG125" s="98" t="str">
        <f t="shared" si="73"/>
        <v>0.0000133121392252274i</v>
      </c>
      <c r="AH125" s="98">
        <f t="shared" si="88"/>
        <v>1.33121392252274E-5</v>
      </c>
      <c r="AI125" s="98">
        <f t="shared" si="89"/>
        <v>1.5707963267948966</v>
      </c>
      <c r="AJ125" s="98" t="str">
        <f t="shared" si="74"/>
        <v>1+0.000729490407328988i</v>
      </c>
      <c r="AK125" s="98">
        <f t="shared" si="90"/>
        <v>1.0000002660780918</v>
      </c>
      <c r="AL125" s="98">
        <f t="shared" si="91"/>
        <v>7.2949027792806843E-4</v>
      </c>
      <c r="AM125" s="98" t="str">
        <f t="shared" si="75"/>
        <v>1+0.398633348950413i</v>
      </c>
      <c r="AN125" s="98">
        <f t="shared" si="92"/>
        <v>1.076526147799217</v>
      </c>
      <c r="AO125" s="98">
        <f t="shared" si="93"/>
        <v>0.37932767472735318</v>
      </c>
      <c r="AP125" s="168" t="str">
        <f t="shared" si="94"/>
        <v>-0.356544165279646+0.896316636247246i</v>
      </c>
      <c r="AQ125" s="98">
        <f t="shared" si="95"/>
        <v>-0.31280236772378189</v>
      </c>
      <c r="AR125" s="169">
        <f t="shared" si="96"/>
        <v>111.69207810026748</v>
      </c>
      <c r="AS125" s="168" t="str">
        <f t="shared" si="97"/>
        <v>97.0203580167083+57.3306692519857i</v>
      </c>
      <c r="AT125" s="190">
        <f t="shared" si="98"/>
        <v>41.037953600764894</v>
      </c>
      <c r="AU125" s="169">
        <f t="shared" si="99"/>
        <v>30.579427213003132</v>
      </c>
      <c r="AV125" s="225"/>
      <c r="AX125">
        <f t="shared" si="100"/>
        <v>0</v>
      </c>
      <c r="AY125">
        <f t="shared" si="101"/>
        <v>0</v>
      </c>
    </row>
    <row r="126" spans="14:51" x14ac:dyDescent="0.2">
      <c r="N126" s="170">
        <v>8</v>
      </c>
      <c r="O126" s="199">
        <f t="shared" si="102"/>
        <v>120.22644346174135</v>
      </c>
      <c r="P126" s="189" t="str">
        <f t="shared" si="67"/>
        <v>771.276595744681</v>
      </c>
      <c r="Q126" s="160" t="str">
        <f t="shared" si="68"/>
        <v>1+6.67778040414454i</v>
      </c>
      <c r="R126" s="160">
        <f t="shared" si="77"/>
        <v>6.7522404523222388</v>
      </c>
      <c r="S126" s="160">
        <f t="shared" si="78"/>
        <v>1.4221505376805295</v>
      </c>
      <c r="T126" s="160" t="str">
        <f t="shared" si="69"/>
        <v>1+0.00012569939584272i</v>
      </c>
      <c r="U126" s="160">
        <f t="shared" si="79"/>
        <v>1.000000007900169</v>
      </c>
      <c r="V126" s="160">
        <f t="shared" si="80"/>
        <v>1.2569939518068901E-4</v>
      </c>
      <c r="W126" s="98" t="str">
        <f t="shared" si="70"/>
        <v>1-0.000513675415703424i</v>
      </c>
      <c r="X126" s="160">
        <f t="shared" si="81"/>
        <v>1.0000001319312077</v>
      </c>
      <c r="Y126" s="160">
        <f t="shared" si="82"/>
        <v>-5.1367537052354956E-4</v>
      </c>
      <c r="Z126" s="98" t="str">
        <f t="shared" si="71"/>
        <v>0.999994218240917-0.00351703909882003i</v>
      </c>
      <c r="AA126" s="160">
        <f t="shared" si="83"/>
        <v>1.0000004030395615</v>
      </c>
      <c r="AB126" s="160">
        <f t="shared" si="84"/>
        <v>-3.517044932053015E-3</v>
      </c>
      <c r="AC126" s="171" t="str">
        <f t="shared" si="85"/>
        <v>17.2700390509717-112.912155274084i</v>
      </c>
      <c r="AD126" s="190">
        <f t="shared" si="86"/>
        <v>41.15524278435678</v>
      </c>
      <c r="AE126" s="169">
        <f t="shared" si="87"/>
        <v>-81.303941196330143</v>
      </c>
      <c r="AF126" s="98" t="str">
        <f t="shared" si="72"/>
        <v>-0.0000119284294234592</v>
      </c>
      <c r="AG126" s="98" t="str">
        <f t="shared" si="73"/>
        <v>0.0000136222187814409i</v>
      </c>
      <c r="AH126" s="98">
        <f t="shared" si="88"/>
        <v>1.36222187814409E-5</v>
      </c>
      <c r="AI126" s="98">
        <f t="shared" si="89"/>
        <v>1.5707963267948966</v>
      </c>
      <c r="AJ126" s="98" t="str">
        <f t="shared" si="74"/>
        <v>1+0.000746482421755787i</v>
      </c>
      <c r="AK126" s="98">
        <f t="shared" si="90"/>
        <v>1.0000002786179643</v>
      </c>
      <c r="AL126" s="98">
        <f t="shared" si="91"/>
        <v>7.4648228310020563E-4</v>
      </c>
      <c r="AM126" s="98" t="str">
        <f t="shared" si="75"/>
        <v>1+0.407918712470367i</v>
      </c>
      <c r="AN126" s="98">
        <f t="shared" si="92"/>
        <v>1.0799989240658909</v>
      </c>
      <c r="AO126" s="98">
        <f t="shared" si="93"/>
        <v>0.3873141586562342</v>
      </c>
      <c r="AP126" s="168" t="str">
        <f t="shared" si="94"/>
        <v>-0.356544156337615+0.875925957597145i</v>
      </c>
      <c r="AQ126" s="98">
        <f t="shared" si="95"/>
        <v>-0.48482767787317804</v>
      </c>
      <c r="AR126" s="169">
        <f t="shared" si="96"/>
        <v>112.14869635235965</v>
      </c>
      <c r="AS126" s="168" t="str">
        <f t="shared" si="97"/>
        <v>92.7451562294632+55.3854446359225i</v>
      </c>
      <c r="AT126" s="190">
        <f t="shared" si="98"/>
        <v>40.670415106483595</v>
      </c>
      <c r="AU126" s="169">
        <f t="shared" si="99"/>
        <v>30.844755156029496</v>
      </c>
      <c r="AV126" s="225"/>
      <c r="AX126">
        <f t="shared" si="100"/>
        <v>0</v>
      </c>
      <c r="AY126">
        <f t="shared" si="101"/>
        <v>0</v>
      </c>
    </row>
    <row r="127" spans="14:51" x14ac:dyDescent="0.2">
      <c r="N127" s="170">
        <v>9</v>
      </c>
      <c r="O127" s="199">
        <f t="shared" si="102"/>
        <v>123.02687708123821</v>
      </c>
      <c r="P127" s="189" t="str">
        <f t="shared" si="67"/>
        <v>771.276595744681</v>
      </c>
      <c r="Q127" s="160" t="str">
        <f t="shared" si="68"/>
        <v>1+6.83332589155084i</v>
      </c>
      <c r="R127" s="160">
        <f t="shared" si="77"/>
        <v>6.9061090883462795</v>
      </c>
      <c r="S127" s="160">
        <f t="shared" si="78"/>
        <v>1.4254861601286439</v>
      </c>
      <c r="T127" s="160" t="str">
        <f t="shared" si="69"/>
        <v>1+0.00012862731089978i</v>
      </c>
      <c r="U127" s="160">
        <f t="shared" si="79"/>
        <v>1.0000000082724925</v>
      </c>
      <c r="V127" s="160">
        <f t="shared" si="80"/>
        <v>1.2862731019040101E-4</v>
      </c>
      <c r="W127" s="98" t="str">
        <f t="shared" si="70"/>
        <v>1-0.000525640453196216i</v>
      </c>
      <c r="X127" s="160">
        <f t="shared" si="81"/>
        <v>1.0000001381489336</v>
      </c>
      <c r="Y127" s="160">
        <f t="shared" si="82"/>
        <v>-5.2564040478510861E-4</v>
      </c>
      <c r="Z127" s="98" t="str">
        <f t="shared" si="71"/>
        <v>0.999993945755006-0.00359896146339996i</v>
      </c>
      <c r="AA127" s="160">
        <f t="shared" si="83"/>
        <v>1.0000004220350514</v>
      </c>
      <c r="AB127" s="160">
        <f t="shared" si="84"/>
        <v>-3.5989677138203863E-3</v>
      </c>
      <c r="AC127" s="171" t="str">
        <f t="shared" si="85"/>
        <v>16.5249772216093-110.450966947837i</v>
      </c>
      <c r="AD127" s="190">
        <f t="shared" si="86"/>
        <v>40.959531982507364</v>
      </c>
      <c r="AE127" s="169">
        <f t="shared" si="87"/>
        <v>-81.490882243807079</v>
      </c>
      <c r="AF127" s="98" t="str">
        <f t="shared" si="72"/>
        <v>-0.0000119284294234592</v>
      </c>
      <c r="AG127" s="98" t="str">
        <f t="shared" si="73"/>
        <v>0.0000139395210183638i</v>
      </c>
      <c r="AH127" s="98">
        <f t="shared" si="88"/>
        <v>1.39395210183638E-5</v>
      </c>
      <c r="AI127" s="98">
        <f t="shared" si="89"/>
        <v>1.5707963267948966</v>
      </c>
      <c r="AJ127" s="98" t="str">
        <f t="shared" si="74"/>
        <v>1+0.000763870231043463i</v>
      </c>
      <c r="AK127" s="98">
        <f t="shared" si="90"/>
        <v>1.0000002917488224</v>
      </c>
      <c r="AL127" s="98">
        <f t="shared" si="91"/>
        <v>7.6387008247133319E-4</v>
      </c>
      <c r="AM127" s="98" t="str">
        <f t="shared" si="75"/>
        <v>1+0.417420359891114i</v>
      </c>
      <c r="AN127" s="98">
        <f t="shared" si="92"/>
        <v>1.0836234386776742</v>
      </c>
      <c r="AO127" s="98">
        <f t="shared" si="93"/>
        <v>0.39543314795933066</v>
      </c>
      <c r="AP127" s="168" t="str">
        <f t="shared" si="94"/>
        <v>-0.356544146974155+0.855999706483376i</v>
      </c>
      <c r="AQ127" s="98">
        <f t="shared" si="95"/>
        <v>-0.65572644420388349</v>
      </c>
      <c r="AR127" s="169">
        <f t="shared" si="96"/>
        <v>112.61288392582</v>
      </c>
      <c r="AS127" s="168" t="str">
        <f t="shared" si="97"/>
        <v>88.6541113809075+53.5260214442292i</v>
      </c>
      <c r="AT127" s="190">
        <f t="shared" si="98"/>
        <v>40.303805538303479</v>
      </c>
      <c r="AU127" s="169">
        <f t="shared" si="99"/>
        <v>31.122001682012939</v>
      </c>
      <c r="AV127" s="225"/>
      <c r="AX127">
        <f t="shared" si="100"/>
        <v>0</v>
      </c>
      <c r="AY127">
        <f t="shared" si="101"/>
        <v>0</v>
      </c>
    </row>
    <row r="128" spans="14:51" x14ac:dyDescent="0.2">
      <c r="N128" s="170">
        <v>10</v>
      </c>
      <c r="O128" s="199">
        <f t="shared" si="102"/>
        <v>125.89254117941677</v>
      </c>
      <c r="P128" s="189" t="str">
        <f t="shared" si="67"/>
        <v>771.276595744681</v>
      </c>
      <c r="Q128" s="160" t="str">
        <f t="shared" si="68"/>
        <v>1+6.99249449879461i</v>
      </c>
      <c r="R128" s="160">
        <f t="shared" si="77"/>
        <v>7.0636378244975786</v>
      </c>
      <c r="S128" s="160">
        <f t="shared" si="78"/>
        <v>1.4287490042707072</v>
      </c>
      <c r="T128" s="160" t="str">
        <f t="shared" si="69"/>
        <v>1+0.000131623425859663i</v>
      </c>
      <c r="U128" s="160">
        <f t="shared" si="79"/>
        <v>1.000000008662363</v>
      </c>
      <c r="V128" s="160">
        <f t="shared" si="80"/>
        <v>1.3162342509954973E-4</v>
      </c>
      <c r="W128" s="98" t="str">
        <f t="shared" si="70"/>
        <v>1-0.000537884192214967i</v>
      </c>
      <c r="X128" s="160">
        <f t="shared" si="81"/>
        <v>1.0000001446596916</v>
      </c>
      <c r="Y128" s="160">
        <f t="shared" si="82"/>
        <v>-5.3788414034153134E-4</v>
      </c>
      <c r="Z128" s="98" t="str">
        <f t="shared" si="71"/>
        <v>0.99999366042723-0.00368279204498566i</v>
      </c>
      <c r="AA128" s="160">
        <f t="shared" si="83"/>
        <v>1.0000004419258506</v>
      </c>
      <c r="AB128" s="160">
        <f t="shared" si="84"/>
        <v>-3.6827987424303205E-3</v>
      </c>
      <c r="AC128" s="171" t="str">
        <f t="shared" si="85"/>
        <v>15.8120728688331-108.038720705478i</v>
      </c>
      <c r="AD128" s="190">
        <f t="shared" si="86"/>
        <v>40.763632083425911</v>
      </c>
      <c r="AE128" s="169">
        <f t="shared" si="87"/>
        <v>-81.673556127858348</v>
      </c>
      <c r="AF128" s="98" t="str">
        <f t="shared" si="72"/>
        <v>-0.0000119284294234592</v>
      </c>
      <c r="AG128" s="98" t="str">
        <f t="shared" si="73"/>
        <v>0.000014264214173842i</v>
      </c>
      <c r="AH128" s="98">
        <f t="shared" si="88"/>
        <v>1.4264214173841999E-5</v>
      </c>
      <c r="AI128" s="98">
        <f t="shared" si="89"/>
        <v>1.5707963267948966</v>
      </c>
      <c r="AJ128" s="98" t="str">
        <f t="shared" si="74"/>
        <v>1+0.000781663054438656i</v>
      </c>
      <c r="AK128" s="98">
        <f t="shared" si="90"/>
        <v>1.0000003054985187</v>
      </c>
      <c r="AL128" s="98">
        <f t="shared" si="91"/>
        <v>7.8166289524075319E-4</v>
      </c>
      <c r="AM128" s="98" t="str">
        <f t="shared" si="75"/>
        <v>1+0.427143329111887i</v>
      </c>
      <c r="AN128" s="98">
        <f t="shared" si="92"/>
        <v>1.087405822866875</v>
      </c>
      <c r="AO128" s="98">
        <f t="shared" si="93"/>
        <v>0.4036846648849699</v>
      </c>
      <c r="AP128" s="168" t="str">
        <f t="shared" si="94"/>
        <v>-0.356544137169409+0.836527317743807i</v>
      </c>
      <c r="AQ128" s="98">
        <f t="shared" si="95"/>
        <v>-0.82546128305036115</v>
      </c>
      <c r="AR128" s="169">
        <f t="shared" si="96"/>
        <v>113.08464156716254</v>
      </c>
      <c r="AS128" s="168" t="str">
        <f t="shared" si="97"/>
        <v>84.7396393663479+51.747803359756i</v>
      </c>
      <c r="AT128" s="190">
        <f t="shared" si="98"/>
        <v>39.938170800375552</v>
      </c>
      <c r="AU128" s="169">
        <f t="shared" si="99"/>
        <v>31.411085439304188</v>
      </c>
      <c r="AV128" s="225"/>
      <c r="AX128">
        <f t="shared" si="100"/>
        <v>0</v>
      </c>
      <c r="AY128">
        <f t="shared" si="101"/>
        <v>0</v>
      </c>
    </row>
    <row r="129" spans="14:51" x14ac:dyDescent="0.2">
      <c r="N129" s="170">
        <v>11</v>
      </c>
      <c r="O129" s="199">
        <f t="shared" si="102"/>
        <v>128.82495516931343</v>
      </c>
      <c r="P129" s="189" t="str">
        <f t="shared" si="67"/>
        <v>771.276595744681</v>
      </c>
      <c r="Q129" s="160" t="str">
        <f t="shared" si="68"/>
        <v>1+7.15537061917825i</v>
      </c>
      <c r="R129" s="160">
        <f t="shared" si="77"/>
        <v>7.2249102899481947</v>
      </c>
      <c r="S129" s="160">
        <f t="shared" si="78"/>
        <v>1.4319405220711519</v>
      </c>
      <c r="T129" s="160" t="str">
        <f t="shared" si="69"/>
        <v>1+0.000134689329302178i</v>
      </c>
      <c r="U129" s="160">
        <f t="shared" si="79"/>
        <v>1.0000000090706076</v>
      </c>
      <c r="V129" s="160">
        <f t="shared" si="80"/>
        <v>1.3468932848770198E-4</v>
      </c>
      <c r="W129" s="98" t="str">
        <f t="shared" si="70"/>
        <v>1-0.00055041312455217i</v>
      </c>
      <c r="X129" s="160">
        <f t="shared" si="81"/>
        <v>1.0000001514772923</v>
      </c>
      <c r="Y129" s="160">
        <f t="shared" si="82"/>
        <v>-5.5041306896878276E-4</v>
      </c>
      <c r="Z129" s="98" t="str">
        <f t="shared" si="71"/>
        <v>0.99999336165237-0.00376857529166113i</v>
      </c>
      <c r="AA129" s="160">
        <f t="shared" si="83"/>
        <v>1.0000004627541612</v>
      </c>
      <c r="AB129" s="160">
        <f t="shared" si="84"/>
        <v>-3.7685824681007057E-3</v>
      </c>
      <c r="AC129" s="171" t="str">
        <f t="shared" si="85"/>
        <v>15.1299961645422-105.674754185211i</v>
      </c>
      <c r="AD129" s="190">
        <f t="shared" si="86"/>
        <v>40.56755125595209</v>
      </c>
      <c r="AE129" s="169">
        <f t="shared" si="87"/>
        <v>-81.852043774040567</v>
      </c>
      <c r="AF129" s="98" t="str">
        <f t="shared" si="72"/>
        <v>-0.0000119284294234592</v>
      </c>
      <c r="AG129" s="98" t="str">
        <f t="shared" si="73"/>
        <v>0.0000145964704044843i</v>
      </c>
      <c r="AH129" s="98">
        <f t="shared" si="88"/>
        <v>1.45964704044843E-5</v>
      </c>
      <c r="AI129" s="98">
        <f t="shared" si="89"/>
        <v>1.5707963267948966</v>
      </c>
      <c r="AJ129" s="98" t="str">
        <f t="shared" si="74"/>
        <v>1+0.000799870325931846i</v>
      </c>
      <c r="AK129" s="98">
        <f t="shared" si="90"/>
        <v>1.000000319896218</v>
      </c>
      <c r="AL129" s="98">
        <f t="shared" si="91"/>
        <v>7.9987015534822284E-4</v>
      </c>
      <c r="AM129" s="98" t="str">
        <f t="shared" si="75"/>
        <v>1+0.437092775379666i</v>
      </c>
      <c r="AN129" s="98">
        <f t="shared" si="92"/>
        <v>1.09135241525783</v>
      </c>
      <c r="AO129" s="98">
        <f t="shared" si="93"/>
        <v>0.4120685888421064</v>
      </c>
      <c r="AP129" s="168" t="str">
        <f t="shared" si="94"/>
        <v>-0.356544126902582+0.817498466860136i</v>
      </c>
      <c r="AQ129" s="98">
        <f t="shared" si="95"/>
        <v>-0.99399421468771343</v>
      </c>
      <c r="AR129" s="169">
        <f t="shared" si="96"/>
        <v>113.56396182650438</v>
      </c>
      <c r="AS129" s="168" t="str">
        <f t="shared" si="97"/>
        <v>80.9944382597056+50.046461634724i</v>
      </c>
      <c r="AT129" s="190">
        <f t="shared" si="98"/>
        <v>39.573557041264372</v>
      </c>
      <c r="AU129" s="169">
        <f t="shared" si="99"/>
        <v>31.711918052463822</v>
      </c>
      <c r="AV129" s="225"/>
      <c r="AX129">
        <f t="shared" si="100"/>
        <v>0</v>
      </c>
      <c r="AY129">
        <f t="shared" si="101"/>
        <v>0</v>
      </c>
    </row>
    <row r="130" spans="14:51" x14ac:dyDescent="0.2">
      <c r="N130" s="170">
        <v>12</v>
      </c>
      <c r="O130" s="199">
        <f t="shared" si="102"/>
        <v>131.82567385564084</v>
      </c>
      <c r="P130" s="189" t="str">
        <f t="shared" si="67"/>
        <v>771.276595744681</v>
      </c>
      <c r="Q130" s="160" t="str">
        <f t="shared" si="68"/>
        <v>1+7.32204061177671i</v>
      </c>
      <c r="R130" s="160">
        <f t="shared" si="77"/>
        <v>7.3900120920406795</v>
      </c>
      <c r="S130" s="160">
        <f t="shared" si="78"/>
        <v>1.4350621455138741</v>
      </c>
      <c r="T130" s="160" t="str">
        <f t="shared" si="69"/>
        <v>1+0.000137826646809914i</v>
      </c>
      <c r="U130" s="160">
        <f t="shared" si="79"/>
        <v>1.0000000094980923</v>
      </c>
      <c r="V130" s="160">
        <f t="shared" si="80"/>
        <v>1.3782664593718719E-4</v>
      </c>
      <c r="W130" s="98" t="str">
        <f t="shared" si="70"/>
        <v>1-0.000563233893213591i</v>
      </c>
      <c r="X130" s="160">
        <f t="shared" si="81"/>
        <v>1.0000001586161966</v>
      </c>
      <c r="Y130" s="160">
        <f t="shared" si="82"/>
        <v>-5.6323383365491897E-4</v>
      </c>
      <c r="Z130" s="98" t="str">
        <f t="shared" si="71"/>
        <v>0.999993048796685-0.00385635668683924i</v>
      </c>
      <c r="AA130" s="160">
        <f t="shared" si="83"/>
        <v>1.0000004845641752</v>
      </c>
      <c r="AB130" s="160">
        <f t="shared" si="84"/>
        <v>-3.8563643765309082E-3</v>
      </c>
      <c r="AC130" s="171" t="str">
        <f t="shared" si="85"/>
        <v>14.4774672423712-103.358392152608i</v>
      </c>
      <c r="AD130" s="190">
        <f t="shared" si="86"/>
        <v>40.371297330426152</v>
      </c>
      <c r="AE130" s="169">
        <f t="shared" si="87"/>
        <v>-82.026424910324735</v>
      </c>
      <c r="AF130" s="98" t="str">
        <f t="shared" si="72"/>
        <v>-0.0000119284294234592</v>
      </c>
      <c r="AG130" s="98" t="str">
        <f t="shared" si="73"/>
        <v>0.0000149364658769422i</v>
      </c>
      <c r="AH130" s="98">
        <f t="shared" si="88"/>
        <v>1.49364658769422E-5</v>
      </c>
      <c r="AI130" s="98">
        <f t="shared" si="89"/>
        <v>1.5707963267948966</v>
      </c>
      <c r="AJ130" s="98" t="str">
        <f t="shared" si="74"/>
        <v>1+0.000818501699259382i</v>
      </c>
      <c r="AK130" s="98">
        <f t="shared" si="90"/>
        <v>1.0000003349724598</v>
      </c>
      <c r="AL130" s="98">
        <f t="shared" si="91"/>
        <v>8.185015164757398E-4</v>
      </c>
      <c r="AM130" s="98" t="str">
        <f t="shared" si="75"/>
        <v>1+0.447273974022558i</v>
      </c>
      <c r="AN130" s="98">
        <f t="shared" si="92"/>
        <v>1.0954697658255712</v>
      </c>
      <c r="AO130" s="98">
        <f t="shared" si="93"/>
        <v>0.42058464958726299</v>
      </c>
      <c r="AP130" s="168" t="str">
        <f t="shared" si="94"/>
        <v>-0.356544116151895+0.798903064483691i</v>
      </c>
      <c r="AQ130" s="98">
        <f t="shared" si="95"/>
        <v>-1.16128670694578</v>
      </c>
      <c r="AR130" s="169">
        <f t="shared" si="96"/>
        <v>114.05082866691967</v>
      </c>
      <c r="AS130" s="168" t="str">
        <f t="shared" si="97"/>
        <v>77.4114804687764+48.4179195228252i</v>
      </c>
      <c r="AT130" s="190">
        <f t="shared" si="98"/>
        <v>39.210010623480379</v>
      </c>
      <c r="AU130" s="169">
        <f t="shared" si="99"/>
        <v>32.024403756594943</v>
      </c>
      <c r="AV130" s="225"/>
      <c r="AX130">
        <f t="shared" si="100"/>
        <v>0</v>
      </c>
      <c r="AY130">
        <f t="shared" si="101"/>
        <v>0</v>
      </c>
    </row>
    <row r="131" spans="14:51" x14ac:dyDescent="0.2">
      <c r="N131" s="170">
        <v>13</v>
      </c>
      <c r="O131" s="199">
        <f t="shared" si="102"/>
        <v>134.89628825916537</v>
      </c>
      <c r="P131" s="189" t="str">
        <f t="shared" si="67"/>
        <v>771.276595744681</v>
      </c>
      <c r="Q131" s="160" t="str">
        <f t="shared" si="68"/>
        <v>1+7.49259284722619i</v>
      </c>
      <c r="R131" s="160">
        <f t="shared" si="77"/>
        <v>7.5590308621082531</v>
      </c>
      <c r="S131" s="160">
        <f t="shared" si="78"/>
        <v>1.4381152862469053</v>
      </c>
      <c r="T131" s="160" t="str">
        <f t="shared" si="69"/>
        <v>1+0.00014103704183014i</v>
      </c>
      <c r="U131" s="160">
        <f t="shared" si="79"/>
        <v>1.0000000099457236</v>
      </c>
      <c r="V131" s="160">
        <f t="shared" si="80"/>
        <v>1.4103704089499637E-4</v>
      </c>
      <c r="W131" s="98" t="str">
        <f t="shared" si="70"/>
        <v>1-0.000576353295940473i</v>
      </c>
      <c r="X131" s="160">
        <f t="shared" si="81"/>
        <v>1.000000166091547</v>
      </c>
      <c r="Y131" s="160">
        <f t="shared" si="82"/>
        <v>-5.763532321222067E-4</v>
      </c>
      <c r="Z131" s="98" t="str">
        <f t="shared" si="71"/>
        <v>0.999992721196566-0.00394618277337762i</v>
      </c>
      <c r="AA131" s="160">
        <f t="shared" si="83"/>
        <v>1.0000005074021683</v>
      </c>
      <c r="AB131" s="160">
        <f t="shared" si="84"/>
        <v>-3.9461910130285842E-3</v>
      </c>
      <c r="AC131" s="171" t="str">
        <f t="shared" si="85"/>
        <v>13.8532547633628-101.088948430359i</v>
      </c>
      <c r="AD131" s="190">
        <f t="shared" si="86"/>
        <v>40.174877811464434</v>
      </c>
      <c r="AE131" s="169">
        <f t="shared" si="87"/>
        <v>-82.196778045507969</v>
      </c>
      <c r="AF131" s="98" t="str">
        <f t="shared" si="72"/>
        <v>-0.0000119284294234592</v>
      </c>
      <c r="AG131" s="98" t="str">
        <f t="shared" si="73"/>
        <v>0.0000152843808613155i</v>
      </c>
      <c r="AH131" s="98">
        <f t="shared" si="88"/>
        <v>1.5284380861315499E-5</v>
      </c>
      <c r="AI131" s="98">
        <f t="shared" si="89"/>
        <v>1.5707963267948966</v>
      </c>
      <c r="AJ131" s="98" t="str">
        <f t="shared" si="74"/>
        <v>1+0.000837567053022014i</v>
      </c>
      <c r="AK131" s="98">
        <f t="shared" si="90"/>
        <v>1.0000003507592226</v>
      </c>
      <c r="AL131" s="98">
        <f t="shared" si="91"/>
        <v>8.3756685716581639E-4</v>
      </c>
      <c r="AM131" s="98" t="str">
        <f t="shared" si="75"/>
        <v>1+0.457692323246847i</v>
      </c>
      <c r="AN131" s="98">
        <f t="shared" si="92"/>
        <v>1.0997646397111958</v>
      </c>
      <c r="AO131" s="98">
        <f t="shared" si="93"/>
        <v>0.42923242050061233</v>
      </c>
      <c r="AP131" s="168" t="str">
        <f t="shared" si="94"/>
        <v>-0.356544104894545+0.780731251085939i</v>
      </c>
      <c r="AQ131" s="98">
        <f t="shared" si="95"/>
        <v>-1.3272997235276884</v>
      </c>
      <c r="AR131" s="169">
        <f t="shared" si="96"/>
        <v>114.54521707889407</v>
      </c>
      <c r="AS131" s="168" t="str">
        <f t="shared" si="97"/>
        <v>73.9840048595169+46.8583375558457i</v>
      </c>
      <c r="AT131" s="190">
        <f t="shared" si="98"/>
        <v>38.847578087936753</v>
      </c>
      <c r="AU131" s="169">
        <f t="shared" si="99"/>
        <v>32.348439033386136</v>
      </c>
      <c r="AV131" s="225"/>
      <c r="AX131">
        <f t="shared" si="100"/>
        <v>0</v>
      </c>
      <c r="AY131">
        <f t="shared" si="101"/>
        <v>0</v>
      </c>
    </row>
    <row r="132" spans="14:51" x14ac:dyDescent="0.2">
      <c r="N132" s="170">
        <v>14</v>
      </c>
      <c r="O132" s="199">
        <f t="shared" si="102"/>
        <v>138.0384264602886</v>
      </c>
      <c r="P132" s="189" t="str">
        <f t="shared" si="67"/>
        <v>771.276595744681</v>
      </c>
      <c r="Q132" s="160" t="str">
        <f t="shared" si="68"/>
        <v>1+7.66711775457946i</v>
      </c>
      <c r="R132" s="160">
        <f t="shared" si="77"/>
        <v>7.7320563023420608</v>
      </c>
      <c r="S132" s="160">
        <f t="shared" si="78"/>
        <v>1.4411013352827697</v>
      </c>
      <c r="T132" s="160" t="str">
        <f t="shared" si="69"/>
        <v>1+0.00014432221655679i</v>
      </c>
      <c r="U132" s="160">
        <f t="shared" si="79"/>
        <v>1.0000000104144511</v>
      </c>
      <c r="V132" s="160">
        <f t="shared" si="80"/>
        <v>1.4432221555476558E-4</v>
      </c>
      <c r="W132" s="98" t="str">
        <f t="shared" si="70"/>
        <v>1-0.000589778288813802i</v>
      </c>
      <c r="X132" s="160">
        <f t="shared" si="81"/>
        <v>1.0000001739191999</v>
      </c>
      <c r="Y132" s="160">
        <f t="shared" si="82"/>
        <v>-5.8977822043129822E-4</v>
      </c>
      <c r="Z132" s="98" t="str">
        <f t="shared" si="71"/>
        <v>0.999992378157128-0.00403810117825635i</v>
      </c>
      <c r="AA132" s="160">
        <f t="shared" si="83"/>
        <v>1.0000005313165963</v>
      </c>
      <c r="AB132" s="160">
        <f t="shared" si="84"/>
        <v>-4.0381100071990644E-3</v>
      </c>
      <c r="AC132" s="171" t="str">
        <f t="shared" si="85"/>
        <v>13.2561744814517-98.8657276982073i</v>
      </c>
      <c r="AD132" s="190">
        <f t="shared" si="86"/>
        <v>39.978299890361832</v>
      </c>
      <c r="AE132" s="169">
        <f t="shared" si="87"/>
        <v>-82.363180450786174</v>
      </c>
      <c r="AF132" s="98" t="str">
        <f t="shared" si="72"/>
        <v>-0.0000119284294234592</v>
      </c>
      <c r="AG132" s="98" t="str">
        <f t="shared" si="73"/>
        <v>0.0000156403998267343i</v>
      </c>
      <c r="AH132" s="98">
        <f t="shared" si="88"/>
        <v>1.5640399826734302E-5</v>
      </c>
      <c r="AI132" s="98">
        <f t="shared" si="89"/>
        <v>1.5707963267948966</v>
      </c>
      <c r="AJ132" s="98" t="str">
        <f t="shared" si="74"/>
        <v>1+0.00085707649592267i</v>
      </c>
      <c r="AK132" s="98">
        <f t="shared" si="90"/>
        <v>1.0000003672899924</v>
      </c>
      <c r="AL132" s="98">
        <f t="shared" si="91"/>
        <v>8.5707628605897752E-4</v>
      </c>
      <c r="AM132" s="98" t="str">
        <f t="shared" si="75"/>
        <v>1+0.468353346999197i</v>
      </c>
      <c r="AN132" s="98">
        <f t="shared" si="92"/>
        <v>1.1042440208782434</v>
      </c>
      <c r="AO132" s="98">
        <f t="shared" si="93"/>
        <v>0.43801131199281784</v>
      </c>
      <c r="AP132" s="168" t="str">
        <f t="shared" si="94"/>
        <v>-0.356544093106652+0.762973391730818i</v>
      </c>
      <c r="AQ132" s="98">
        <f t="shared" si="95"/>
        <v>-1.4919937771411318</v>
      </c>
      <c r="AR132" s="169">
        <f t="shared" si="96"/>
        <v>115.04709270226448</v>
      </c>
      <c r="AS132" s="168" t="str">
        <f t="shared" si="97"/>
        <v>70.705508879284+45.3640996269752i</v>
      </c>
      <c r="AT132" s="190">
        <f t="shared" si="98"/>
        <v>38.486306113220706</v>
      </c>
      <c r="AU132" s="169">
        <f t="shared" si="99"/>
        <v>32.683912251478276</v>
      </c>
      <c r="AV132" s="225"/>
      <c r="AX132">
        <f t="shared" si="100"/>
        <v>0</v>
      </c>
      <c r="AY132">
        <f t="shared" si="101"/>
        <v>0</v>
      </c>
    </row>
    <row r="133" spans="14:51" x14ac:dyDescent="0.2">
      <c r="N133" s="170">
        <v>15</v>
      </c>
      <c r="O133" s="199">
        <f t="shared" si="102"/>
        <v>141.25375446227542</v>
      </c>
      <c r="P133" s="189" t="str">
        <f t="shared" si="67"/>
        <v>771.276595744681</v>
      </c>
      <c r="Q133" s="160" t="str">
        <f t="shared" si="68"/>
        <v>1+7.84570786925251i</v>
      </c>
      <c r="R133" s="160">
        <f t="shared" si="77"/>
        <v>7.9091802337316075</v>
      </c>
      <c r="S133" s="160">
        <f t="shared" si="78"/>
        <v>1.4440216627507432</v>
      </c>
      <c r="T133" s="160" t="str">
        <f t="shared" si="69"/>
        <v>1+0.000147683912832988i</v>
      </c>
      <c r="U133" s="160">
        <f t="shared" si="79"/>
        <v>1.0000000109052689</v>
      </c>
      <c r="V133" s="160">
        <f t="shared" si="80"/>
        <v>1.4768391175929948E-4</v>
      </c>
      <c r="W133" s="98" t="str">
        <f t="shared" si="70"/>
        <v>1-0.000603515989942498i</v>
      </c>
      <c r="X133" s="160">
        <f t="shared" si="81"/>
        <v>1.0000001821157585</v>
      </c>
      <c r="Y133" s="160">
        <f t="shared" si="82"/>
        <v>-6.0351591666932584E-4</v>
      </c>
      <c r="Z133" s="98" t="str">
        <f t="shared" si="71"/>
        <v>0.99999201895074-0.00413216063783038i</v>
      </c>
      <c r="AA133" s="160">
        <f t="shared" si="83"/>
        <v>1.0000005563582022</v>
      </c>
      <c r="AB133" s="160">
        <f t="shared" si="84"/>
        <v>-4.1321700982102898E-3</v>
      </c>
      <c r="AC133" s="171" t="str">
        <f t="shared" si="85"/>
        <v>12.6850878136238-96.6880271694488i</v>
      </c>
      <c r="AD133" s="190">
        <f t="shared" si="86"/>
        <v>39.781570457123109</v>
      </c>
      <c r="AE133" s="169">
        <f t="shared" si="87"/>
        <v>-82.52570814427186</v>
      </c>
      <c r="AF133" s="98" t="str">
        <f t="shared" si="72"/>
        <v>-0.0000119284294234592</v>
      </c>
      <c r="AG133" s="98" t="str">
        <f t="shared" si="73"/>
        <v>0.0000160047115391663i</v>
      </c>
      <c r="AH133" s="98">
        <f t="shared" si="88"/>
        <v>1.60047115391663E-5</v>
      </c>
      <c r="AI133" s="98">
        <f t="shared" si="89"/>
        <v>1.5707963267948966</v>
      </c>
      <c r="AJ133" s="98" t="str">
        <f t="shared" si="74"/>
        <v>1+0.000877040372126212i</v>
      </c>
      <c r="AK133" s="98">
        <f t="shared" si="90"/>
        <v>1.0000003845998331</v>
      </c>
      <c r="AL133" s="98">
        <f t="shared" si="91"/>
        <v>8.7704014725321867E-4</v>
      </c>
      <c r="AM133" s="98" t="str">
        <f t="shared" si="75"/>
        <v>1+0.479262697895514i</v>
      </c>
      <c r="AN133" s="98">
        <f t="shared" si="92"/>
        <v>1.1089151155945558</v>
      </c>
      <c r="AO133" s="98">
        <f t="shared" si="93"/>
        <v>0.44692056508694017</v>
      </c>
      <c r="AP133" s="168" t="str">
        <f t="shared" si="94"/>
        <v>-0.356544080763213+0.745620070966191i</v>
      </c>
      <c r="AQ133" s="98">
        <f t="shared" si="95"/>
        <v>-1.6553289875233657</v>
      </c>
      <c r="AR133" s="169">
        <f t="shared" si="96"/>
        <v>115.55641145818228</v>
      </c>
      <c r="AS133" s="168" t="str">
        <f t="shared" si="97"/>
        <v>67.5697407057563+43.9317998437462i</v>
      </c>
      <c r="AT133" s="190">
        <f t="shared" si="98"/>
        <v>38.126241469599748</v>
      </c>
      <c r="AU133" s="169">
        <f t="shared" si="99"/>
        <v>33.030703313910415</v>
      </c>
      <c r="AV133" s="225"/>
      <c r="AX133">
        <f t="shared" si="100"/>
        <v>0</v>
      </c>
      <c r="AY133">
        <f t="shared" si="101"/>
        <v>0</v>
      </c>
    </row>
    <row r="134" spans="14:51" x14ac:dyDescent="0.2">
      <c r="N134" s="170">
        <v>16</v>
      </c>
      <c r="O134" s="199">
        <f t="shared" si="102"/>
        <v>144.54397707459285</v>
      </c>
      <c r="P134" s="189" t="str">
        <f t="shared" si="67"/>
        <v>771.276595744681</v>
      </c>
      <c r="Q134" s="160" t="str">
        <f t="shared" si="68"/>
        <v>1+8.02845788208807i</v>
      </c>
      <c r="R134" s="160">
        <f t="shared" si="77"/>
        <v>8.0904966451054197</v>
      </c>
      <c r="S134" s="160">
        <f t="shared" si="78"/>
        <v>1.4468776176974196</v>
      </c>
      <c r="T134" s="160" t="str">
        <f t="shared" si="69"/>
        <v>1+0.000151123913074599i</v>
      </c>
      <c r="U134" s="160">
        <f t="shared" si="79"/>
        <v>1.0000000114192185</v>
      </c>
      <c r="V134" s="160">
        <f t="shared" si="80"/>
        <v>1.5112391192412101E-4</v>
      </c>
      <c r="W134" s="98" t="str">
        <f t="shared" si="70"/>
        <v>1-0.000617573683237541i</v>
      </c>
      <c r="X134" s="160">
        <f t="shared" si="81"/>
        <v>1.0000001906986089</v>
      </c>
      <c r="Y134" s="160">
        <f t="shared" si="82"/>
        <v>-6.1757360472392334E-4</v>
      </c>
      <c r="Z134" s="98" t="str">
        <f t="shared" si="71"/>
        <v>0.999991642815477-0.0042284110236702i</v>
      </c>
      <c r="AA134" s="160">
        <f t="shared" si="83"/>
        <v>1.0000005825801213</v>
      </c>
      <c r="AB134" s="160">
        <f t="shared" si="84"/>
        <v>-4.2284211606469285E-3</v>
      </c>
      <c r="AC134" s="171" t="str">
        <f t="shared" si="85"/>
        <v>12.1389004190705-94.5551381501974i</v>
      </c>
      <c r="AD134" s="190">
        <f t="shared" si="86"/>
        <v>39.584696112124306</v>
      </c>
      <c r="AE134" s="169">
        <f t="shared" si="87"/>
        <v>-82.684435878248891</v>
      </c>
      <c r="AF134" s="98" t="str">
        <f t="shared" si="72"/>
        <v>-0.0000119284294234592</v>
      </c>
      <c r="AG134" s="98" t="str">
        <f t="shared" si="73"/>
        <v>0.0000163775091615038i</v>
      </c>
      <c r="AH134" s="98">
        <f t="shared" si="88"/>
        <v>1.6377509161503801E-5</v>
      </c>
      <c r="AI134" s="98">
        <f t="shared" si="89"/>
        <v>1.5707963267948966</v>
      </c>
      <c r="AJ134" s="98" t="str">
        <f t="shared" si="74"/>
        <v>1+0.000897469266744059i</v>
      </c>
      <c r="AK134" s="98">
        <f t="shared" si="90"/>
        <v>1.0000004027254612</v>
      </c>
      <c r="AL134" s="98">
        <f t="shared" si="91"/>
        <v>8.9746902578831064E-4</v>
      </c>
      <c r="AM134" s="98" t="str">
        <f t="shared" si="75"/>
        <v>1+0.490426160218048i</v>
      </c>
      <c r="AN134" s="98">
        <f t="shared" si="92"/>
        <v>1.1137853557244406</v>
      </c>
      <c r="AO134" s="98">
        <f t="shared" si="93"/>
        <v>0.45595924522227771</v>
      </c>
      <c r="AP134" s="168" t="str">
        <f t="shared" si="94"/>
        <v>-0.356544067838048+0.728662087831617i</v>
      </c>
      <c r="AQ134" s="98">
        <f t="shared" si="95"/>
        <v>-1.8172651444133212</v>
      </c>
      <c r="AR134" s="169">
        <f t="shared" si="96"/>
        <v>116.07311919378563</v>
      </c>
      <c r="AS134" s="168" t="str">
        <f t="shared" si="97"/>
        <v>64.5706914452334+42.5582301144i</v>
      </c>
      <c r="AT134" s="190">
        <f t="shared" si="98"/>
        <v>37.767430967710986</v>
      </c>
      <c r="AU134" s="169">
        <f t="shared" si="99"/>
        <v>33.388683315536774</v>
      </c>
      <c r="AV134" s="225"/>
      <c r="AX134">
        <f t="shared" si="100"/>
        <v>0</v>
      </c>
      <c r="AY134">
        <f t="shared" si="101"/>
        <v>0</v>
      </c>
    </row>
    <row r="135" spans="14:51" x14ac:dyDescent="0.2">
      <c r="N135" s="170">
        <v>17</v>
      </c>
      <c r="O135" s="199">
        <f t="shared" si="102"/>
        <v>147.91083881682084</v>
      </c>
      <c r="P135" s="189" t="str">
        <f t="shared" si="67"/>
        <v>771.276595744681</v>
      </c>
      <c r="Q135" s="160" t="str">
        <f t="shared" si="68"/>
        <v>1+8.21546468956191i</v>
      </c>
      <c r="R135" s="160">
        <f t="shared" si="77"/>
        <v>8.27610174329911</v>
      </c>
      <c r="S135" s="160">
        <f t="shared" si="78"/>
        <v>1.4496705279321747</v>
      </c>
      <c r="T135" s="160" t="str">
        <f t="shared" si="69"/>
        <v>1+0.000154644041215283i</v>
      </c>
      <c r="U135" s="160">
        <f t="shared" si="79"/>
        <v>1.0000000119573897</v>
      </c>
      <c r="V135" s="160">
        <f t="shared" si="80"/>
        <v>1.5464403998252364E-4</v>
      </c>
      <c r="W135" s="98" t="str">
        <f t="shared" si="70"/>
        <v>1-0.00063195882227399i</v>
      </c>
      <c r="X135" s="160">
        <f t="shared" si="81"/>
        <v>1.0000001996859567</v>
      </c>
      <c r="Y135" s="160">
        <f t="shared" si="82"/>
        <v>-6.3195873814513373E-4</v>
      </c>
      <c r="Z135" s="98" t="str">
        <f t="shared" si="71"/>
        <v>0.999991248953504-0.00432690336900441i</v>
      </c>
      <c r="AA135" s="160">
        <f t="shared" si="83"/>
        <v>1.0000006100379908</v>
      </c>
      <c r="AB135" s="160">
        <f t="shared" si="84"/>
        <v>-4.3269142309673341E-3</v>
      </c>
      <c r="AC135" s="171" t="str">
        <f t="shared" si="85"/>
        <v>11.6165607911491-92.4663474874628i</v>
      </c>
      <c r="AD135" s="190">
        <f t="shared" si="86"/>
        <v>39.387683177406927</v>
      </c>
      <c r="AE135" s="169">
        <f t="shared" si="87"/>
        <v>-82.839437128970275</v>
      </c>
      <c r="AF135" s="98" t="str">
        <f t="shared" si="72"/>
        <v>-0.0000119284294234592</v>
      </c>
      <c r="AG135" s="98" t="str">
        <f t="shared" si="73"/>
        <v>0.0000167589903559807i</v>
      </c>
      <c r="AH135" s="98">
        <f t="shared" si="88"/>
        <v>1.67589903559807E-5</v>
      </c>
      <c r="AI135" s="98">
        <f t="shared" si="89"/>
        <v>1.5707963267948966</v>
      </c>
      <c r="AJ135" s="98" t="str">
        <f t="shared" si="74"/>
        <v>1+0.000918374011446542i</v>
      </c>
      <c r="AK135" s="98">
        <f t="shared" si="90"/>
        <v>1.0000004217053236</v>
      </c>
      <c r="AL135" s="98">
        <f t="shared" si="91"/>
        <v>9.1837375325781181E-4</v>
      </c>
      <c r="AM135" s="98" t="str">
        <f t="shared" si="75"/>
        <v>1+0.501849652982287i</v>
      </c>
      <c r="AN135" s="98">
        <f t="shared" si="92"/>
        <v>1.118862401816435</v>
      </c>
      <c r="AO135" s="98">
        <f t="shared" si="93"/>
        <v>0.46512623632926497</v>
      </c>
      <c r="AP135" s="168" t="str">
        <f t="shared" si="94"/>
        <v>-0.356544054303739+0.7120904509799i</v>
      </c>
      <c r="AQ135" s="98">
        <f t="shared" si="95"/>
        <v>-1.9777617754894381</v>
      </c>
      <c r="AR135" s="169">
        <f t="shared" si="96"/>
        <v>116.59715134239407</v>
      </c>
      <c r="AS135" s="168" t="str">
        <f t="shared" si="97"/>
        <v>61.7025874012694+41.2403684324431i</v>
      </c>
      <c r="AT135" s="190">
        <f t="shared" si="98"/>
        <v>37.409921401917487</v>
      </c>
      <c r="AU135" s="169">
        <f t="shared" si="99"/>
        <v>33.757714213423789</v>
      </c>
      <c r="AV135" s="225"/>
      <c r="AX135">
        <f t="shared" si="100"/>
        <v>0</v>
      </c>
      <c r="AY135">
        <f t="shared" si="101"/>
        <v>0</v>
      </c>
    </row>
    <row r="136" spans="14:51" x14ac:dyDescent="0.2">
      <c r="N136" s="170">
        <v>18</v>
      </c>
      <c r="O136" s="199">
        <f t="shared" si="102"/>
        <v>151.3561248436209</v>
      </c>
      <c r="P136" s="189" t="str">
        <f t="shared" si="67"/>
        <v>771.276595744681</v>
      </c>
      <c r="Q136" s="160" t="str">
        <f t="shared" si="68"/>
        <v>1+8.40682744515868i</v>
      </c>
      <c r="R136" s="160">
        <f t="shared" si="77"/>
        <v>8.4660940044788777</v>
      </c>
      <c r="S136" s="160">
        <f t="shared" si="78"/>
        <v>1.4524016999142946</v>
      </c>
      <c r="T136" s="160" t="str">
        <f t="shared" si="69"/>
        <v>1+0.000158246163673575i</v>
      </c>
      <c r="U136" s="160">
        <f t="shared" si="79"/>
        <v>1.0000000125209241</v>
      </c>
      <c r="V136" s="160">
        <f t="shared" si="80"/>
        <v>1.5824616235264954E-4</v>
      </c>
      <c r="W136" s="98" t="str">
        <f t="shared" si="70"/>
        <v>1-0.000646679034242972i</v>
      </c>
      <c r="X136" s="160">
        <f t="shared" si="81"/>
        <v>1.0000002090968649</v>
      </c>
      <c r="Y136" s="160">
        <f t="shared" si="82"/>
        <v>-6.4667894409727944E-4</v>
      </c>
      <c r="Z136" s="98" t="str">
        <f t="shared" si="71"/>
        <v>0.999990836529389-0.00442768989577819i</v>
      </c>
      <c r="AA136" s="160">
        <f t="shared" si="83"/>
        <v>1.0000006387900762</v>
      </c>
      <c r="AB136" s="160">
        <f t="shared" si="84"/>
        <v>-4.4277015345774049E-3</v>
      </c>
      <c r="AC136" s="171" t="str">
        <f t="shared" si="85"/>
        <v>11.1170588655036-90.4209389119083i</v>
      </c>
      <c r="AD136" s="190">
        <f t="shared" si="86"/>
        <v>39.190537707608804</v>
      </c>
      <c r="AE136" s="169">
        <f t="shared" si="87"/>
        <v>-82.990784088810301</v>
      </c>
      <c r="AF136" s="98" t="str">
        <f t="shared" si="72"/>
        <v>-0.0000119284294234592</v>
      </c>
      <c r="AG136" s="98" t="str">
        <f t="shared" si="73"/>
        <v>0.0000171493573889758i</v>
      </c>
      <c r="AH136" s="98">
        <f t="shared" si="88"/>
        <v>1.7149357388975799E-5</v>
      </c>
      <c r="AI136" s="98">
        <f t="shared" si="89"/>
        <v>1.5707963267948966</v>
      </c>
      <c r="AJ136" s="98" t="str">
        <f t="shared" si="74"/>
        <v>1+0.000939765690206011i</v>
      </c>
      <c r="AK136" s="98">
        <f t="shared" si="90"/>
        <v>1.0000004415796786</v>
      </c>
      <c r="AL136" s="98">
        <f t="shared" si="91"/>
        <v>9.3976541355180886E-4</v>
      </c>
      <c r="AM136" s="98" t="str">
        <f t="shared" si="75"/>
        <v>1+0.513539233075303i</v>
      </c>
      <c r="AN136" s="98">
        <f t="shared" si="92"/>
        <v>1.124154145972682</v>
      </c>
      <c r="AO136" s="98">
        <f t="shared" si="93"/>
        <v>0.47442023522664473</v>
      </c>
      <c r="AP136" s="168" t="str">
        <f t="shared" si="94"/>
        <v>-0.35654404013158+0.695896373909752i</v>
      </c>
      <c r="AQ136" s="98">
        <f t="shared" si="95"/>
        <v>-2.1367782192572968</v>
      </c>
      <c r="AR136" s="169">
        <f t="shared" si="96"/>
        <v>117.12843260216162</v>
      </c>
      <c r="AS136" s="168" t="str">
        <f t="shared" si="97"/>
        <v>58.9598824320249+39.9753678251878i</v>
      </c>
      <c r="AT136" s="190">
        <f t="shared" si="98"/>
        <v>37.053759488351503</v>
      </c>
      <c r="AU136" s="169">
        <f t="shared" si="99"/>
        <v>34.137648513351344</v>
      </c>
      <c r="AV136" s="225"/>
      <c r="AX136">
        <f t="shared" si="100"/>
        <v>0</v>
      </c>
      <c r="AY136">
        <f t="shared" si="101"/>
        <v>0</v>
      </c>
    </row>
    <row r="137" spans="14:51" x14ac:dyDescent="0.2">
      <c r="N137" s="170">
        <v>19</v>
      </c>
      <c r="O137" s="199">
        <f t="shared" si="102"/>
        <v>154.8816618912482</v>
      </c>
      <c r="P137" s="189" t="str">
        <f t="shared" si="67"/>
        <v>771.276595744681</v>
      </c>
      <c r="Q137" s="160" t="str">
        <f t="shared" si="68"/>
        <v>1+8.60264761194439i</v>
      </c>
      <c r="R137" s="160">
        <f t="shared" si="77"/>
        <v>8.6605742266487447</v>
      </c>
      <c r="S137" s="160">
        <f t="shared" si="78"/>
        <v>1.4550724186787092</v>
      </c>
      <c r="T137" s="160" t="str">
        <f t="shared" si="69"/>
        <v>1+0.000161932190342482i</v>
      </c>
      <c r="U137" s="160">
        <f t="shared" si="79"/>
        <v>1.0000000131110172</v>
      </c>
      <c r="V137" s="160">
        <f t="shared" si="80"/>
        <v>1.6193218892708488E-4</v>
      </c>
      <c r="W137" s="98" t="str">
        <f t="shared" si="70"/>
        <v>1-0.000661742123995719i</v>
      </c>
      <c r="X137" s="160">
        <f t="shared" si="81"/>
        <v>1.0000002189512953</v>
      </c>
      <c r="Y137" s="160">
        <f t="shared" si="82"/>
        <v>-6.6174202740287022E-4</v>
      </c>
      <c r="Z137" s="98" t="str">
        <f t="shared" si="71"/>
        <v>0.999990404668324-0.00453082404234213i</v>
      </c>
      <c r="AA137" s="160">
        <f t="shared" si="83"/>
        <v>1.0000006688973868</v>
      </c>
      <c r="AB137" s="160">
        <f t="shared" si="84"/>
        <v>-4.5308365135359741E-3</v>
      </c>
      <c r="AC137" s="171" t="str">
        <f t="shared" si="85"/>
        <v>10.6394246472653-88.4181942809676i</v>
      </c>
      <c r="AD137" s="190">
        <f t="shared" si="86"/>
        <v>38.993265500536438</v>
      </c>
      <c r="AE137" s="169">
        <f t="shared" si="87"/>
        <v>-83.138547660597112</v>
      </c>
      <c r="AF137" s="98" t="str">
        <f t="shared" si="72"/>
        <v>-0.0000119284294234592</v>
      </c>
      <c r="AG137" s="98" t="str">
        <f t="shared" si="73"/>
        <v>0.0000175488172382571i</v>
      </c>
      <c r="AH137" s="98">
        <f t="shared" si="88"/>
        <v>1.75488172382571E-5</v>
      </c>
      <c r="AI137" s="98">
        <f t="shared" si="89"/>
        <v>1.5707963267948966</v>
      </c>
      <c r="AJ137" s="98" t="str">
        <f t="shared" si="74"/>
        <v>1+0.000961655645173697i</v>
      </c>
      <c r="AK137" s="98">
        <f t="shared" si="90"/>
        <v>1.0000004623906831</v>
      </c>
      <c r="AL137" s="98">
        <f t="shared" si="91"/>
        <v>9.6165534873338587E-4</v>
      </c>
      <c r="AM137" s="98" t="str">
        <f t="shared" si="75"/>
        <v>1+0.52550109846719i</v>
      </c>
      <c r="AN137" s="98">
        <f t="shared" si="92"/>
        <v>1.1296687144867841</v>
      </c>
      <c r="AO137" s="98">
        <f t="shared" si="93"/>
        <v>0.48383974639378541</v>
      </c>
      <c r="AP137" s="168" t="str">
        <f t="shared" si="94"/>
        <v>-0.356544025291508+0.680071270307073i</v>
      </c>
      <c r="AQ137" s="98">
        <f t="shared" si="95"/>
        <v>-2.294273702830937</v>
      </c>
      <c r="AR137" s="169">
        <f t="shared" si="96"/>
        <v>117.66687663621543</v>
      </c>
      <c r="AS137" s="168" t="str">
        <f t="shared" si="97"/>
        <v>56.3372504123936+38.7605459331449i</v>
      </c>
      <c r="AT137" s="190">
        <f t="shared" si="98"/>
        <v>36.698991797705503</v>
      </c>
      <c r="AU137" s="169">
        <f t="shared" si="99"/>
        <v>34.528328975618329</v>
      </c>
      <c r="AV137" s="225"/>
      <c r="AX137">
        <f t="shared" si="100"/>
        <v>0</v>
      </c>
      <c r="AY137">
        <f t="shared" si="101"/>
        <v>0</v>
      </c>
    </row>
    <row r="138" spans="14:51" x14ac:dyDescent="0.2">
      <c r="N138" s="170">
        <v>20</v>
      </c>
      <c r="O138" s="199">
        <f t="shared" si="102"/>
        <v>158.48931924611153</v>
      </c>
      <c r="P138" s="189" t="str">
        <f t="shared" si="67"/>
        <v>771.276595744681</v>
      </c>
      <c r="Q138" s="160" t="str">
        <f t="shared" si="68"/>
        <v>1+8.80302901636347i</v>
      </c>
      <c r="R138" s="160">
        <f t="shared" si="77"/>
        <v>8.8596455833705452</v>
      </c>
      <c r="S138" s="160">
        <f t="shared" si="78"/>
        <v>1.457683947797433</v>
      </c>
      <c r="T138" s="160" t="str">
        <f t="shared" si="69"/>
        <v>1+0.000165704075602135i</v>
      </c>
      <c r="U138" s="160">
        <f t="shared" si="79"/>
        <v>1.0000000137289202</v>
      </c>
      <c r="V138" s="160">
        <f t="shared" si="80"/>
        <v>1.6570407408550967E-4</v>
      </c>
      <c r="W138" s="98" t="str">
        <f t="shared" si="70"/>
        <v>1-0.000677156078181802i</v>
      </c>
      <c r="X138" s="160">
        <f t="shared" si="81"/>
        <v>1.0000002292701509</v>
      </c>
      <c r="Y138" s="160">
        <f t="shared" si="82"/>
        <v>-6.771559746807012E-4</v>
      </c>
      <c r="Z138" s="98" t="str">
        <f t="shared" si="71"/>
        <v>0.999989952454274-0.00463636049178586i</v>
      </c>
      <c r="AA138" s="160">
        <f t="shared" si="83"/>
        <v>1.0000007004238103</v>
      </c>
      <c r="AB138" s="160">
        <f t="shared" si="84"/>
        <v>-4.6363738549061052E-3</v>
      </c>
      <c r="AC138" s="171" t="str">
        <f t="shared" si="85"/>
        <v>10.1827268598657-86.4573947278001i</v>
      </c>
      <c r="AD138" s="190">
        <f t="shared" si="86"/>
        <v>38.79587210738373</v>
      </c>
      <c r="AE138" s="169">
        <f t="shared" si="87"/>
        <v>-83.282797453958267</v>
      </c>
      <c r="AF138" s="98" t="str">
        <f t="shared" si="72"/>
        <v>-0.0000119284294234592</v>
      </c>
      <c r="AG138" s="98" t="str">
        <f t="shared" si="73"/>
        <v>0.0000179575817027242i</v>
      </c>
      <c r="AH138" s="98">
        <f t="shared" si="88"/>
        <v>1.7957581702724198E-5</v>
      </c>
      <c r="AI138" s="98">
        <f t="shared" si="89"/>
        <v>1.5707963267948966</v>
      </c>
      <c r="AJ138" s="98" t="str">
        <f t="shared" si="74"/>
        <v>1+0.000984055482693473i</v>
      </c>
      <c r="AK138" s="98">
        <f t="shared" si="90"/>
        <v>1.0000004841824792</v>
      </c>
      <c r="AL138" s="98">
        <f t="shared" si="91"/>
        <v>9.8405516505196511E-4</v>
      </c>
      <c r="AM138" s="98" t="str">
        <f t="shared" si="75"/>
        <v>1+0.537741591497315i</v>
      </c>
      <c r="AN138" s="98">
        <f t="shared" si="92"/>
        <v>1.1354144702380999</v>
      </c>
      <c r="AO138" s="98">
        <f t="shared" si="93"/>
        <v>0.4933830771723639</v>
      </c>
      <c r="AP138" s="168" t="str">
        <f t="shared" si="94"/>
        <v>-0.356544009752046+0.664606749492373i</v>
      </c>
      <c r="AQ138" s="98">
        <f t="shared" si="95"/>
        <v>-2.4502074245092658</v>
      </c>
      <c r="AR138" s="169">
        <f t="shared" si="96"/>
        <v>118.21238579738834</v>
      </c>
      <c r="AS138" s="168" t="str">
        <f t="shared" si="97"/>
        <v>53.8295778147959+37.5933751882693i</v>
      </c>
      <c r="AT138" s="190">
        <f t="shared" si="98"/>
        <v>36.345664682874471</v>
      </c>
      <c r="AU138" s="169">
        <f t="shared" si="99"/>
        <v>34.929588343430069</v>
      </c>
      <c r="AV138" s="225"/>
      <c r="AX138">
        <f t="shared" si="100"/>
        <v>0</v>
      </c>
      <c r="AY138">
        <f t="shared" si="101"/>
        <v>0</v>
      </c>
    </row>
    <row r="139" spans="14:51" x14ac:dyDescent="0.2">
      <c r="N139" s="170">
        <v>21</v>
      </c>
      <c r="O139" s="199">
        <f t="shared" si="102"/>
        <v>162.18100973589304</v>
      </c>
      <c r="P139" s="189" t="str">
        <f t="shared" si="67"/>
        <v>771.276595744681</v>
      </c>
      <c r="Q139" s="160" t="str">
        <f t="shared" si="68"/>
        <v>1+9.00807790328884i</v>
      </c>
      <c r="R139" s="160">
        <f t="shared" si="77"/>
        <v>9.063413678726171</v>
      </c>
      <c r="S139" s="160">
        <f t="shared" si="78"/>
        <v>1.4602375293739855</v>
      </c>
      <c r="T139" s="160" t="str">
        <f t="shared" si="69"/>
        <v>1+0.000169563819356025i</v>
      </c>
      <c r="U139" s="160">
        <f t="shared" si="79"/>
        <v>1.0000000143759444</v>
      </c>
      <c r="V139" s="160">
        <f t="shared" si="80"/>
        <v>1.6956381773093165E-4</v>
      </c>
      <c r="W139" s="98" t="str">
        <f t="shared" si="70"/>
        <v>1-0.000692929069483754i</v>
      </c>
      <c r="X139" s="160">
        <f t="shared" si="81"/>
        <v>1.000000240075319</v>
      </c>
      <c r="Y139" s="160">
        <f t="shared" si="82"/>
        <v>-6.9292895858032784E-4</v>
      </c>
      <c r="Z139" s="98" t="str">
        <f t="shared" si="71"/>
        <v>0.999989478928032-0.00474435520093181i</v>
      </c>
      <c r="AA139" s="160">
        <f t="shared" si="83"/>
        <v>1.000000733436246</v>
      </c>
      <c r="AB139" s="160">
        <f t="shared" si="84"/>
        <v>-4.7443695197678373E-3</v>
      </c>
      <c r="AC139" s="171" t="str">
        <f t="shared" si="85"/>
        <v>9.7460716176348-84.5378217213665i</v>
      </c>
      <c r="AD139" s="190">
        <f t="shared" si="86"/>
        <v>38.598362842603322</v>
      </c>
      <c r="AE139" s="169">
        <f t="shared" si="87"/>
        <v>-83.423601783521676</v>
      </c>
      <c r="AF139" s="98" t="str">
        <f t="shared" si="72"/>
        <v>-0.0000119284294234592</v>
      </c>
      <c r="AG139" s="98" t="str">
        <f t="shared" si="73"/>
        <v>0.0000183758675147067i</v>
      </c>
      <c r="AH139" s="98">
        <f t="shared" si="88"/>
        <v>1.83758675147067E-5</v>
      </c>
      <c r="AI139" s="98">
        <f t="shared" si="89"/>
        <v>1.5707963267948966</v>
      </c>
      <c r="AJ139" s="98" t="str">
        <f t="shared" si="74"/>
        <v>1+0.00100697707945568i</v>
      </c>
      <c r="AK139" s="98">
        <f t="shared" si="90"/>
        <v>1.0000005070012907</v>
      </c>
      <c r="AL139" s="98">
        <f t="shared" si="91"/>
        <v>1.0069767390966813E-3</v>
      </c>
      <c r="AM139" s="98" t="str">
        <f t="shared" si="75"/>
        <v>1+0.5502672022371i</v>
      </c>
      <c r="AN139" s="98">
        <f t="shared" si="92"/>
        <v>1.1414000148317178</v>
      </c>
      <c r="AO139" s="98">
        <f t="shared" si="93"/>
        <v>0.50304833345246269</v>
      </c>
      <c r="AP139" s="168" t="str">
        <f t="shared" si="94"/>
        <v>-0.356543993480233+0.649494611971925i</v>
      </c>
      <c r="AQ139" s="98">
        <f t="shared" si="95"/>
        <v>-2.6045386410036926</v>
      </c>
      <c r="AR139" s="169">
        <f t="shared" si="96"/>
        <v>118.76485088069771</v>
      </c>
      <c r="AS139" s="168" t="str">
        <f t="shared" si="97"/>
        <v>51.4319564205748+36.4714735602023i</v>
      </c>
      <c r="AT139" s="190">
        <f t="shared" si="98"/>
        <v>35.993824201599622</v>
      </c>
      <c r="AU139" s="169">
        <f t="shared" si="99"/>
        <v>35.341249097176075</v>
      </c>
      <c r="AV139" s="225"/>
      <c r="AX139">
        <f t="shared" si="100"/>
        <v>0</v>
      </c>
      <c r="AY139">
        <f t="shared" si="101"/>
        <v>0</v>
      </c>
    </row>
    <row r="140" spans="14:51" x14ac:dyDescent="0.2">
      <c r="N140" s="170">
        <v>22</v>
      </c>
      <c r="O140" s="199">
        <f t="shared" si="102"/>
        <v>165.95869074375622</v>
      </c>
      <c r="P140" s="189" t="str">
        <f t="shared" si="67"/>
        <v>771.276595744681</v>
      </c>
      <c r="Q140" s="160" t="str">
        <f t="shared" si="68"/>
        <v>1+9.21790299235461i</v>
      </c>
      <c r="R140" s="160">
        <f t="shared" si="77"/>
        <v>9.2719866035526657</v>
      </c>
      <c r="S140" s="160">
        <f t="shared" si="78"/>
        <v>1.4627343840682114</v>
      </c>
      <c r="T140" s="160" t="str">
        <f t="shared" si="69"/>
        <v>1+0.00017351346809138i</v>
      </c>
      <c r="U140" s="160">
        <f t="shared" si="79"/>
        <v>1.0000000150534616</v>
      </c>
      <c r="V140" s="160">
        <f t="shared" si="80"/>
        <v>1.7351346635006114E-4</v>
      </c>
      <c r="W140" s="98" t="str">
        <f t="shared" si="70"/>
        <v>1-0.000709069460950351i</v>
      </c>
      <c r="X140" s="160">
        <f t="shared" si="81"/>
        <v>1.0000002513897186</v>
      </c>
      <c r="Y140" s="160">
        <f t="shared" si="82"/>
        <v>-7.0906934211519045E-4</v>
      </c>
      <c r="Z140" s="98" t="str">
        <f t="shared" si="71"/>
        <v>0.999988983085187-0.00485486543000428i</v>
      </c>
      <c r="AA140" s="160">
        <f t="shared" si="83"/>
        <v>1.00000076800475</v>
      </c>
      <c r="AB140" s="160">
        <f t="shared" si="84"/>
        <v>-4.8548807729075693E-3</v>
      </c>
      <c r="AC140" s="171" t="str">
        <f t="shared" si="85"/>
        <v>9.32860112402863-82.6587580426963i</v>
      </c>
      <c r="AD140" s="190">
        <f t="shared" si="86"/>
        <v>38.400742793436564</v>
      </c>
      <c r="AE140" s="169">
        <f t="shared" si="87"/>
        <v>-83.561027668824494</v>
      </c>
      <c r="AF140" s="98" t="str">
        <f t="shared" si="72"/>
        <v>-0.0000119284294234592</v>
      </c>
      <c r="AG140" s="98" t="str">
        <f t="shared" si="73"/>
        <v>0.000018803896454879i</v>
      </c>
      <c r="AH140" s="98">
        <f t="shared" si="88"/>
        <v>1.8803896454879001E-5</v>
      </c>
      <c r="AI140" s="98">
        <f t="shared" si="89"/>
        <v>1.5707963267948966</v>
      </c>
      <c r="AJ140" s="98" t="str">
        <f t="shared" si="74"/>
        <v>1+0.00103043258879434i</v>
      </c>
      <c r="AK140" s="98">
        <f t="shared" si="90"/>
        <v>1.0000005308955191</v>
      </c>
      <c r="AL140" s="98">
        <f t="shared" si="91"/>
        <v>1.030432224093113E-3</v>
      </c>
      <c r="AM140" s="98" t="str">
        <f t="shared" si="75"/>
        <v>1+0.563084571931163i</v>
      </c>
      <c r="AN140" s="98">
        <f t="shared" si="92"/>
        <v>1.1476341904748659</v>
      </c>
      <c r="AO140" s="98">
        <f t="shared" si="93"/>
        <v>0.51283341589855203</v>
      </c>
      <c r="AP140" s="168" t="str">
        <f t="shared" si="94"/>
        <v>-0.356543976441555+0.634726845090272i</v>
      </c>
      <c r="AQ140" s="98">
        <f t="shared" si="95"/>
        <v>-2.7572267591254738</v>
      </c>
      <c r="AR140" s="169">
        <f t="shared" si="96"/>
        <v>119.32415090674945</v>
      </c>
      <c r="AS140" s="168" t="str">
        <f t="shared" si="97"/>
        <v>49.1396761721224+35.3925958408236i</v>
      </c>
      <c r="AT140" s="190">
        <f t="shared" si="98"/>
        <v>35.643516034311084</v>
      </c>
      <c r="AU140" s="169">
        <f t="shared" si="99"/>
        <v>35.763123237925043</v>
      </c>
      <c r="AV140" s="225"/>
      <c r="AX140">
        <f t="shared" si="100"/>
        <v>0</v>
      </c>
      <c r="AY140">
        <f t="shared" si="101"/>
        <v>0</v>
      </c>
    </row>
    <row r="141" spans="14:51" x14ac:dyDescent="0.2">
      <c r="N141" s="170">
        <v>23</v>
      </c>
      <c r="O141" s="199">
        <f t="shared" si="102"/>
        <v>169.82436524617444</v>
      </c>
      <c r="P141" s="189" t="str">
        <f t="shared" si="67"/>
        <v>771.276595744681</v>
      </c>
      <c r="Q141" s="160" t="str">
        <f t="shared" si="68"/>
        <v>1+9.43261553560023i</v>
      </c>
      <c r="R141" s="160">
        <f t="shared" si="77"/>
        <v>9.4854749929798885</v>
      </c>
      <c r="S141" s="160">
        <f t="shared" si="78"/>
        <v>1.4651757111490633</v>
      </c>
      <c r="T141" s="160" t="str">
        <f t="shared" si="69"/>
        <v>1+0.000177555115964239i</v>
      </c>
      <c r="U141" s="160">
        <f t="shared" si="79"/>
        <v>1.0000000157629094</v>
      </c>
      <c r="V141" s="160">
        <f t="shared" si="80"/>
        <v>1.7755511409838222E-4</v>
      </c>
      <c r="W141" s="98" t="str">
        <f t="shared" si="70"/>
        <v>1-0.000725585810430784i</v>
      </c>
      <c r="X141" s="160">
        <f t="shared" si="81"/>
        <v>1.0000002632373495</v>
      </c>
      <c r="Y141" s="160">
        <f t="shared" si="82"/>
        <v>-7.2558568309661698E-4</v>
      </c>
      <c r="Z141" s="98" t="str">
        <f t="shared" si="71"/>
        <v>0.999988463873988-0.00496794977298945i</v>
      </c>
      <c r="AA141" s="160">
        <f t="shared" si="83"/>
        <v>1.0000008042026791</v>
      </c>
      <c r="AB141" s="160">
        <f t="shared" si="84"/>
        <v>-4.9679662131998561E-3</v>
      </c>
      <c r="AC141" s="171" t="str">
        <f t="shared" si="85"/>
        <v>8.92949239703703-80.8194886822234i</v>
      </c>
      <c r="AD141" s="190">
        <f t="shared" si="86"/>
        <v>38.203016829109764</v>
      </c>
      <c r="AE141" s="169">
        <f t="shared" si="87"/>
        <v>-83.695140835788138</v>
      </c>
      <c r="AF141" s="98" t="str">
        <f t="shared" si="72"/>
        <v>-0.0000119284294234592</v>
      </c>
      <c r="AG141" s="98" t="str">
        <f t="shared" si="73"/>
        <v>0.0000192418954698506i</v>
      </c>
      <c r="AH141" s="98">
        <f t="shared" si="88"/>
        <v>1.9241895469850601E-5</v>
      </c>
      <c r="AI141" s="98">
        <f t="shared" si="89"/>
        <v>1.5707963267948966</v>
      </c>
      <c r="AJ141" s="98" t="str">
        <f t="shared" si="74"/>
        <v>1+0.00105443444713096i</v>
      </c>
      <c r="AK141" s="98">
        <f t="shared" si="90"/>
        <v>1.0000005559158471</v>
      </c>
      <c r="AL141" s="98">
        <f t="shared" si="91"/>
        <v>1.0544340563465662E-3</v>
      </c>
      <c r="AM141" s="98" t="str">
        <f t="shared" si="75"/>
        <v>1+0.576200496518565i</v>
      </c>
      <c r="AN141" s="98">
        <f t="shared" si="92"/>
        <v>1.1541260815821817</v>
      </c>
      <c r="AO141" s="98">
        <f t="shared" si="93"/>
        <v>0.5227360167705285</v>
      </c>
      <c r="AP141" s="168" t="str">
        <f t="shared" si="94"/>
        <v>-0.356543958599869+0.620295618781836i</v>
      </c>
      <c r="AQ141" s="98">
        <f t="shared" si="95"/>
        <v>-2.9082314316903597</v>
      </c>
      <c r="AR141" s="169">
        <f t="shared" si="96"/>
        <v>119.89015293922758</v>
      </c>
      <c r="AS141" s="168" t="str">
        <f t="shared" si="97"/>
        <v>46.9482181742443+34.354625438605i</v>
      </c>
      <c r="AT141" s="190">
        <f t="shared" si="98"/>
        <v>35.294785397419389</v>
      </c>
      <c r="AU141" s="169">
        <f t="shared" si="99"/>
        <v>36.195012103439446</v>
      </c>
      <c r="AV141" s="225"/>
      <c r="AX141">
        <f t="shared" si="100"/>
        <v>0</v>
      </c>
      <c r="AY141">
        <f t="shared" si="101"/>
        <v>0</v>
      </c>
    </row>
    <row r="142" spans="14:51" x14ac:dyDescent="0.2">
      <c r="N142" s="170">
        <v>24</v>
      </c>
      <c r="O142" s="199">
        <f t="shared" si="102"/>
        <v>173.78008287493768</v>
      </c>
      <c r="P142" s="189" t="str">
        <f t="shared" si="67"/>
        <v>771.276595744681</v>
      </c>
      <c r="Q142" s="160" t="str">
        <f t="shared" si="68"/>
        <v>1+9.65232937645833i</v>
      </c>
      <c r="R142" s="160">
        <f t="shared" si="77"/>
        <v>9.7039920853038861</v>
      </c>
      <c r="S142" s="160">
        <f t="shared" si="78"/>
        <v>1.4675626885730768</v>
      </c>
      <c r="T142" s="160" t="str">
        <f t="shared" si="69"/>
        <v>1+0.000181690905909803i</v>
      </c>
      <c r="U142" s="160">
        <f t="shared" si="79"/>
        <v>1.0000000165057925</v>
      </c>
      <c r="V142" s="160">
        <f t="shared" si="80"/>
        <v>1.8169090391050141E-4</v>
      </c>
      <c r="W142" s="98" t="str">
        <f t="shared" si="70"/>
        <v>1-0.000742486875112176i</v>
      </c>
      <c r="X142" s="160">
        <f t="shared" si="81"/>
        <v>1.0000002756433419</v>
      </c>
      <c r="Y142" s="160">
        <f t="shared" si="82"/>
        <v>-7.4248673867115993E-4</v>
      </c>
      <c r="Z142" s="98" t="str">
        <f t="shared" si="71"/>
        <v>0.999987920193118-0.00508366818870289i</v>
      </c>
      <c r="AA142" s="160">
        <f t="shared" si="83"/>
        <v>1.0000008421068507</v>
      </c>
      <c r="AB142" s="160">
        <f t="shared" si="84"/>
        <v>-5.0836858046982474E-3</v>
      </c>
      <c r="AC142" s="171" t="str">
        <f t="shared" si="85"/>
        <v>8.54795602304407-79.0193016628387i</v>
      </c>
      <c r="AD142" s="190">
        <f t="shared" si="86"/>
        <v>38.005189609702555</v>
      </c>
      <c r="AE142" s="169">
        <f t="shared" si="87"/>
        <v>-83.826005719629848</v>
      </c>
      <c r="AF142" s="98" t="str">
        <f t="shared" si="72"/>
        <v>-0.0000119284294234592</v>
      </c>
      <c r="AG142" s="98" t="str">
        <f t="shared" si="73"/>
        <v>0.0000196900967924969i</v>
      </c>
      <c r="AH142" s="98">
        <f t="shared" si="88"/>
        <v>1.9690096792496899E-5</v>
      </c>
      <c r="AI142" s="98">
        <f t="shared" si="89"/>
        <v>1.5707963267948966</v>
      </c>
      <c r="AJ142" s="98" t="str">
        <f t="shared" si="74"/>
        <v>1+0.00107899538056855i</v>
      </c>
      <c r="AK142" s="98">
        <f t="shared" si="90"/>
        <v>1.0000005821153461</v>
      </c>
      <c r="AL142" s="98">
        <f t="shared" si="91"/>
        <v>1.0789949618355409E-3</v>
      </c>
      <c r="AM142" s="98" t="str">
        <f t="shared" si="75"/>
        <v>1+0.589621930236141i</v>
      </c>
      <c r="AN142" s="98">
        <f t="shared" si="92"/>
        <v>1.1608850161042621</v>
      </c>
      <c r="AO142" s="98">
        <f t="shared" si="93"/>
        <v>0.53275361739432125</v>
      </c>
      <c r="AP142" s="168" t="str">
        <f t="shared" si="94"/>
        <v>-0.356543939917336+0.606193281419288i</v>
      </c>
      <c r="AQ142" s="98">
        <f t="shared" si="95"/>
        <v>-3.0575126573481222</v>
      </c>
      <c r="AR142" s="169">
        <f t="shared" si="96"/>
        <v>120.46271193959305</v>
      </c>
      <c r="AS142" s="168" t="str">
        <f t="shared" si="97"/>
        <v>44.8532478517605+33.3555666554219i</v>
      </c>
      <c r="AT142" s="190">
        <f t="shared" si="98"/>
        <v>34.947676952354435</v>
      </c>
      <c r="AU142" s="169">
        <f t="shared" si="99"/>
        <v>36.636706219963258</v>
      </c>
      <c r="AV142" s="225"/>
      <c r="AX142">
        <f t="shared" si="100"/>
        <v>0</v>
      </c>
      <c r="AY142">
        <f t="shared" si="101"/>
        <v>0</v>
      </c>
    </row>
    <row r="143" spans="14:51" x14ac:dyDescent="0.2">
      <c r="N143" s="170">
        <v>25</v>
      </c>
      <c r="O143" s="199">
        <f t="shared" si="102"/>
        <v>177.82794100389242</v>
      </c>
      <c r="P143" s="189" t="str">
        <f t="shared" si="67"/>
        <v>771.276595744681</v>
      </c>
      <c r="Q143" s="160" t="str">
        <f t="shared" si="68"/>
        <v>1+9.87716101011551i</v>
      </c>
      <c r="R143" s="160">
        <f t="shared" si="77"/>
        <v>9.9276537822259918</v>
      </c>
      <c r="S143" s="160">
        <f t="shared" si="78"/>
        <v>1.4698964730863624</v>
      </c>
      <c r="T143" s="160" t="str">
        <f t="shared" si="69"/>
        <v>1+0.000185923030778644i</v>
      </c>
      <c r="U143" s="160">
        <f t="shared" si="79"/>
        <v>1.0000000172836865</v>
      </c>
      <c r="V143" s="160">
        <f t="shared" si="80"/>
        <v>1.8592302863635379E-4</v>
      </c>
      <c r="W143" s="98" t="str">
        <f t="shared" si="70"/>
        <v>1-0.000759781616162728i</v>
      </c>
      <c r="X143" s="160">
        <f t="shared" si="81"/>
        <v>1.0000002886340105</v>
      </c>
      <c r="Y143" s="160">
        <f t="shared" si="82"/>
        <v>-7.5978146996354752E-4</v>
      </c>
      <c r="Z143" s="98" t="str">
        <f t="shared" si="71"/>
        <v>0.999987350889359-0.00520208203258028i</v>
      </c>
      <c r="AA143" s="160">
        <f t="shared" si="83"/>
        <v>1.0000008817977071</v>
      </c>
      <c r="AB143" s="160">
        <f t="shared" si="84"/>
        <v>-5.2021009084509953E-3</v>
      </c>
      <c r="AC143" s="171" t="str">
        <f t="shared" si="85"/>
        <v>8.18323494017841-77.2574887931338i</v>
      </c>
      <c r="AD143" s="190">
        <f t="shared" si="86"/>
        <v>37.807265594697647</v>
      </c>
      <c r="AE143" s="169">
        <f t="shared" si="87"/>
        <v>-83.953685469084164</v>
      </c>
      <c r="AF143" s="98" t="str">
        <f t="shared" si="72"/>
        <v>-0.0000119284294234592</v>
      </c>
      <c r="AG143" s="98" t="str">
        <f t="shared" si="73"/>
        <v>0.0000201487380650918i</v>
      </c>
      <c r="AH143" s="98">
        <f t="shared" si="88"/>
        <v>2.0148738065091802E-5</v>
      </c>
      <c r="AI143" s="98">
        <f t="shared" si="89"/>
        <v>1.5707963267948966</v>
      </c>
      <c r="AJ143" s="98" t="str">
        <f t="shared" si="74"/>
        <v>1+0.00110412841163911i</v>
      </c>
      <c r="AK143" s="98">
        <f t="shared" si="90"/>
        <v>1.0000006095495888</v>
      </c>
      <c r="AL143" s="98">
        <f t="shared" si="91"/>
        <v>1.1041279629586218E-3</v>
      </c>
      <c r="AM143" s="98" t="str">
        <f t="shared" si="75"/>
        <v>1+0.603355989305697i</v>
      </c>
      <c r="AN143" s="98">
        <f t="shared" si="92"/>
        <v>1.1679205665759365</v>
      </c>
      <c r="AO143" s="98">
        <f t="shared" si="93"/>
        <v>0.54288348633492789</v>
      </c>
      <c r="AP143" s="168" t="str">
        <f t="shared" si="94"/>
        <v>-0.356543920354324+0.592412355756566i</v>
      </c>
      <c r="AQ143" s="98">
        <f t="shared" si="95"/>
        <v>-3.2050308839901747</v>
      </c>
      <c r="AR143" s="169">
        <f t="shared" si="96"/>
        <v>121.04167066201957</v>
      </c>
      <c r="AS143" s="168" t="str">
        <f t="shared" si="97"/>
        <v>42.8506082690252+32.3935374196547i</v>
      </c>
      <c r="AT143" s="190">
        <f t="shared" si="98"/>
        <v>34.602234710707471</v>
      </c>
      <c r="AU143" s="169">
        <f t="shared" si="99"/>
        <v>37.087985192935392</v>
      </c>
      <c r="AV143" s="225"/>
      <c r="AX143">
        <f t="shared" si="100"/>
        <v>0</v>
      </c>
      <c r="AY143">
        <f t="shared" si="101"/>
        <v>0</v>
      </c>
    </row>
    <row r="144" spans="14:51" x14ac:dyDescent="0.2">
      <c r="N144" s="170">
        <v>26</v>
      </c>
      <c r="O144" s="199">
        <f t="shared" si="102"/>
        <v>181.9700858609983</v>
      </c>
      <c r="P144" s="189" t="str">
        <f t="shared" si="67"/>
        <v>771.276595744681</v>
      </c>
      <c r="Q144" s="160" t="str">
        <f t="shared" si="68"/>
        <v>1+10.1072296452798i</v>
      </c>
      <c r="R144" s="160">
        <f t="shared" si="77"/>
        <v>10.15657871049217</v>
      </c>
      <c r="S144" s="160">
        <f t="shared" si="78"/>
        <v>1.4721782003481152</v>
      </c>
      <c r="T144" s="160" t="str">
        <f t="shared" si="69"/>
        <v>1+0.000190253734499384i</v>
      </c>
      <c r="U144" s="160">
        <f t="shared" si="79"/>
        <v>1.0000000180982416</v>
      </c>
      <c r="V144" s="160">
        <f t="shared" si="80"/>
        <v>1.9025373220387867E-4</v>
      </c>
      <c r="W144" s="98" t="str">
        <f t="shared" si="70"/>
        <v>1-0.000777479203483059i</v>
      </c>
      <c r="X144" s="160">
        <f t="shared" si="81"/>
        <v>1.0000003022369102</v>
      </c>
      <c r="Y144" s="160">
        <f t="shared" si="82"/>
        <v>-7.7747904682781731E-4</v>
      </c>
      <c r="Z144" s="98" t="str">
        <f t="shared" si="71"/>
        <v>0.999986754755141-0.00532325408920899i</v>
      </c>
      <c r="AA144" s="160">
        <f t="shared" si="83"/>
        <v>1.0000009233594822</v>
      </c>
      <c r="AB144" s="160">
        <f t="shared" si="84"/>
        <v>-5.3232743150594466E-3</v>
      </c>
      <c r="AC144" s="171" t="str">
        <f t="shared" si="85"/>
        <v>7.83460325195967-75.533346355076i</v>
      </c>
      <c r="AD144" s="190">
        <f t="shared" si="86"/>
        <v>37.609249051218249</v>
      </c>
      <c r="AE144" s="169">
        <f t="shared" si="87"/>
        <v>-84.078241951819848</v>
      </c>
      <c r="AF144" s="98" t="str">
        <f t="shared" si="72"/>
        <v>-0.0000119284294234592</v>
      </c>
      <c r="AG144" s="98" t="str">
        <f t="shared" si="73"/>
        <v>0.0000206180624653089i</v>
      </c>
      <c r="AH144" s="98">
        <f t="shared" si="88"/>
        <v>2.0618062465308901E-5</v>
      </c>
      <c r="AI144" s="98">
        <f t="shared" si="89"/>
        <v>1.5707963267948966</v>
      </c>
      <c r="AJ144" s="98" t="str">
        <f t="shared" si="74"/>
        <v>1+0.00112984686620837i</v>
      </c>
      <c r="AK144" s="98">
        <f t="shared" si="90"/>
        <v>1.0000006382767668</v>
      </c>
      <c r="AL144" s="98">
        <f t="shared" si="91"/>
        <v>1.1298463854385815E-3</v>
      </c>
      <c r="AM144" s="98" t="str">
        <f t="shared" si="75"/>
        <v>1+0.617409955707137i</v>
      </c>
      <c r="AN144" s="98">
        <f t="shared" si="92"/>
        <v>1.175242550883131</v>
      </c>
      <c r="AO144" s="98">
        <f t="shared" si="93"/>
        <v>0.55312267832275763</v>
      </c>
      <c r="AP144" s="168" t="str">
        <f t="shared" si="94"/>
        <v>-0.356543899869334+0.578945534964333i</v>
      </c>
      <c r="AQ144" s="98">
        <f t="shared" si="95"/>
        <v>-3.3507471153365298</v>
      </c>
      <c r="AR144" s="169">
        <f t="shared" si="96"/>
        <v>121.62685959148256</v>
      </c>
      <c r="AS144" s="168" t="str">
        <f t="shared" si="97"/>
        <v>40.9363136158031+31.466762450559i</v>
      </c>
      <c r="AT144" s="190">
        <f t="shared" si="98"/>
        <v>34.258501935881725</v>
      </c>
      <c r="AU144" s="169">
        <f t="shared" si="99"/>
        <v>37.548617639662652</v>
      </c>
      <c r="AV144" s="225"/>
      <c r="AX144">
        <f t="shared" si="100"/>
        <v>0</v>
      </c>
      <c r="AY144">
        <f t="shared" si="101"/>
        <v>0</v>
      </c>
    </row>
    <row r="145" spans="14:51" x14ac:dyDescent="0.2">
      <c r="N145" s="170">
        <v>27</v>
      </c>
      <c r="O145" s="199">
        <f t="shared" si="102"/>
        <v>186.20871366628685</v>
      </c>
      <c r="P145" s="189" t="str">
        <f t="shared" si="67"/>
        <v>771.276595744681</v>
      </c>
      <c r="Q145" s="160" t="str">
        <f t="shared" si="68"/>
        <v>1+10.3426572673871i</v>
      </c>
      <c r="R145" s="160">
        <f t="shared" si="77"/>
        <v>10.390888284965593</v>
      </c>
      <c r="S145" s="160">
        <f t="shared" si="78"/>
        <v>1.4744089850737372</v>
      </c>
      <c r="T145" s="160" t="str">
        <f t="shared" si="69"/>
        <v>1+0.000194685313268463i</v>
      </c>
      <c r="U145" s="160">
        <f t="shared" si="79"/>
        <v>1.0000000189511855</v>
      </c>
      <c r="V145" s="160">
        <f t="shared" si="80"/>
        <v>1.9468531080878471E-4</v>
      </c>
      <c r="W145" s="98" t="str">
        <f t="shared" si="70"/>
        <v>1-0.000795589020568236i</v>
      </c>
      <c r="X145" s="160">
        <f t="shared" si="81"/>
        <v>1.0000003164808946</v>
      </c>
      <c r="Y145" s="160">
        <f t="shared" si="82"/>
        <v>-7.9558885270912311E-4</v>
      </c>
      <c r="Z145" s="98" t="str">
        <f t="shared" si="71"/>
        <v>0.999986130525982-0.00544724860561742i</v>
      </c>
      <c r="AA145" s="160">
        <f t="shared" si="83"/>
        <v>1.0000009668803813</v>
      </c>
      <c r="AB145" s="160">
        <f t="shared" si="84"/>
        <v>-5.4472702779960859E-3</v>
      </c>
      <c r="AC145" s="171" t="str">
        <f t="shared" si="85"/>
        <v>7.5013650718535-73.8461757301736i</v>
      </c>
      <c r="AD145" s="190">
        <f t="shared" si="86"/>
        <v>37.411144061961515</v>
      </c>
      <c r="AE145" s="169">
        <f t="shared" si="87"/>
        <v>-84.199735760941408</v>
      </c>
      <c r="AF145" s="98" t="str">
        <f t="shared" si="72"/>
        <v>-0.0000119284294234592</v>
      </c>
      <c r="AG145" s="98" t="str">
        <f t="shared" si="73"/>
        <v>0.0000210983188351575i</v>
      </c>
      <c r="AH145" s="98">
        <f t="shared" si="88"/>
        <v>2.1098318835157501E-5</v>
      </c>
      <c r="AI145" s="98">
        <f t="shared" si="89"/>
        <v>1.5707963267948966</v>
      </c>
      <c r="AJ145" s="98" t="str">
        <f t="shared" si="74"/>
        <v>1+0.00115616438054139i</v>
      </c>
      <c r="AK145" s="98">
        <f t="shared" si="90"/>
        <v>1.0000006683578142</v>
      </c>
      <c r="AL145" s="98">
        <f t="shared" si="91"/>
        <v>1.1561638653872989E-3</v>
      </c>
      <c r="AM145" s="98" t="str">
        <f t="shared" si="75"/>
        <v>1+0.631791281039483i</v>
      </c>
      <c r="AN145" s="98">
        <f t="shared" si="92"/>
        <v>1.1828610327496256</v>
      </c>
      <c r="AO145" s="98">
        <f t="shared" si="93"/>
        <v>0.56346803398116296</v>
      </c>
      <c r="AP145" s="168" t="str">
        <f t="shared" si="94"/>
        <v>-0.356543878418919+0.565785678755804i</v>
      </c>
      <c r="AQ145" s="98">
        <f t="shared" si="95"/>
        <v>-3.4946230202500148</v>
      </c>
      <c r="AR145" s="169">
        <f t="shared" si="96"/>
        <v>122.21809692774247</v>
      </c>
      <c r="AS145" s="168" t="str">
        <f t="shared" si="97"/>
        <v>39.1065428628618+30.5735668300149i</v>
      </c>
      <c r="AT145" s="190">
        <f t="shared" si="98"/>
        <v>33.916521041711505</v>
      </c>
      <c r="AU145" s="169">
        <f t="shared" si="99"/>
        <v>38.018361166801085</v>
      </c>
      <c r="AV145" s="225"/>
      <c r="AX145">
        <f t="shared" si="100"/>
        <v>0</v>
      </c>
      <c r="AY145">
        <f t="shared" si="101"/>
        <v>0</v>
      </c>
    </row>
    <row r="146" spans="14:51" x14ac:dyDescent="0.2">
      <c r="N146" s="170">
        <v>28</v>
      </c>
      <c r="O146" s="199">
        <f t="shared" si="102"/>
        <v>190.54607179632498</v>
      </c>
      <c r="P146" s="189" t="str">
        <f t="shared" si="67"/>
        <v>771.276595744681</v>
      </c>
      <c r="Q146" s="160" t="str">
        <f t="shared" si="68"/>
        <v>1+10.5835687032789i</v>
      </c>
      <c r="R146" s="160">
        <f t="shared" si="77"/>
        <v>10.630706773165395</v>
      </c>
      <c r="S146" s="160">
        <f t="shared" si="78"/>
        <v>1.4765899211957823</v>
      </c>
      <c r="T146" s="160" t="str">
        <f t="shared" si="69"/>
        <v>1+0.000199220116767603i</v>
      </c>
      <c r="U146" s="160">
        <f t="shared" si="79"/>
        <v>1.0000000198443273</v>
      </c>
      <c r="V146" s="160">
        <f t="shared" si="80"/>
        <v>1.9922011413201025E-4</v>
      </c>
      <c r="W146" s="98" t="str">
        <f t="shared" si="70"/>
        <v>1-0.000814120669482991i</v>
      </c>
      <c r="X146" s="160">
        <f t="shared" si="81"/>
        <v>1.0000003313961774</v>
      </c>
      <c r="Y146" s="160">
        <f t="shared" si="82"/>
        <v>-8.1412048961871416E-4</v>
      </c>
      <c r="Z146" s="98" t="str">
        <f t="shared" si="71"/>
        <v>0.999985476877809-0.00557413132533946i</v>
      </c>
      <c r="AA146" s="160">
        <f t="shared" si="83"/>
        <v>1.0000010124527732</v>
      </c>
      <c r="AB146" s="160">
        <f t="shared" si="84"/>
        <v>-5.5741545476997393E-3</v>
      </c>
      <c r="AC146" s="171" t="str">
        <f t="shared" si="85"/>
        <v>7.18285339916765-72.1952839679964i</v>
      </c>
      <c r="AD146" s="190">
        <f t="shared" si="86"/>
        <v>37.212954532836704</v>
      </c>
      <c r="AE146" s="169">
        <f t="shared" si="87"/>
        <v>-84.318226222472688</v>
      </c>
      <c r="AF146" s="98" t="str">
        <f t="shared" si="72"/>
        <v>-0.0000119284294234592</v>
      </c>
      <c r="AG146" s="98" t="str">
        <f t="shared" si="73"/>
        <v>0.0000215897618129217i</v>
      </c>
      <c r="AH146" s="98">
        <f t="shared" si="88"/>
        <v>2.1589761812921698E-5</v>
      </c>
      <c r="AI146" s="98">
        <f t="shared" si="89"/>
        <v>1.5707963267948966</v>
      </c>
      <c r="AJ146" s="98" t="str">
        <f t="shared" si="74"/>
        <v>1+0.00118309490853264i</v>
      </c>
      <c r="AK146" s="98">
        <f t="shared" si="90"/>
        <v>1.0000006998565365</v>
      </c>
      <c r="AL146" s="98">
        <f t="shared" si="91"/>
        <v>1.1830943565351072E-3</v>
      </c>
      <c r="AM146" s="98" t="str">
        <f t="shared" si="75"/>
        <v>1+0.646507590471789i</v>
      </c>
      <c r="AN146" s="98">
        <f t="shared" si="92"/>
        <v>1.1907863219476609</v>
      </c>
      <c r="AO146" s="98">
        <f t="shared" si="93"/>
        <v>0.57391618039939218</v>
      </c>
      <c r="AP146" s="168" t="str">
        <f t="shared" si="94"/>
        <v>-0.356543855957585+0.552925809600874i</v>
      </c>
      <c r="AQ146" s="98">
        <f t="shared" si="95"/>
        <v>-3.6366210442745373</v>
      </c>
      <c r="AR146" s="169">
        <f t="shared" si="96"/>
        <v>122.81518861775872</v>
      </c>
      <c r="AS146" s="168" t="str">
        <f t="shared" si="97"/>
        <v>37.3576335896521+29.7123699588814i</v>
      </c>
      <c r="AT146" s="190">
        <f t="shared" si="98"/>
        <v>33.576333488562163</v>
      </c>
      <c r="AU146" s="169">
        <f t="shared" si="99"/>
        <v>38.49696239528604</v>
      </c>
      <c r="AV146" s="225"/>
      <c r="AX146">
        <f t="shared" si="100"/>
        <v>0</v>
      </c>
      <c r="AY146">
        <f t="shared" si="101"/>
        <v>0</v>
      </c>
    </row>
    <row r="147" spans="14:51" x14ac:dyDescent="0.2">
      <c r="N147" s="170">
        <v>29</v>
      </c>
      <c r="O147" s="199">
        <f t="shared" si="102"/>
        <v>194.98445997580458</v>
      </c>
      <c r="P147" s="189" t="str">
        <f t="shared" ref="P147:P210" si="103">COMPLEX(Adc,0)</f>
        <v>771.276595744681</v>
      </c>
      <c r="Q147" s="160" t="str">
        <f t="shared" ref="Q147:Q210" si="104">IMSUM(COMPLEX(1,0),IMDIV(COMPLEX(0,2*PI()*O147),COMPLEX(wp_lf,0)))</f>
        <v>1+10.8300916873872i</v>
      </c>
      <c r="R147" s="160">
        <f t="shared" si="77"/>
        <v>10.876161361308196</v>
      </c>
      <c r="S147" s="160">
        <f t="shared" si="78"/>
        <v>1.4787220820410734</v>
      </c>
      <c r="T147" s="160" t="str">
        <f t="shared" ref="T147:T210" si="105">IMSUM(COMPLEX(1,0),IMDIV(COMPLEX(0,2*PI()*O147),COMPLEX(wz_esr,0)))</f>
        <v>1+0.000203860549409641i</v>
      </c>
      <c r="U147" s="160">
        <f t="shared" si="79"/>
        <v>1.0000000207795616</v>
      </c>
      <c r="V147" s="160">
        <f t="shared" si="80"/>
        <v>2.038605465855525E-4</v>
      </c>
      <c r="W147" s="98" t="str">
        <f t="shared" ref="W147:W210" si="106">IMSUB(COMPLEX(1,0),IMDIV(COMPLEX(0,2*PI()*O147),COMPLEX(wz_rhp,0)))</f>
        <v>1-0.000833083975952856i</v>
      </c>
      <c r="X147" s="160">
        <f t="shared" si="81"/>
        <v>1.0000003470143952</v>
      </c>
      <c r="Y147" s="160">
        <f t="shared" si="82"/>
        <v>-8.3308378322481474E-4</v>
      </c>
      <c r="Z147" s="98" t="str">
        <f t="shared" ref="Z147:Z210" si="107">IF(Dc_Mode_Loop="CCM",IMSUM(COMPLEX(1,0),IMDIV(COMPLEX(0,2*PI()*O147),COMPLEX(Q*(wsl/2),0)),IMDIV(IMPOWER(COMPLEX(0,2*PI()*O147),2),IMPOWER(COMPLEX(wsl/2,0),2))),COMPLEX(1,0))</f>
        <v>0.999984792424147-0.00570396952327247i</v>
      </c>
      <c r="AA147" s="160">
        <f t="shared" si="83"/>
        <v>1.0000010601733813</v>
      </c>
      <c r="AB147" s="160">
        <f t="shared" si="84"/>
        <v>-5.7039944064665241E-3</v>
      </c>
      <c r="AC147" s="171" t="str">
        <f t="shared" si="85"/>
        <v>6.87842902656004-70.579984300718i</v>
      </c>
      <c r="AD147" s="190">
        <f t="shared" si="86"/>
        <v>37.01468420031609</v>
      </c>
      <c r="AE147" s="169">
        <f t="shared" si="87"/>
        <v>-84.433771403725601</v>
      </c>
      <c r="AF147" s="98" t="str">
        <f t="shared" ref="AF147:AF210" si="108">COMPLEX(Adc_ea,0)</f>
        <v>-0.0000119284294234592</v>
      </c>
      <c r="AG147" s="98" t="str">
        <f t="shared" ref="AG147:AG210" si="109">COMPLEX(0,2*PI()*O147*wp0_ea)</f>
        <v>0.0000220926519681734i</v>
      </c>
      <c r="AH147" s="98">
        <f t="shared" si="88"/>
        <v>2.2092651968173399E-5</v>
      </c>
      <c r="AI147" s="98">
        <f t="shared" si="89"/>
        <v>1.5707963267948966</v>
      </c>
      <c r="AJ147" s="98" t="str">
        <f t="shared" ref="AJ147:AJ210" si="110">IMSUM(COMPLEX(1,0),IMDIV(COMPLEX(0,2*PI()*O147),COMPLEX(wp1_ea,0)))</f>
        <v>1+0.00121065272910448i</v>
      </c>
      <c r="AK147" s="98">
        <f t="shared" si="90"/>
        <v>1.0000007328397467</v>
      </c>
      <c r="AL147" s="98">
        <f t="shared" si="91"/>
        <v>1.2106521376284904E-3</v>
      </c>
      <c r="AM147" s="98" t="str">
        <f t="shared" ref="AM147:AM210" si="111">IMSUM(COMPLEX(1,0),IMDIV(COMPLEX(0,2*PI()*O147),COMPLEX(wz_ea,0)))</f>
        <v>1+0.661566686786094i</v>
      </c>
      <c r="AN147" s="98">
        <f t="shared" si="92"/>
        <v>1.1990289742392091</v>
      </c>
      <c r="AO147" s="98">
        <f t="shared" si="93"/>
        <v>0.58446353259087946</v>
      </c>
      <c r="AP147" s="168" t="str">
        <f t="shared" si="94"/>
        <v>-0.356543832437679+0.540359109026527i</v>
      </c>
      <c r="AQ147" s="98">
        <f t="shared" si="95"/>
        <v>-3.7767045228442302</v>
      </c>
      <c r="AR147" s="169">
        <f t="shared" si="96"/>
        <v>123.41792843881962</v>
      </c>
      <c r="AS147" s="168" t="str">
        <f t="shared" si="97"/>
        <v>35.6860759855619+28.8816798762634i</v>
      </c>
      <c r="AT147" s="190">
        <f t="shared" si="98"/>
        <v>33.237979677471856</v>
      </c>
      <c r="AU147" s="169">
        <f t="shared" si="99"/>
        <v>38.984157035094064</v>
      </c>
      <c r="AV147" s="225"/>
      <c r="AX147">
        <f t="shared" si="100"/>
        <v>0</v>
      </c>
      <c r="AY147">
        <f t="shared" si="101"/>
        <v>0</v>
      </c>
    </row>
    <row r="148" spans="14:51" x14ac:dyDescent="0.2">
      <c r="N148" s="170">
        <v>30</v>
      </c>
      <c r="O148" s="199">
        <f t="shared" si="102"/>
        <v>199.52623149688802</v>
      </c>
      <c r="P148" s="189" t="str">
        <f t="shared" si="103"/>
        <v>771.276595744681</v>
      </c>
      <c r="Q148" s="160" t="str">
        <f t="shared" si="104"/>
        <v>1+11.0823569294614i</v>
      </c>
      <c r="R148" s="160">
        <f t="shared" ref="R148:R211" si="112">IMABS(Q148)</f>
        <v>11.12738222188764</v>
      </c>
      <c r="S148" s="160">
        <f t="shared" ref="S148:S211" si="113">IMARGUMENT(Q148)</f>
        <v>1.4808065205224294</v>
      </c>
      <c r="T148" s="160" t="str">
        <f t="shared" si="105"/>
        <v>1+0.00020860907161339i</v>
      </c>
      <c r="U148" s="160">
        <f t="shared" ref="U148:U211" si="114">IMABS(T148)</f>
        <v>1.000000021758872</v>
      </c>
      <c r="V148" s="160">
        <f t="shared" ref="V148:V211" si="115">IMARGUMENT(T148)</f>
        <v>2.0860906858732463E-4</v>
      </c>
      <c r="W148" s="98" t="str">
        <f t="shared" si="106"/>
        <v>1-0.000852488994573947i</v>
      </c>
      <c r="X148" s="160">
        <f t="shared" ref="X148:X211" si="116">IMABS(W148)</f>
        <v>1.0000003633686769</v>
      </c>
      <c r="Y148" s="160">
        <f t="shared" ref="Y148:Y211" si="117">IMARGUMENT(W148)</f>
        <v>-8.5248878806213409E-4</v>
      </c>
      <c r="Z148" s="98" t="str">
        <f t="shared" si="107"/>
        <v>0.999984075713178-0.00583683204134772i</v>
      </c>
      <c r="AA148" s="160">
        <f t="shared" ref="AA148:AA211" si="118">IMABS(Z148)</f>
        <v>1.0000011101434927</v>
      </c>
      <c r="AB148" s="160">
        <f t="shared" ref="AB148:AB211" si="119">IMARGUMENT(Z148)</f>
        <v>-5.8368587041555996E-3</v>
      </c>
      <c r="AC148" s="171" t="str">
        <f t="shared" ref="AC148:AC211" si="120">(IMDIV(IMPRODUCT(P148,T148,W148),IMPRODUCT(Q148,Z148)))</f>
        <v>6.58747947928342-68.9995966071489i</v>
      </c>
      <c r="AD148" s="190">
        <f t="shared" ref="AD148:AD211" si="121">20*LOG(IMABS(AC148))</f>
        <v>36.816336638505049</v>
      </c>
      <c r="AE148" s="169">
        <f t="shared" ref="AE148:AE211" si="122">(180/PI())*IMARGUMENT(AC148)</f>
        <v>-84.546428122465372</v>
      </c>
      <c r="AF148" s="98" t="str">
        <f t="shared" si="108"/>
        <v>-0.0000119284294234592</v>
      </c>
      <c r="AG148" s="98" t="str">
        <f t="shared" si="109"/>
        <v>0.0000226072559399294i</v>
      </c>
      <c r="AH148" s="98">
        <f t="shared" ref="AH148:AH211" si="123">IMABS(AG148)</f>
        <v>2.2607255939929398E-5</v>
      </c>
      <c r="AI148" s="98">
        <f t="shared" ref="AI148:AI211" si="124">IMARGUMENT(AG148)</f>
        <v>1.5707963267948966</v>
      </c>
      <c r="AJ148" s="98" t="str">
        <f t="shared" si="110"/>
        <v>1+0.00123885245377819i</v>
      </c>
      <c r="AK148" s="98">
        <f t="shared" ref="AK148:AK211" si="125">IMABS(AJ148)</f>
        <v>1.0000007673774067</v>
      </c>
      <c r="AL148" s="98">
        <f t="shared" ref="AL148:AL211" si="126">IMARGUMENT(AJ148)</f>
        <v>1.2388518200002749E-3</v>
      </c>
      <c r="AM148" s="98" t="str">
        <f t="shared" si="111"/>
        <v>1+0.676976554514607i</v>
      </c>
      <c r="AN148" s="98">
        <f t="shared" ref="AN148:AN211" si="127">IMABS(AM148)</f>
        <v>1.2075997910576453</v>
      </c>
      <c r="AO148" s="98">
        <f t="shared" ref="AO148:AO211" si="128">IMARGUMENT(AM148)</f>
        <v>0.59510629587162711</v>
      </c>
      <c r="AP148" s="168" t="str">
        <f t="shared" ref="AP148:AP211" si="129">IMPRODUCT(AF148,IMDIV(AM148,IMPRODUCT(AG148,AJ148)))</f>
        <v>-0.35654380780932+0.5280789140016i</v>
      </c>
      <c r="AQ148" s="98">
        <f t="shared" ref="AQ148:AQ211" si="130">20*LOG(IMABS(AP148))</f>
        <v>-3.9148377955625224</v>
      </c>
      <c r="AR148" s="169">
        <f t="shared" ref="AR148:AR211" si="131">(180/PI())*IMARGUMENT(AP148)</f>
        <v>124.02609813437977</v>
      </c>
      <c r="AS148" s="168" t="str">
        <f t="shared" ref="AS148:AS211" si="132">IMPRODUCT(AC148,AP148)</f>
        <v>34.0885070254422+28.0800879210477i</v>
      </c>
      <c r="AT148" s="190">
        <f t="shared" ref="AT148:AT211" si="133">20*LOG(IMABS(AS148))</f>
        <v>32.901498842942523</v>
      </c>
      <c r="AU148" s="169">
        <f t="shared" ref="AU148:AU211" si="134">(180/PI())*IMARGUMENT(AS148)</f>
        <v>39.479670011914401</v>
      </c>
      <c r="AV148" s="225"/>
      <c r="AX148">
        <f t="shared" ref="AX148:AX211" si="135">SUM((AT149&lt;0)*(AT148&gt;0))*O148</f>
        <v>0</v>
      </c>
      <c r="AY148">
        <f t="shared" ref="AY148:AY211" si="136">IF(AX148&gt;0,AU148,0)</f>
        <v>0</v>
      </c>
    </row>
    <row r="149" spans="14:51" x14ac:dyDescent="0.2">
      <c r="N149" s="170">
        <v>31</v>
      </c>
      <c r="O149" s="199">
        <f t="shared" si="102"/>
        <v>204.17379446695315</v>
      </c>
      <c r="P149" s="189" t="str">
        <f t="shared" si="103"/>
        <v>771.276595744681</v>
      </c>
      <c r="Q149" s="160" t="str">
        <f t="shared" si="104"/>
        <v>1+11.3404981838718i</v>
      </c>
      <c r="R149" s="160">
        <f t="shared" si="112"/>
        <v>11.384502582827217</v>
      </c>
      <c r="S149" s="160">
        <f t="shared" si="113"/>
        <v>1.4828442693435298</v>
      </c>
      <c r="T149" s="160" t="str">
        <f t="shared" si="105"/>
        <v>1+0.000213468201108175i</v>
      </c>
      <c r="U149" s="160">
        <f t="shared" si="114"/>
        <v>1.0000000227843362</v>
      </c>
      <c r="V149" s="160">
        <f t="shared" si="115"/>
        <v>2.1346819786568756E-4</v>
      </c>
      <c r="W149" s="98" t="str">
        <f t="shared" si="106"/>
        <v>1-0.000872346014143983i</v>
      </c>
      <c r="X149" s="160">
        <f t="shared" si="116"/>
        <v>1.0000003804937116</v>
      </c>
      <c r="Y149" s="160">
        <f t="shared" si="117"/>
        <v>-8.7234579286259335E-4</v>
      </c>
      <c r="Z149" s="98" t="str">
        <f t="shared" si="107"/>
        <v>0.999983325224661-0.00597278932503087i</v>
      </c>
      <c r="AA149" s="160">
        <f t="shared" si="118"/>
        <v>1.00000116246917</v>
      </c>
      <c r="AB149" s="160">
        <f t="shared" si="119"/>
        <v>-5.9728178947275048E-3</v>
      </c>
      <c r="AC149" s="171" t="str">
        <f t="shared" si="120"/>
        <v>6.3094179861725-67.453447829588i</v>
      </c>
      <c r="AD149" s="190">
        <f t="shared" si="121"/>
        <v>36.617915265942642</v>
      </c>
      <c r="AE149" s="169">
        <f t="shared" si="122"/>
        <v>-84.656251956785482</v>
      </c>
      <c r="AF149" s="98" t="str">
        <f t="shared" si="108"/>
        <v>-0.0000119284294234592</v>
      </c>
      <c r="AG149" s="98" t="str">
        <f t="shared" si="109"/>
        <v>0.0000231338465780273i</v>
      </c>
      <c r="AH149" s="98">
        <f t="shared" si="123"/>
        <v>2.3133846578027299E-5</v>
      </c>
      <c r="AI149" s="98">
        <f t="shared" si="124"/>
        <v>1.5707963267948966</v>
      </c>
      <c r="AJ149" s="98" t="str">
        <f t="shared" si="110"/>
        <v>1+0.00126770903442103i</v>
      </c>
      <c r="AK149" s="98">
        <f t="shared" si="125"/>
        <v>1.0000008035427752</v>
      </c>
      <c r="AL149" s="98">
        <f t="shared" si="126"/>
        <v>1.2677083553157883E-3</v>
      </c>
      <c r="AM149" s="98" t="str">
        <f t="shared" si="111"/>
        <v>1+0.692745364173165i</v>
      </c>
      <c r="AN149" s="98">
        <f t="shared" si="127"/>
        <v>1.2165098189424577</v>
      </c>
      <c r="AO149" s="98">
        <f t="shared" si="128"/>
        <v>0.60584046918741452</v>
      </c>
      <c r="AP149" s="168" t="str">
        <f t="shared" si="129"/>
        <v>-0.356543782020262+0.516078713403949i</v>
      </c>
      <c r="AQ149" s="98">
        <f t="shared" si="130"/>
        <v>-4.0509863209089207</v>
      </c>
      <c r="AR149" s="169">
        <f t="shared" si="131"/>
        <v>124.63946760425134</v>
      </c>
      <c r="AS149" s="168" t="str">
        <f t="shared" si="132"/>
        <v>32.5617048194176+27.3062637160994i</v>
      </c>
      <c r="AT149" s="190">
        <f t="shared" si="133"/>
        <v>32.56692894503373</v>
      </c>
      <c r="AU149" s="169">
        <f t="shared" si="134"/>
        <v>39.983215647465833</v>
      </c>
      <c r="AV149" s="225"/>
      <c r="AX149">
        <f t="shared" si="135"/>
        <v>0</v>
      </c>
      <c r="AY149">
        <f t="shared" si="136"/>
        <v>0</v>
      </c>
    </row>
    <row r="150" spans="14:51" x14ac:dyDescent="0.2">
      <c r="N150" s="170">
        <v>32</v>
      </c>
      <c r="O150" s="199">
        <f t="shared" si="102"/>
        <v>208.92961308540396</v>
      </c>
      <c r="P150" s="189" t="str">
        <f t="shared" si="103"/>
        <v>771.276595744681</v>
      </c>
      <c r="Q150" s="160" t="str">
        <f t="shared" si="104"/>
        <v>1+11.6046523205287i</v>
      </c>
      <c r="R150" s="160">
        <f t="shared" si="112"/>
        <v>11.647658798245772</v>
      </c>
      <c r="S150" s="160">
        <f t="shared" si="113"/>
        <v>1.4848363412155758</v>
      </c>
      <c r="T150" s="160" t="str">
        <f t="shared" si="105"/>
        <v>1+0.000218440514268776i</v>
      </c>
      <c r="U150" s="160">
        <f t="shared" si="114"/>
        <v>1.0000000238581288</v>
      </c>
      <c r="V150" s="160">
        <f t="shared" si="115"/>
        <v>2.184405107943881E-4</v>
      </c>
      <c r="W150" s="98" t="str">
        <f t="shared" si="106"/>
        <v>1-0.000892665563117591i</v>
      </c>
      <c r="X150" s="160">
        <f t="shared" si="116"/>
        <v>1.0000003984258246</v>
      </c>
      <c r="Y150" s="160">
        <f t="shared" si="117"/>
        <v>-8.9266532601031527E-4</v>
      </c>
      <c r="Z150" s="98" t="str">
        <f t="shared" si="107"/>
        <v>0.99998253936671-0.00611191346067342i</v>
      </c>
      <c r="AA150" s="160">
        <f t="shared" si="118"/>
        <v>1.0000012172614812</v>
      </c>
      <c r="AB150" s="160">
        <f t="shared" si="119"/>
        <v>-6.1119440736361243E-3</v>
      </c>
      <c r="AC150" s="171" t="str">
        <f t="shared" si="120"/>
        <v>6.04368248225694-65.9408723465993i</v>
      </c>
      <c r="AD150" s="190">
        <f t="shared" si="121"/>
        <v>36.419423352138153</v>
      </c>
      <c r="AE150" s="169">
        <f t="shared" si="122"/>
        <v>-84.763297255615058</v>
      </c>
      <c r="AF150" s="98" t="str">
        <f t="shared" si="108"/>
        <v>-0.0000119284294234592</v>
      </c>
      <c r="AG150" s="98" t="str">
        <f t="shared" si="109"/>
        <v>0.0000236727030877934i</v>
      </c>
      <c r="AH150" s="98">
        <f t="shared" si="123"/>
        <v>2.3672703087793399E-5</v>
      </c>
      <c r="AI150" s="98">
        <f t="shared" si="124"/>
        <v>1.5707963267948966</v>
      </c>
      <c r="AJ150" s="98" t="str">
        <f t="shared" si="110"/>
        <v>1+0.00129723777117405i</v>
      </c>
      <c r="AK150" s="98">
        <f t="shared" si="125"/>
        <v>1.0000008414125634</v>
      </c>
      <c r="AL150" s="98">
        <f t="shared" si="126"/>
        <v>1.2972370434997064E-3</v>
      </c>
      <c r="AM150" s="98" t="str">
        <f t="shared" si="111"/>
        <v>1+0.708881476593383i</v>
      </c>
      <c r="AN150" s="98">
        <f t="shared" si="127"/>
        <v>1.2257703487428691</v>
      </c>
      <c r="AO150" s="98">
        <f t="shared" si="128"/>
        <v>0.61666184941220648</v>
      </c>
      <c r="AP150" s="168" t="str">
        <f t="shared" si="129"/>
        <v>-0.356543755015813+0.504352144568174i</v>
      </c>
      <c r="AQ150" s="98">
        <f t="shared" si="130"/>
        <v>-4.1851167906902518</v>
      </c>
      <c r="AR150" s="169">
        <f t="shared" si="131"/>
        <v>125.25779515043075</v>
      </c>
      <c r="AS150" s="168" t="str">
        <f t="shared" si="132"/>
        <v>31.1025831363564+26.5589504564903i</v>
      </c>
      <c r="AT150" s="190">
        <f t="shared" si="133"/>
        <v>32.234306561447909</v>
      </c>
      <c r="AU150" s="169">
        <f t="shared" si="134"/>
        <v>40.494497894815694</v>
      </c>
      <c r="AV150" s="225"/>
      <c r="AX150">
        <f t="shared" si="135"/>
        <v>0</v>
      </c>
      <c r="AY150">
        <f t="shared" si="136"/>
        <v>0</v>
      </c>
    </row>
    <row r="151" spans="14:51" x14ac:dyDescent="0.2">
      <c r="N151" s="170">
        <v>33</v>
      </c>
      <c r="O151" s="199">
        <f t="shared" si="102"/>
        <v>213.79620895022339</v>
      </c>
      <c r="P151" s="189" t="str">
        <f t="shared" si="103"/>
        <v>771.276595744681</v>
      </c>
      <c r="Q151" s="160" t="str">
        <f t="shared" si="104"/>
        <v>1+11.8749593974516i</v>
      </c>
      <c r="R151" s="160">
        <f t="shared" si="112"/>
        <v>11.916990420870702</v>
      </c>
      <c r="S151" s="160">
        <f t="shared" si="113"/>
        <v>1.4867837290844512</v>
      </c>
      <c r="T151" s="160" t="str">
        <f t="shared" si="105"/>
        <v>1+0.000223528647481442i</v>
      </c>
      <c r="U151" s="160">
        <f t="shared" si="114"/>
        <v>1.0000000249825278</v>
      </c>
      <c r="V151" s="160">
        <f t="shared" si="115"/>
        <v>2.2352864375856828E-4</v>
      </c>
      <c r="W151" s="98" t="str">
        <f t="shared" si="106"/>
        <v>1-0.000913458415188582i</v>
      </c>
      <c r="X151" s="160">
        <f t="shared" si="116"/>
        <v>1.0000004172030512</v>
      </c>
      <c r="Y151" s="160">
        <f t="shared" si="117"/>
        <v>-9.1345816112356427E-4</v>
      </c>
      <c r="Z151" s="98" t="str">
        <f t="shared" si="107"/>
        <v>0.999981716472415-0.00625427821373351i</v>
      </c>
      <c r="AA151" s="160">
        <f t="shared" si="118"/>
        <v>1.0000012746367337</v>
      </c>
      <c r="AB151" s="160">
        <f t="shared" si="119"/>
        <v>-6.2543110160929614E-3</v>
      </c>
      <c r="AC151" s="171" t="str">
        <f t="shared" si="120"/>
        <v>5.78973464279171-64.4612123046905i</v>
      </c>
      <c r="AD151" s="190">
        <f t="shared" si="121"/>
        <v>36.220864023853899</v>
      </c>
      <c r="AE151" s="169">
        <f t="shared" si="122"/>
        <v>-84.867617149783243</v>
      </c>
      <c r="AF151" s="98" t="str">
        <f t="shared" si="108"/>
        <v>-0.0000119284294234592</v>
      </c>
      <c r="AG151" s="98" t="str">
        <f t="shared" si="109"/>
        <v>0.000024224111178082i</v>
      </c>
      <c r="AH151" s="98">
        <f t="shared" si="123"/>
        <v>2.4224111178082E-5</v>
      </c>
      <c r="AI151" s="98">
        <f t="shared" si="124"/>
        <v>1.5707963267948966</v>
      </c>
      <c r="AJ151" s="98" t="str">
        <f t="shared" si="110"/>
        <v>1+0.00132745432056431i</v>
      </c>
      <c r="AK151" s="98">
        <f t="shared" si="125"/>
        <v>1.0000008810670984</v>
      </c>
      <c r="AL151" s="98">
        <f t="shared" si="126"/>
        <v>1.3274535408472397E-3</v>
      </c>
      <c r="AM151" s="98" t="str">
        <f t="shared" si="111"/>
        <v>1+0.72539344735564i</v>
      </c>
      <c r="AN151" s="98">
        <f t="shared" si="127"/>
        <v>1.2353929146091538</v>
      </c>
      <c r="AO151" s="98">
        <f t="shared" si="128"/>
        <v>0.62756603663265886</v>
      </c>
      <c r="AP151" s="168" t="str">
        <f t="shared" si="129"/>
        <v>-0.356543726738684+0.492892989912034i</v>
      </c>
      <c r="AQ151" s="98">
        <f t="shared" si="130"/>
        <v>-4.3171972435226351</v>
      </c>
      <c r="AR151" s="169">
        <f t="shared" si="131"/>
        <v>125.88082777941355</v>
      </c>
      <c r="AS151" s="168" t="str">
        <f t="shared" si="132"/>
        <v>29.7081860998443+25.8369604840908i</v>
      </c>
      <c r="AT151" s="190">
        <f t="shared" si="133"/>
        <v>31.903666780331275</v>
      </c>
      <c r="AU151" s="169">
        <f t="shared" si="134"/>
        <v>41.013210629630343</v>
      </c>
      <c r="AV151" s="225"/>
      <c r="AX151">
        <f t="shared" si="135"/>
        <v>0</v>
      </c>
      <c r="AY151">
        <f t="shared" si="136"/>
        <v>0</v>
      </c>
    </row>
    <row r="152" spans="14:51" x14ac:dyDescent="0.2">
      <c r="N152" s="170">
        <v>34</v>
      </c>
      <c r="O152" s="199">
        <f t="shared" si="102"/>
        <v>218.77616239495524</v>
      </c>
      <c r="P152" s="189" t="str">
        <f t="shared" si="103"/>
        <v>771.276595744681</v>
      </c>
      <c r="Q152" s="160" t="str">
        <f t="shared" si="104"/>
        <v>1+12.1515627350307i</v>
      </c>
      <c r="R152" s="160">
        <f t="shared" si="112"/>
        <v>12.192640276141454</v>
      </c>
      <c r="S152" s="160">
        <f t="shared" si="113"/>
        <v>1.488687406367224</v>
      </c>
      <c r="T152" s="160" t="str">
        <f t="shared" si="105"/>
        <v>1+0.000228735298541755i</v>
      </c>
      <c r="U152" s="160">
        <f t="shared" si="114"/>
        <v>1.000000026159918</v>
      </c>
      <c r="V152" s="160">
        <f t="shared" si="115"/>
        <v>2.2873529455262395E-4</v>
      </c>
      <c r="W152" s="98" t="str">
        <f t="shared" si="106"/>
        <v>1-0.00093473559500236i</v>
      </c>
      <c r="X152" s="160">
        <f t="shared" si="116"/>
        <v>1.0000004368652209</v>
      </c>
      <c r="Y152" s="160">
        <f t="shared" si="117"/>
        <v>-9.3473532276679519E-4</v>
      </c>
      <c r="Z152" s="98" t="str">
        <f t="shared" si="107"/>
        <v>0.999980854796307-0.0063999590678877i</v>
      </c>
      <c r="AA152" s="160">
        <f t="shared" si="118"/>
        <v>1.0000013347167209</v>
      </c>
      <c r="AB152" s="160">
        <f t="shared" si="119"/>
        <v>-6.3999942162254568E-3</v>
      </c>
      <c r="AC152" s="171" t="str">
        <f t="shared" si="120"/>
        <v>5.54705894840306-63.0138179116773i</v>
      </c>
      <c r="AD152" s="190">
        <f t="shared" si="121"/>
        <v>36.022240271140411</v>
      </c>
      <c r="AE152" s="169">
        <f t="shared" si="122"/>
        <v>-84.969263563573818</v>
      </c>
      <c r="AF152" s="98" t="str">
        <f t="shared" si="108"/>
        <v>-0.0000119284294234592</v>
      </c>
      <c r="AG152" s="98" t="str">
        <f t="shared" si="109"/>
        <v>0.0000247883632127611i</v>
      </c>
      <c r="AH152" s="98">
        <f t="shared" si="123"/>
        <v>2.47883632127611E-5</v>
      </c>
      <c r="AI152" s="98">
        <f t="shared" si="124"/>
        <v>1.5707963267948966</v>
      </c>
      <c r="AJ152" s="98" t="str">
        <f t="shared" si="110"/>
        <v>1+0.00135837470380627i</v>
      </c>
      <c r="AK152" s="98">
        <f t="shared" si="125"/>
        <v>1.0000009225904924</v>
      </c>
      <c r="AL152" s="98">
        <f t="shared" si="126"/>
        <v>1.3583738683244184E-3</v>
      </c>
      <c r="AM152" s="98" t="str">
        <f t="shared" si="111"/>
        <v>1+0.742290031325405i</v>
      </c>
      <c r="AN152" s="98">
        <f t="shared" si="127"/>
        <v>1.2453892927936512</v>
      </c>
      <c r="AO152" s="98">
        <f t="shared" si="128"/>
        <v>0.63854844042599546</v>
      </c>
      <c r="AP152" s="168" t="str">
        <f t="shared" si="129"/>
        <v>-0.356543697128902+0.481695173639819i</v>
      </c>
      <c r="AQ152" s="98">
        <f t="shared" si="130"/>
        <v>-4.4471971766006506</v>
      </c>
      <c r="AR152" s="169">
        <f t="shared" si="131"/>
        <v>126.50830156141458</v>
      </c>
      <c r="AS152" s="168" t="str">
        <f t="shared" si="132"/>
        <v>28.3756830550177+25.1391711317782i</v>
      </c>
      <c r="AT152" s="190">
        <f t="shared" si="133"/>
        <v>31.575043094539758</v>
      </c>
      <c r="AU152" s="169">
        <f t="shared" si="134"/>
        <v>41.539037997840857</v>
      </c>
      <c r="AV152" s="225"/>
      <c r="AX152">
        <f t="shared" si="135"/>
        <v>0</v>
      </c>
      <c r="AY152">
        <f t="shared" si="136"/>
        <v>0</v>
      </c>
    </row>
    <row r="153" spans="14:51" x14ac:dyDescent="0.2">
      <c r="N153" s="170">
        <v>35</v>
      </c>
      <c r="O153" s="199">
        <f t="shared" si="102"/>
        <v>223.87211385683412</v>
      </c>
      <c r="P153" s="189" t="str">
        <f t="shared" si="103"/>
        <v>771.276595744681</v>
      </c>
      <c r="Q153" s="160" t="str">
        <f t="shared" si="104"/>
        <v>1+12.4346089920169i</v>
      </c>
      <c r="R153" s="160">
        <f t="shared" si="112"/>
        <v>12.474754538039917</v>
      </c>
      <c r="S153" s="160">
        <f t="shared" si="113"/>
        <v>1.4905483271968649</v>
      </c>
      <c r="T153" s="160" t="str">
        <f t="shared" si="105"/>
        <v>1+0.000234063228085024i</v>
      </c>
      <c r="U153" s="160">
        <f t="shared" si="114"/>
        <v>1.0000000273927969</v>
      </c>
      <c r="V153" s="160">
        <f t="shared" si="115"/>
        <v>2.3406322381059309E-4</v>
      </c>
      <c r="W153" s="98" t="str">
        <f t="shared" si="106"/>
        <v>1-0.000956508384001298i</v>
      </c>
      <c r="X153" s="160">
        <f t="shared" si="116"/>
        <v>1.0000004574540398</v>
      </c>
      <c r="Y153" s="160">
        <f t="shared" si="117"/>
        <v>-9.5650809229564195E-4</v>
      </c>
      <c r="Z153" s="98" t="str">
        <f t="shared" si="107"/>
        <v>0.999979952510655-0.00654903326505316i</v>
      </c>
      <c r="AA153" s="160">
        <f t="shared" si="118"/>
        <v>1.0000013976289825</v>
      </c>
      <c r="AB153" s="160">
        <f t="shared" si="119"/>
        <v>-6.5490709271490768E-3</v>
      </c>
      <c r="AC153" s="171" t="str">
        <f t="shared" si="120"/>
        <v>5.31516178097878-61.5980476943874i</v>
      </c>
      <c r="AD153" s="190">
        <f t="shared" si="121"/>
        <v>35.823554953133488</v>
      </c>
      <c r="AE153" s="169">
        <f t="shared" si="122"/>
        <v>-85.068287226702878</v>
      </c>
      <c r="AF153" s="98" t="str">
        <f t="shared" si="108"/>
        <v>-0.0000119284294234592</v>
      </c>
      <c r="AG153" s="98" t="str">
        <f t="shared" si="109"/>
        <v>0.0000253657583657285i</v>
      </c>
      <c r="AH153" s="98">
        <f t="shared" si="123"/>
        <v>2.53657583657285E-5</v>
      </c>
      <c r="AI153" s="98">
        <f t="shared" si="124"/>
        <v>1.5707963267948966</v>
      </c>
      <c r="AJ153" s="98" t="str">
        <f t="shared" si="110"/>
        <v>1+0.0013900153152964i</v>
      </c>
      <c r="AK153" s="98">
        <f t="shared" si="125"/>
        <v>1.0000009660708218</v>
      </c>
      <c r="AL153" s="98">
        <f t="shared" si="126"/>
        <v>1.3900144200615135E-3</v>
      </c>
      <c r="AM153" s="98" t="str">
        <f t="shared" si="111"/>
        <v>1+0.759580187295151i</v>
      </c>
      <c r="AN153" s="98">
        <f t="shared" si="127"/>
        <v>1.2557715002863128</v>
      </c>
      <c r="AO153" s="98">
        <f t="shared" si="128"/>
        <v>0.64960428712996909</v>
      </c>
      <c r="AP153" s="168" t="str">
        <f t="shared" si="129"/>
        <v>-0.356543666123659+0.470752758520863i</v>
      </c>
      <c r="AQ153" s="98">
        <f t="shared" si="130"/>
        <v>-4.5750876549940767</v>
      </c>
      <c r="AR153" s="169">
        <f t="shared" si="131"/>
        <v>127.13994204641992</v>
      </c>
      <c r="AS153" s="168" t="str">
        <f t="shared" si="132"/>
        <v>27.102363604202+24.4645208213973i</v>
      </c>
      <c r="AT153" s="190">
        <f t="shared" si="133"/>
        <v>31.248467298139406</v>
      </c>
      <c r="AU153" s="169">
        <f t="shared" si="134"/>
        <v>42.071654819717061</v>
      </c>
      <c r="AV153" s="225"/>
      <c r="AX153">
        <f t="shared" si="135"/>
        <v>0</v>
      </c>
      <c r="AY153">
        <f t="shared" si="136"/>
        <v>0</v>
      </c>
    </row>
    <row r="154" spans="14:51" x14ac:dyDescent="0.2">
      <c r="N154" s="170">
        <v>36</v>
      </c>
      <c r="O154" s="199">
        <f t="shared" si="102"/>
        <v>229.08676527677744</v>
      </c>
      <c r="P154" s="189" t="str">
        <f t="shared" si="103"/>
        <v>771.276595744681</v>
      </c>
      <c r="Q154" s="160" t="str">
        <f t="shared" si="104"/>
        <v>1+12.7242482432822i</v>
      </c>
      <c r="R154" s="160">
        <f t="shared" si="112"/>
        <v>12.763482806689957</v>
      </c>
      <c r="S154" s="160">
        <f t="shared" si="113"/>
        <v>1.4923674266741616</v>
      </c>
      <c r="T154" s="160" t="str">
        <f t="shared" si="105"/>
        <v>1+0.000239515261050017i</v>
      </c>
      <c r="U154" s="160">
        <f t="shared" si="114"/>
        <v>1.0000000286837798</v>
      </c>
      <c r="V154" s="160">
        <f t="shared" si="115"/>
        <v>2.3951525646988178E-4</v>
      </c>
      <c r="W154" s="98" t="str">
        <f t="shared" si="106"/>
        <v>1-0.000978788326406316i</v>
      </c>
      <c r="X154" s="160">
        <f t="shared" si="116"/>
        <v>1.0000004790131791</v>
      </c>
      <c r="Y154" s="160">
        <f t="shared" si="117"/>
        <v>-9.7878801383808212E-4</v>
      </c>
      <c r="Z154" s="98" t="str">
        <f t="shared" si="107"/>
        <v>0.99997900770159-0.00670157984634244i</v>
      </c>
      <c r="AA154" s="160">
        <f t="shared" si="118"/>
        <v>1.0000014635070757</v>
      </c>
      <c r="AB154" s="160">
        <f t="shared" si="119"/>
        <v>-6.7016202019755172E-3</v>
      </c>
      <c r="AC154" s="171" t="str">
        <f t="shared" si="120"/>
        <v>5.09357054986026-60.2132687231965i</v>
      </c>
      <c r="AD154" s="190">
        <f t="shared" si="121"/>
        <v>35.624810803620754</v>
      </c>
      <c r="AE154" s="169">
        <f t="shared" si="122"/>
        <v>-85.164737686662207</v>
      </c>
      <c r="AF154" s="98" t="str">
        <f t="shared" si="108"/>
        <v>-0.0000119284294234592</v>
      </c>
      <c r="AG154" s="98" t="str">
        <f t="shared" si="109"/>
        <v>0.0000259566027795369i</v>
      </c>
      <c r="AH154" s="98">
        <f t="shared" si="123"/>
        <v>2.59566027795369E-5</v>
      </c>
      <c r="AI154" s="98">
        <f t="shared" si="124"/>
        <v>1.5707963267948966</v>
      </c>
      <c r="AJ154" s="98" t="str">
        <f t="shared" si="110"/>
        <v>1+0.00142239293130573i</v>
      </c>
      <c r="AK154" s="98">
        <f t="shared" si="125"/>
        <v>1.000001011600314</v>
      </c>
      <c r="AL154" s="98">
        <f t="shared" si="126"/>
        <v>1.4223919720443188E-3</v>
      </c>
      <c r="AM154" s="98" t="str">
        <f t="shared" si="111"/>
        <v>1+0.77727308273443i</v>
      </c>
      <c r="AN154" s="98">
        <f t="shared" si="127"/>
        <v>1.2665517933126478</v>
      </c>
      <c r="AO154" s="98">
        <f t="shared" si="128"/>
        <v>0.66072862809503996</v>
      </c>
      <c r="AP154" s="168" t="str">
        <f t="shared" si="129"/>
        <v>-0.356543633657188+0.460059942741561i</v>
      </c>
      <c r="AQ154" s="98">
        <f t="shared" si="130"/>
        <v>-4.7008414176975508</v>
      </c>
      <c r="AR154" s="169">
        <f t="shared" si="131"/>
        <v>127.77546473650341</v>
      </c>
      <c r="AS154" s="168" t="str">
        <f t="shared" si="132"/>
        <v>25.8856328089396+23.812005400464i</v>
      </c>
      <c r="AT154" s="190">
        <f t="shared" si="133"/>
        <v>30.923969385923211</v>
      </c>
      <c r="AU154" s="169">
        <f t="shared" si="134"/>
        <v>42.610727049841188</v>
      </c>
      <c r="AV154" s="225"/>
      <c r="AX154">
        <f t="shared" si="135"/>
        <v>0</v>
      </c>
      <c r="AY154">
        <f t="shared" si="136"/>
        <v>0</v>
      </c>
    </row>
    <row r="155" spans="14:51" x14ac:dyDescent="0.2">
      <c r="N155" s="170">
        <v>37</v>
      </c>
      <c r="O155" s="199">
        <f t="shared" si="102"/>
        <v>234.42288153199232</v>
      </c>
      <c r="P155" s="189" t="str">
        <f t="shared" si="103"/>
        <v>771.276595744681</v>
      </c>
      <c r="Q155" s="160" t="str">
        <f t="shared" si="104"/>
        <v>1+13.0206340593913i</v>
      </c>
      <c r="R155" s="160">
        <f t="shared" si="112"/>
        <v>13.058978187767249</v>
      </c>
      <c r="S155" s="160">
        <f t="shared" si="113"/>
        <v>1.4941456211258761</v>
      </c>
      <c r="T155" s="160" t="str">
        <f t="shared" si="105"/>
        <v>1+0.000245094288176776i</v>
      </c>
      <c r="U155" s="160">
        <f t="shared" si="114"/>
        <v>1.0000000300356044</v>
      </c>
      <c r="V155" s="160">
        <f t="shared" si="115"/>
        <v>2.450942832690727E-4</v>
      </c>
      <c r="W155" s="98" t="str">
        <f t="shared" si="106"/>
        <v>1-0.00100158723533779i</v>
      </c>
      <c r="X155" s="160">
        <f t="shared" si="116"/>
        <v>1.0000005015883691</v>
      </c>
      <c r="Y155" s="160">
        <f t="shared" si="117"/>
        <v>-1.0015869004149022E-3</v>
      </c>
      <c r="Z155" s="98" t="str">
        <f t="shared" si="107"/>
        <v>0.999978018365046-0.00685767969397211i</v>
      </c>
      <c r="AA155" s="160">
        <f t="shared" si="118"/>
        <v>1.0000015324908604</v>
      </c>
      <c r="AB155" s="160">
        <f t="shared" si="119"/>
        <v>-6.8577229357786196E-3</v>
      </c>
      <c r="AC155" s="171" t="str">
        <f t="shared" si="120"/>
        <v>4.88183284784052-58.858856805743i</v>
      </c>
      <c r="AD155" s="190">
        <f t="shared" si="121"/>
        <v>35.426010436385063</v>
      </c>
      <c r="AE155" s="169">
        <f t="shared" si="122"/>
        <v>-85.258663321370719</v>
      </c>
      <c r="AF155" s="98" t="str">
        <f t="shared" si="108"/>
        <v>-0.0000119284294234592</v>
      </c>
      <c r="AG155" s="98" t="str">
        <f t="shared" si="109"/>
        <v>0.0000265612097277153i</v>
      </c>
      <c r="AH155" s="98">
        <f t="shared" si="123"/>
        <v>2.6561209727715299E-5</v>
      </c>
      <c r="AI155" s="98">
        <f t="shared" si="124"/>
        <v>1.5707963267948966</v>
      </c>
      <c r="AJ155" s="98" t="str">
        <f t="shared" si="110"/>
        <v>1+0.00145552471887482i</v>
      </c>
      <c r="AK155" s="98">
        <f t="shared" si="125"/>
        <v>1.0000010592755426</v>
      </c>
      <c r="AL155" s="98">
        <f t="shared" si="126"/>
        <v>1.455523691007758E-3</v>
      </c>
      <c r="AM155" s="98" t="str">
        <f t="shared" si="111"/>
        <v>1+0.795378098650596i</v>
      </c>
      <c r="AN155" s="98">
        <f t="shared" si="127"/>
        <v>1.2777426657246118</v>
      </c>
      <c r="AO155" s="98">
        <f t="shared" si="128"/>
        <v>0.67191634889972796</v>
      </c>
      <c r="AP155" s="168" t="str">
        <f t="shared" si="129"/>
        <v>-0.356543599660622+0.449611056829159i</v>
      </c>
      <c r="AQ155" s="98">
        <f t="shared" si="130"/>
        <v>-4.824432979657991</v>
      </c>
      <c r="AR155" s="169">
        <f t="shared" si="131"/>
        <v>128.41457561331802</v>
      </c>
      <c r="AS155" s="168" t="str">
        <f t="shared" si="132"/>
        <v>24.7230065556757+23.1806747034096i</v>
      </c>
      <c r="AT155" s="190">
        <f t="shared" si="133"/>
        <v>30.601577456727071</v>
      </c>
      <c r="AU155" s="169">
        <f t="shared" si="134"/>
        <v>43.155912291947359</v>
      </c>
      <c r="AV155" s="225"/>
      <c r="AX155">
        <f t="shared" si="135"/>
        <v>0</v>
      </c>
      <c r="AY155">
        <f t="shared" si="136"/>
        <v>0</v>
      </c>
    </row>
    <row r="156" spans="14:51" x14ac:dyDescent="0.2">
      <c r="N156" s="170">
        <v>38</v>
      </c>
      <c r="O156" s="199">
        <f t="shared" si="102"/>
        <v>239.88329190194912</v>
      </c>
      <c r="P156" s="189" t="str">
        <f t="shared" si="103"/>
        <v>771.276595744681</v>
      </c>
      <c r="Q156" s="160" t="str">
        <f t="shared" si="104"/>
        <v>1+13.3239235880272i</v>
      </c>
      <c r="R156" s="160">
        <f t="shared" si="112"/>
        <v>13.361397373762506</v>
      </c>
      <c r="S156" s="160">
        <f t="shared" si="113"/>
        <v>1.4958838083682569</v>
      </c>
      <c r="T156" s="160" t="str">
        <f t="shared" si="105"/>
        <v>1+0.000250803267539336i</v>
      </c>
      <c r="U156" s="160">
        <f t="shared" si="114"/>
        <v>1.000000031451139</v>
      </c>
      <c r="V156" s="160">
        <f t="shared" si="115"/>
        <v>2.5080326228063717E-4</v>
      </c>
      <c r="W156" s="98" t="str">
        <f t="shared" si="106"/>
        <v>1-0.00102491719907901i</v>
      </c>
      <c r="X156" s="160">
        <f t="shared" si="116"/>
        <v>1.0000005252274946</v>
      </c>
      <c r="Y156" s="160">
        <f t="shared" si="117"/>
        <v>-1.0249168402026803E-3</v>
      </c>
      <c r="Z156" s="98" t="str">
        <f t="shared" si="107"/>
        <v>0.999976982402507-0.00701741557414772i</v>
      </c>
      <c r="AA156" s="160">
        <f t="shared" si="118"/>
        <v>1.0000016047267943</v>
      </c>
      <c r="AB156" s="160">
        <f t="shared" si="119"/>
        <v>-7.0174619085407045E-3</v>
      </c>
      <c r="AC156" s="171" t="str">
        <f t="shared" si="120"/>
        <v>4.67951563642309-57.5341966520383i</v>
      </c>
      <c r="AD156" s="190">
        <f t="shared" si="121"/>
        <v>35.227156350332486</v>
      </c>
      <c r="AE156" s="169">
        <f t="shared" si="122"/>
        <v>-85.350111352083061</v>
      </c>
      <c r="AF156" s="98" t="str">
        <f t="shared" si="108"/>
        <v>-0.0000119284294234592</v>
      </c>
      <c r="AG156" s="98" t="str">
        <f t="shared" si="109"/>
        <v>0.0000271798997808704i</v>
      </c>
      <c r="AH156" s="98">
        <f t="shared" si="123"/>
        <v>2.7179899780870398E-5</v>
      </c>
      <c r="AI156" s="98">
        <f t="shared" si="124"/>
        <v>1.5707963267948966</v>
      </c>
      <c r="AJ156" s="98" t="str">
        <f t="shared" si="110"/>
        <v>1+0.00148942824491603i</v>
      </c>
      <c r="AK156" s="98">
        <f t="shared" si="125"/>
        <v>1.0000011091976333</v>
      </c>
      <c r="AL156" s="98">
        <f t="shared" si="126"/>
        <v>1.4894271435366957E-3</v>
      </c>
      <c r="AM156" s="98" t="str">
        <f t="shared" si="111"/>
        <v>1+0.813904834562749i</v>
      </c>
      <c r="AN156" s="98">
        <f t="shared" si="127"/>
        <v>1.2893568473175359</v>
      </c>
      <c r="AO156" s="98">
        <f t="shared" si="128"/>
        <v>0.68316217950086189</v>
      </c>
      <c r="AP156" s="168" t="str">
        <f t="shared" si="129"/>
        <v>-0.356543564061862+0.43940056064573i</v>
      </c>
      <c r="AQ156" s="98">
        <f t="shared" si="130"/>
        <v>-4.9458387290086714</v>
      </c>
      <c r="AR156" s="169">
        <f t="shared" si="131"/>
        <v>129.05697171914136</v>
      </c>
      <c r="AS156" s="168" t="str">
        <f t="shared" si="132"/>
        <v>23.6121070821138+22.5696293239485i</v>
      </c>
      <c r="AT156" s="190">
        <f t="shared" si="133"/>
        <v>30.281317621323801</v>
      </c>
      <c r="AU156" s="169">
        <f t="shared" si="134"/>
        <v>43.706860367058255</v>
      </c>
      <c r="AV156" s="225"/>
      <c r="AX156">
        <f t="shared" si="135"/>
        <v>0</v>
      </c>
      <c r="AY156">
        <f t="shared" si="136"/>
        <v>0</v>
      </c>
    </row>
    <row r="157" spans="14:51" x14ac:dyDescent="0.2">
      <c r="N157" s="170">
        <v>39</v>
      </c>
      <c r="O157" s="199">
        <f t="shared" si="102"/>
        <v>245.4708915685033</v>
      </c>
      <c r="P157" s="189" t="str">
        <f t="shared" si="103"/>
        <v>771.276595744681</v>
      </c>
      <c r="Q157" s="160" t="str">
        <f t="shared" si="104"/>
        <v>1+13.6342776373125i</v>
      </c>
      <c r="R157" s="160">
        <f t="shared" si="112"/>
        <v>13.670900727140102</v>
      </c>
      <c r="S157" s="160">
        <f t="shared" si="113"/>
        <v>1.497582867975076</v>
      </c>
      <c r="T157" s="160" t="str">
        <f t="shared" si="105"/>
        <v>1+0.000256645226114117i</v>
      </c>
      <c r="U157" s="160">
        <f t="shared" si="114"/>
        <v>1.0000000329333856</v>
      </c>
      <c r="V157" s="160">
        <f t="shared" si="115"/>
        <v>2.566452204793197E-4</v>
      </c>
      <c r="W157" s="98" t="str">
        <f t="shared" si="106"/>
        <v>1-0.00104879058748557i</v>
      </c>
      <c r="X157" s="160">
        <f t="shared" si="116"/>
        <v>1.000000549980697</v>
      </c>
      <c r="Y157" s="160">
        <f t="shared" si="117"/>
        <v>-1.0487902029426659E-3</v>
      </c>
      <c r="Z157" s="98" t="str">
        <f t="shared" si="107"/>
        <v>0.999975897616557-0.00718087218094717i</v>
      </c>
      <c r="AA157" s="160">
        <f t="shared" si="118"/>
        <v>1.0000016803682472</v>
      </c>
      <c r="AB157" s="160">
        <f t="shared" si="119"/>
        <v>-7.1809218291016969E-3</v>
      </c>
      <c r="AC157" s="171" t="str">
        <f t="shared" si="120"/>
        <v>4.48620445975726-56.2386820130605i</v>
      </c>
      <c r="AD157" s="190">
        <f t="shared" si="121"/>
        <v>35.028250934413087</v>
      </c>
      <c r="AE157" s="169">
        <f t="shared" si="122"/>
        <v>-85.43912785650619</v>
      </c>
      <c r="AF157" s="98" t="str">
        <f t="shared" si="108"/>
        <v>-0.0000119284294234592</v>
      </c>
      <c r="AG157" s="98" t="str">
        <f t="shared" si="109"/>
        <v>0.0000278130009766579i</v>
      </c>
      <c r="AH157" s="98">
        <f t="shared" si="123"/>
        <v>2.7813000976657899E-5</v>
      </c>
      <c r="AI157" s="98">
        <f t="shared" si="124"/>
        <v>1.5707963267948966</v>
      </c>
      <c r="AJ157" s="98" t="str">
        <f t="shared" si="110"/>
        <v>1+0.00152412148552759i</v>
      </c>
      <c r="AK157" s="98">
        <f t="shared" si="125"/>
        <v>1.0000011614724769</v>
      </c>
      <c r="AL157" s="98">
        <f t="shared" si="126"/>
        <v>1.5241203053784449E-3</v>
      </c>
      <c r="AM157" s="98" t="str">
        <f t="shared" si="111"/>
        <v>1+0.832863113591485i</v>
      </c>
      <c r="AN157" s="98">
        <f t="shared" si="127"/>
        <v>1.3014073021084918</v>
      </c>
      <c r="AO157" s="98">
        <f t="shared" si="128"/>
        <v>0.69446070528110437</v>
      </c>
      <c r="AP157" s="168" t="str">
        <f t="shared" si="129"/>
        <v>-0.356543526785387+0.42942304045071i</v>
      </c>
      <c r="AQ157" s="98">
        <f t="shared" si="130"/>
        <v>-5.0650370187558034</v>
      </c>
      <c r="AR157" s="169">
        <f t="shared" si="131"/>
        <v>129.70234178931747</v>
      </c>
      <c r="AS157" s="168" t="str">
        <f t="shared" si="132"/>
        <v>22.5506586610269+21.978017585891i</v>
      </c>
      <c r="AT157" s="190">
        <f t="shared" si="133"/>
        <v>29.963213915657278</v>
      </c>
      <c r="AU157" s="169">
        <f t="shared" si="134"/>
        <v>44.263213932811333</v>
      </c>
      <c r="AV157" s="225"/>
      <c r="AX157">
        <f t="shared" si="135"/>
        <v>0</v>
      </c>
      <c r="AY157">
        <f t="shared" si="136"/>
        <v>0</v>
      </c>
    </row>
    <row r="158" spans="14:51" x14ac:dyDescent="0.2">
      <c r="N158" s="170">
        <v>40</v>
      </c>
      <c r="O158" s="199">
        <f t="shared" si="102"/>
        <v>251.18864315095806</v>
      </c>
      <c r="P158" s="189" t="str">
        <f t="shared" si="103"/>
        <v>771.276595744681</v>
      </c>
      <c r="Q158" s="160" t="str">
        <f t="shared" si="104"/>
        <v>1+13.9518607610721i</v>
      </c>
      <c r="R158" s="160">
        <f t="shared" si="112"/>
        <v>13.987652365438002</v>
      </c>
      <c r="S158" s="160">
        <f t="shared" si="113"/>
        <v>1.4992436615494404</v>
      </c>
      <c r="T158" s="160" t="str">
        <f t="shared" si="105"/>
        <v>1+0.000262623261384886i</v>
      </c>
      <c r="U158" s="160">
        <f t="shared" si="114"/>
        <v>1.000000034485488</v>
      </c>
      <c r="V158" s="160">
        <f t="shared" si="115"/>
        <v>2.6262325534709191E-4</v>
      </c>
      <c r="W158" s="98" t="str">
        <f t="shared" si="106"/>
        <v>1-0.001073220058544i</v>
      </c>
      <c r="X158" s="160">
        <f t="shared" si="116"/>
        <v>1.0000005759004813</v>
      </c>
      <c r="Y158" s="160">
        <f t="shared" si="117"/>
        <v>-1.0732196464988675E-3</v>
      </c>
      <c r="Z158" s="98" t="str">
        <f t="shared" si="107"/>
        <v>0.999974761706221-0.00734813618122708i</v>
      </c>
      <c r="AA158" s="160">
        <f t="shared" si="118"/>
        <v>1.0000017595758277</v>
      </c>
      <c r="AB158" s="160">
        <f t="shared" si="119"/>
        <v>-7.3481893801359355E-3</v>
      </c>
      <c r="AC158" s="171" t="str">
        <f t="shared" si="120"/>
        <v>4.30150268663003-54.9717157947871i</v>
      </c>
      <c r="AD158" s="190">
        <f t="shared" si="121"/>
        <v>34.829296472341078</v>
      </c>
      <c r="AE158" s="169">
        <f t="shared" si="122"/>
        <v>-85.525757782079836</v>
      </c>
      <c r="AF158" s="98" t="str">
        <f t="shared" si="108"/>
        <v>-0.0000119284294234592</v>
      </c>
      <c r="AG158" s="98" t="str">
        <f t="shared" si="109"/>
        <v>0.0000284608489937118i</v>
      </c>
      <c r="AH158" s="98">
        <f t="shared" si="123"/>
        <v>2.8460848993711801E-5</v>
      </c>
      <c r="AI158" s="98">
        <f t="shared" si="124"/>
        <v>1.5707963267948966</v>
      </c>
      <c r="AJ158" s="98" t="str">
        <f t="shared" si="110"/>
        <v>1+0.00155962283552492i</v>
      </c>
      <c r="AK158" s="98">
        <f t="shared" si="125"/>
        <v>1.0000012162109551</v>
      </c>
      <c r="AL158" s="98">
        <f t="shared" si="126"/>
        <v>1.559621570972411E-3</v>
      </c>
      <c r="AM158" s="98" t="str">
        <f t="shared" si="111"/>
        <v>1+0.8522629876673i</v>
      </c>
      <c r="AN158" s="98">
        <f t="shared" si="127"/>
        <v>1.3139072266136571</v>
      </c>
      <c r="AO158" s="98">
        <f t="shared" si="128"/>
        <v>0.7058063789470207</v>
      </c>
      <c r="AP158" s="168" t="str">
        <f t="shared" si="129"/>
        <v>-0.356543487752136+0.419673206030466i</v>
      </c>
      <c r="AQ158" s="98">
        <f t="shared" si="130"/>
        <v>-5.1820082521857289</v>
      </c>
      <c r="AR158" s="169">
        <f t="shared" si="131"/>
        <v>130.35036693342124</v>
      </c>
      <c r="AS158" s="168" t="str">
        <f t="shared" si="132"/>
        <v>21.5364834381277+21.4050327004393i</v>
      </c>
      <c r="AT158" s="190">
        <f t="shared" si="133"/>
        <v>29.64728822015536</v>
      </c>
      <c r="AU158" s="169">
        <f t="shared" si="134"/>
        <v>44.82460915134142</v>
      </c>
      <c r="AV158" s="225"/>
      <c r="AX158">
        <f t="shared" si="135"/>
        <v>0</v>
      </c>
      <c r="AY158">
        <f t="shared" si="136"/>
        <v>0</v>
      </c>
    </row>
    <row r="159" spans="14:51" x14ac:dyDescent="0.2">
      <c r="N159" s="170">
        <v>41</v>
      </c>
      <c r="O159" s="199">
        <f t="shared" si="102"/>
        <v>257.03957827688663</v>
      </c>
      <c r="P159" s="189" t="str">
        <f t="shared" si="103"/>
        <v>771.276595744681</v>
      </c>
      <c r="Q159" s="160" t="str">
        <f t="shared" si="104"/>
        <v>1+14.2768413460819i</v>
      </c>
      <c r="R159" s="160">
        <f t="shared" si="112"/>
        <v>14.311820248353934</v>
      </c>
      <c r="S159" s="160">
        <f t="shared" si="113"/>
        <v>1.5008670329986629</v>
      </c>
      <c r="T159" s="160" t="str">
        <f t="shared" si="105"/>
        <v>1+0.00026874054298507i</v>
      </c>
      <c r="U159" s="160">
        <f t="shared" si="114"/>
        <v>1.0000000361107391</v>
      </c>
      <c r="V159" s="160">
        <f t="shared" si="115"/>
        <v>2.6874053651545707E-4</v>
      </c>
      <c r="W159" s="98" t="str">
        <f t="shared" si="106"/>
        <v>1-0.00109821856508322i</v>
      </c>
      <c r="X159" s="160">
        <f t="shared" si="116"/>
        <v>1.0000006030418265</v>
      </c>
      <c r="Y159" s="160">
        <f t="shared" si="117"/>
        <v>-1.0982181235689201E-3</v>
      </c>
      <c r="Z159" s="98" t="str">
        <f t="shared" si="107"/>
        <v>0.99997357226208-0.00751929626057432i</v>
      </c>
      <c r="AA159" s="160">
        <f t="shared" si="118"/>
        <v>1.0000018425177224</v>
      </c>
      <c r="AB159" s="160">
        <f t="shared" si="119"/>
        <v>-7.51935326417923E-3</v>
      </c>
      <c r="AC159" s="171" t="str">
        <f t="shared" si="120"/>
        <v>4.1250307798691-53.7327101495094i</v>
      </c>
      <c r="AD159" s="190">
        <f t="shared" si="121"/>
        <v>34.630295147121558</v>
      </c>
      <c r="AE159" s="169">
        <f t="shared" si="122"/>
        <v>-85.610044959378897</v>
      </c>
      <c r="AF159" s="98" t="str">
        <f t="shared" si="108"/>
        <v>-0.0000119284294234592</v>
      </c>
      <c r="AG159" s="98" t="str">
        <f t="shared" si="109"/>
        <v>0.0000291237873296261i</v>
      </c>
      <c r="AH159" s="98">
        <f t="shared" si="123"/>
        <v>2.9123787329626099E-5</v>
      </c>
      <c r="AI159" s="98">
        <f t="shared" si="124"/>
        <v>1.5707963267948966</v>
      </c>
      <c r="AJ159" s="98" t="str">
        <f t="shared" si="110"/>
        <v>1+0.00159595111819369i</v>
      </c>
      <c r="AK159" s="98">
        <f t="shared" si="125"/>
        <v>1.0000012735291748</v>
      </c>
      <c r="AL159" s="98">
        <f t="shared" si="126"/>
        <v>1.5959497632013575E-3</v>
      </c>
      <c r="AM159" s="98" t="str">
        <f t="shared" si="111"/>
        <v>1+0.872114742860205i</v>
      </c>
      <c r="AN159" s="98">
        <f t="shared" si="127"/>
        <v>1.3268700481637685</v>
      </c>
      <c r="AO159" s="98">
        <f t="shared" si="128"/>
        <v>0.71719353322175539</v>
      </c>
      <c r="AP159" s="168" t="str">
        <f t="shared" si="129"/>
        <v>-0.356543446879312+0.410145887893351i</v>
      </c>
      <c r="AQ159" s="98">
        <f t="shared" si="130"/>
        <v>-5.2967349612985091</v>
      </c>
      <c r="AR159" s="169">
        <f t="shared" si="131"/>
        <v>131.00072136193586</v>
      </c>
      <c r="AS159" s="168" t="str">
        <f t="shared" si="132"/>
        <v>20.5674974204488+20.8499100986699i</v>
      </c>
      <c r="AT159" s="190">
        <f t="shared" si="133"/>
        <v>29.333560185823046</v>
      </c>
      <c r="AU159" s="169">
        <f t="shared" si="134"/>
        <v>45.390676402557034</v>
      </c>
      <c r="AV159" s="225"/>
      <c r="AX159">
        <f t="shared" si="135"/>
        <v>0</v>
      </c>
      <c r="AY159">
        <f t="shared" si="136"/>
        <v>0</v>
      </c>
    </row>
    <row r="160" spans="14:51" x14ac:dyDescent="0.2">
      <c r="N160" s="170">
        <v>42</v>
      </c>
      <c r="O160" s="199">
        <f t="shared" si="102"/>
        <v>263.02679918953817</v>
      </c>
      <c r="P160" s="189" t="str">
        <f t="shared" si="103"/>
        <v>771.276595744681</v>
      </c>
      <c r="Q160" s="160" t="str">
        <f t="shared" si="104"/>
        <v>1+14.6093917013497i</v>
      </c>
      <c r="R160" s="160">
        <f t="shared" si="112"/>
        <v>14.643576266864098</v>
      </c>
      <c r="S160" s="160">
        <f t="shared" si="113"/>
        <v>1.5024538088115433</v>
      </c>
      <c r="T160" s="160" t="str">
        <f t="shared" si="105"/>
        <v>1+0.000275000314378347i</v>
      </c>
      <c r="U160" s="160">
        <f t="shared" si="114"/>
        <v>1.0000000378125857</v>
      </c>
      <c r="V160" s="160">
        <f t="shared" si="115"/>
        <v>2.7500030744603187E-4</v>
      </c>
      <c r="W160" s="98" t="str">
        <f t="shared" si="106"/>
        <v>1-0.00112379936164228i</v>
      </c>
      <c r="X160" s="160">
        <f t="shared" si="116"/>
        <v>1.0000006314623033</v>
      </c>
      <c r="Y160" s="160">
        <f t="shared" si="117"/>
        <v>-1.1237988885512001E-3</v>
      </c>
      <c r="Z160" s="98" t="str">
        <f t="shared" si="107"/>
        <v>0.999972326761163-0.00769444317032857i</v>
      </c>
      <c r="AA160" s="160">
        <f t="shared" si="118"/>
        <v>1.0000019293700566</v>
      </c>
      <c r="AB160" s="160">
        <f t="shared" si="119"/>
        <v>-7.6945042507322982E-3</v>
      </c>
      <c r="AC160" s="171" t="str">
        <f t="shared" si="120"/>
        <v>3.9564255924899-52.5210865461626i</v>
      </c>
      <c r="AD160" s="190">
        <f t="shared" si="121"/>
        <v>34.431249045391638</v>
      </c>
      <c r="AE160" s="169">
        <f t="shared" si="122"/>
        <v>-85.692032115598522</v>
      </c>
      <c r="AF160" s="98" t="str">
        <f t="shared" si="108"/>
        <v>-0.0000119284294234592</v>
      </c>
      <c r="AG160" s="98" t="str">
        <f t="shared" si="109"/>
        <v>0.0000298021674830813i</v>
      </c>
      <c r="AH160" s="98">
        <f t="shared" si="123"/>
        <v>2.9802167483081301E-5</v>
      </c>
      <c r="AI160" s="98">
        <f t="shared" si="124"/>
        <v>1.5707963267948966</v>
      </c>
      <c r="AJ160" s="98" t="str">
        <f t="shared" si="110"/>
        <v>1+0.00163312559527023i</v>
      </c>
      <c r="AK160" s="98">
        <f t="shared" si="125"/>
        <v>1.0000013335487159</v>
      </c>
      <c r="AL160" s="98">
        <f t="shared" si="126"/>
        <v>1.6331241433698918E-3</v>
      </c>
      <c r="AM160" s="98" t="str">
        <f t="shared" si="111"/>
        <v>1+0.892428904833578i</v>
      </c>
      <c r="AN160" s="98">
        <f t="shared" si="127"/>
        <v>1.3403094232983888</v>
      </c>
      <c r="AO160" s="98">
        <f t="shared" si="128"/>
        <v>0.72861639426799607</v>
      </c>
      <c r="AP160" s="168" t="str">
        <f t="shared" si="129"/>
        <v>-0.356543404080223+0.400836034528772i</v>
      </c>
      <c r="AQ160" s="98">
        <f t="shared" si="130"/>
        <v>-5.4092018776145059</v>
      </c>
      <c r="AR160" s="169">
        <f t="shared" si="131"/>
        <v>131.65307315476016</v>
      </c>
      <c r="AS160" s="168" t="str">
        <f t="shared" si="132"/>
        <v>19.6417066115698+20.3119249285626i</v>
      </c>
      <c r="AT160" s="190">
        <f t="shared" si="133"/>
        <v>29.022047167777139</v>
      </c>
      <c r="AU160" s="169">
        <f t="shared" si="134"/>
        <v>45.961041039161607</v>
      </c>
      <c r="AV160" s="225"/>
      <c r="AX160">
        <f t="shared" si="135"/>
        <v>0</v>
      </c>
      <c r="AY160">
        <f t="shared" si="136"/>
        <v>0</v>
      </c>
    </row>
    <row r="161" spans="14:51" x14ac:dyDescent="0.2">
      <c r="N161" s="170">
        <v>43</v>
      </c>
      <c r="O161" s="199">
        <f t="shared" si="102"/>
        <v>269.15348039269179</v>
      </c>
      <c r="P161" s="189" t="str">
        <f t="shared" si="103"/>
        <v>771.276595744681</v>
      </c>
      <c r="Q161" s="160" t="str">
        <f t="shared" si="104"/>
        <v>1+14.9496881494758i</v>
      </c>
      <c r="R161" s="160">
        <f t="shared" si="112"/>
        <v>14.983096334422241</v>
      </c>
      <c r="S161" s="160">
        <f t="shared" si="113"/>
        <v>1.5040047983374596</v>
      </c>
      <c r="T161" s="160" t="str">
        <f t="shared" si="105"/>
        <v>1+0.000281405894578367i</v>
      </c>
      <c r="U161" s="160">
        <f t="shared" si="114"/>
        <v>1.000000039594638</v>
      </c>
      <c r="V161" s="160">
        <f t="shared" si="115"/>
        <v>2.8140588715025753E-4</v>
      </c>
      <c r="W161" s="98" t="str">
        <f t="shared" si="106"/>
        <v>1-0.00114997601149813i</v>
      </c>
      <c r="X161" s="160">
        <f t="shared" si="116"/>
        <v>1.0000006612221948</v>
      </c>
      <c r="Y161" s="160">
        <f t="shared" si="117"/>
        <v>-1.149975504571923E-3</v>
      </c>
      <c r="Z161" s="98" t="str">
        <f t="shared" si="107"/>
        <v>0.999971022561597-0.00787366977569975i</v>
      </c>
      <c r="AA161" s="160">
        <f t="shared" si="118"/>
        <v>1.0000020203172704</v>
      </c>
      <c r="AB161" s="160">
        <f t="shared" si="119"/>
        <v>-7.8737352244648597E-3</v>
      </c>
      <c r="AC161" s="171" t="str">
        <f t="shared" si="120"/>
        <v>3.79533968990095-51.3362758212887i</v>
      </c>
      <c r="AD161" s="190">
        <f t="shared" si="121"/>
        <v>34.23216016158171</v>
      </c>
      <c r="AE161" s="169">
        <f t="shared" si="122"/>
        <v>-85.771760888087158</v>
      </c>
      <c r="AF161" s="98" t="str">
        <f t="shared" si="108"/>
        <v>-0.0000119284294234592</v>
      </c>
      <c r="AG161" s="98" t="str">
        <f t="shared" si="109"/>
        <v>0.0000304963491402145i</v>
      </c>
      <c r="AH161" s="98">
        <f t="shared" si="123"/>
        <v>3.0496349140214499E-5</v>
      </c>
      <c r="AI161" s="98">
        <f t="shared" si="124"/>
        <v>1.5707963267948966</v>
      </c>
      <c r="AJ161" s="98" t="str">
        <f t="shared" si="110"/>
        <v>1+0.00167116597715437i</v>
      </c>
      <c r="AK161" s="98">
        <f t="shared" si="125"/>
        <v>1.0000013963968866</v>
      </c>
      <c r="AL161" s="98">
        <f t="shared" si="126"/>
        <v>1.6711644214152457E-3</v>
      </c>
      <c r="AM161" s="98" t="str">
        <f t="shared" si="111"/>
        <v>1+0.91321624442499i</v>
      </c>
      <c r="AN161" s="98">
        <f t="shared" si="127"/>
        <v>1.3542392362805336</v>
      </c>
      <c r="AO161" s="98">
        <f t="shared" si="128"/>
        <v>0.74006909576859981</v>
      </c>
      <c r="AP161" s="168" t="str">
        <f t="shared" si="129"/>
        <v>-0.356543359264085+0.391738709728801i</v>
      </c>
      <c r="AQ161" s="98">
        <f t="shared" si="130"/>
        <v>-5.5193959947556941</v>
      </c>
      <c r="AR161" s="169">
        <f t="shared" si="131"/>
        <v>132.30708506738426</v>
      </c>
      <c r="AS161" s="168" t="str">
        <f t="shared" si="132"/>
        <v>18.7572032899279+19.7903897065342i</v>
      </c>
      <c r="AT161" s="190">
        <f t="shared" si="133"/>
        <v>28.71276416682602</v>
      </c>
      <c r="AU161" s="169">
        <f t="shared" si="134"/>
        <v>46.535324179297092</v>
      </c>
      <c r="AV161" s="225"/>
      <c r="AX161">
        <f t="shared" si="135"/>
        <v>0</v>
      </c>
      <c r="AY161">
        <f t="shared" si="136"/>
        <v>0</v>
      </c>
    </row>
    <row r="162" spans="14:51" x14ac:dyDescent="0.2">
      <c r="N162" s="170">
        <v>44</v>
      </c>
      <c r="O162" s="199">
        <f t="shared" si="102"/>
        <v>275.42287033381683</v>
      </c>
      <c r="P162" s="189" t="str">
        <f t="shared" si="103"/>
        <v>771.276595744681</v>
      </c>
      <c r="Q162" s="160" t="str">
        <f t="shared" si="104"/>
        <v>1+15.2979111201413i</v>
      </c>
      <c r="R162" s="160">
        <f t="shared" si="112"/>
        <v>15.330560480287172</v>
      </c>
      <c r="S162" s="160">
        <f t="shared" si="113"/>
        <v>1.5055207940667068</v>
      </c>
      <c r="T162" s="160" t="str">
        <f t="shared" si="105"/>
        <v>1+0.000287960679908541i</v>
      </c>
      <c r="U162" s="160">
        <f t="shared" si="114"/>
        <v>1.0000000414606758</v>
      </c>
      <c r="V162" s="160">
        <f t="shared" si="115"/>
        <v>2.8796067194917835E-4</v>
      </c>
      <c r="W162" s="98" t="str">
        <f t="shared" si="106"/>
        <v>1-0.00117676239385701i</v>
      </c>
      <c r="X162" s="160">
        <f t="shared" si="116"/>
        <v>1.0000006923846261</v>
      </c>
      <c r="Y162" s="160">
        <f t="shared" si="117"/>
        <v>-1.1767618506758131E-3</v>
      </c>
      <c r="Z162" s="98" t="str">
        <f t="shared" si="107"/>
        <v>0.999969656896999-0.00805707110500634i</v>
      </c>
      <c r="AA162" s="160">
        <f t="shared" si="118"/>
        <v>1.0000021155525087</v>
      </c>
      <c r="AB162" s="160">
        <f t="shared" si="119"/>
        <v>-8.0571412345468683E-3</v>
      </c>
      <c r="AC162" s="171" t="str">
        <f t="shared" si="120"/>
        <v>3.64144069747164-50.1777182121596i</v>
      </c>
      <c r="AD162" s="190">
        <f t="shared" si="121"/>
        <v>34.033030401904412</v>
      </c>
      <c r="AE162" s="169">
        <f t="shared" si="122"/>
        <v>-85.849271837893596</v>
      </c>
      <c r="AF162" s="98" t="str">
        <f t="shared" si="108"/>
        <v>-0.0000119284294234592</v>
      </c>
      <c r="AG162" s="98" t="str">
        <f t="shared" si="109"/>
        <v>0.0000312067003653287i</v>
      </c>
      <c r="AH162" s="98">
        <f t="shared" si="123"/>
        <v>3.1206700365328699E-5</v>
      </c>
      <c r="AI162" s="98">
        <f t="shared" si="124"/>
        <v>1.5707963267948966</v>
      </c>
      <c r="AJ162" s="98" t="str">
        <f t="shared" si="110"/>
        <v>1+0.00171009243336009i</v>
      </c>
      <c r="AK162" s="98">
        <f t="shared" si="125"/>
        <v>1.0000014622069964</v>
      </c>
      <c r="AL162" s="98">
        <f t="shared" si="126"/>
        <v>1.7100907663557161E-3</v>
      </c>
      <c r="AM162" s="98" t="str">
        <f t="shared" si="111"/>
        <v>1+0.934487783357043i</v>
      </c>
      <c r="AN162" s="98">
        <f t="shared" si="127"/>
        <v>1.3686735977739761</v>
      </c>
      <c r="AO162" s="98">
        <f t="shared" si="128"/>
        <v>0.7515456935849617</v>
      </c>
      <c r="AP162" s="168" t="str">
        <f t="shared" si="129"/>
        <v>-0.356543312335842+0.382849089970941i</v>
      </c>
      <c r="AQ162" s="98">
        <f t="shared" si="130"/>
        <v>-5.6273066222629966</v>
      </c>
      <c r="AR162" s="169">
        <f t="shared" si="131"/>
        <v>132.96241537015399</v>
      </c>
      <c r="AS162" s="168" t="str">
        <f t="shared" si="132"/>
        <v>17.9121624263925+19.2846521140281i</v>
      </c>
      <c r="AT162" s="190">
        <f t="shared" si="133"/>
        <v>28.405723779641416</v>
      </c>
      <c r="AU162" s="169">
        <f t="shared" si="134"/>
        <v>47.113143532260558</v>
      </c>
      <c r="AV162" s="225"/>
      <c r="AX162">
        <f t="shared" si="135"/>
        <v>0</v>
      </c>
      <c r="AY162">
        <f t="shared" si="136"/>
        <v>0</v>
      </c>
    </row>
    <row r="163" spans="14:51" x14ac:dyDescent="0.2">
      <c r="N163" s="170">
        <v>45</v>
      </c>
      <c r="O163" s="199">
        <f t="shared" si="102"/>
        <v>281.83829312644554</v>
      </c>
      <c r="P163" s="189" t="str">
        <f t="shared" si="103"/>
        <v>771.276595744681</v>
      </c>
      <c r="Q163" s="160" t="str">
        <f t="shared" si="104"/>
        <v>1+15.6542452457744i</v>
      </c>
      <c r="R163" s="160">
        <f t="shared" si="112"/>
        <v>15.686152945029271</v>
      </c>
      <c r="S163" s="160">
        <f t="shared" si="113"/>
        <v>1.5070025719115807</v>
      </c>
      <c r="T163" s="160" t="str">
        <f t="shared" si="105"/>
        <v>1+0.000294668145802811i</v>
      </c>
      <c r="U163" s="160">
        <f t="shared" si="114"/>
        <v>1.0000000434146572</v>
      </c>
      <c r="V163" s="160">
        <f t="shared" si="115"/>
        <v>2.9466813727420025E-4</v>
      </c>
      <c r="W163" s="98" t="str">
        <f t="shared" si="106"/>
        <v>1-0.00120417271121341i</v>
      </c>
      <c r="X163" s="160">
        <f t="shared" si="116"/>
        <v>1.0000007250156964</v>
      </c>
      <c r="Y163" s="160">
        <f t="shared" si="117"/>
        <v>-1.2041721291842942E-3</v>
      </c>
      <c r="Z163" s="98" t="str">
        <f t="shared" si="107"/>
        <v>0.999968226870611-0.00824474440006074i</v>
      </c>
      <c r="AA163" s="160">
        <f t="shared" si="118"/>
        <v>1.0000022152780343</v>
      </c>
      <c r="AB163" s="160">
        <f t="shared" si="119"/>
        <v>-8.2448195451333712E-3</v>
      </c>
      <c r="AC163" s="171" t="str">
        <f t="shared" si="120"/>
        <v>3.49441067275767-49.0448633734851i</v>
      </c>
      <c r="AD163" s="190">
        <f t="shared" si="121"/>
        <v>33.833861588177619</v>
      </c>
      <c r="AE163" s="169">
        <f t="shared" si="122"/>
        <v>-85.924604463297555</v>
      </c>
      <c r="AF163" s="98" t="str">
        <f t="shared" si="108"/>
        <v>-0.0000119284294234592</v>
      </c>
      <c r="AG163" s="98" t="str">
        <f t="shared" si="109"/>
        <v>0.0000319335977960461i</v>
      </c>
      <c r="AH163" s="98">
        <f t="shared" si="123"/>
        <v>3.1933597796046098E-5</v>
      </c>
      <c r="AI163" s="98">
        <f t="shared" si="124"/>
        <v>1.5707963267948966</v>
      </c>
      <c r="AJ163" s="98" t="str">
        <f t="shared" si="110"/>
        <v>1+0.00174992560320972i</v>
      </c>
      <c r="AK163" s="98">
        <f t="shared" si="125"/>
        <v>1.0000015311186363</v>
      </c>
      <c r="AL163" s="98">
        <f t="shared" si="126"/>
        <v>1.749923816982499E-3</v>
      </c>
      <c r="AM163" s="98" t="str">
        <f t="shared" si="111"/>
        <v>1+0.956254800081237i</v>
      </c>
      <c r="AN163" s="98">
        <f t="shared" si="127"/>
        <v>1.3836268437257231</v>
      </c>
      <c r="AO163" s="98">
        <f t="shared" si="128"/>
        <v>0.76304018090651538</v>
      </c>
      <c r="AP163" s="168" t="str">
        <f t="shared" si="129"/>
        <v>-0.35654326319595+0.374162461860625i</v>
      </c>
      <c r="AQ163" s="98">
        <f t="shared" si="130"/>
        <v>-5.7329254301820729</v>
      </c>
      <c r="AR163" s="169">
        <f t="shared" si="131"/>
        <v>133.61871871565958</v>
      </c>
      <c r="AS163" s="168" t="str">
        <f t="shared" si="132"/>
        <v>17.1048382372294+18.794092930253i</v>
      </c>
      <c r="AT163" s="190">
        <f t="shared" si="133"/>
        <v>28.100936157995555</v>
      </c>
      <c r="AU163" s="169">
        <f t="shared" si="134"/>
        <v>47.69411425236212</v>
      </c>
      <c r="AV163" s="225"/>
      <c r="AX163">
        <f t="shared" si="135"/>
        <v>0</v>
      </c>
      <c r="AY163">
        <f t="shared" si="136"/>
        <v>0</v>
      </c>
    </row>
    <row r="164" spans="14:51" x14ac:dyDescent="0.2">
      <c r="N164" s="170">
        <v>46</v>
      </c>
      <c r="O164" s="199">
        <f t="shared" si="102"/>
        <v>288.40315031266073</v>
      </c>
      <c r="P164" s="189" t="str">
        <f t="shared" si="103"/>
        <v>771.276595744681</v>
      </c>
      <c r="Q164" s="160" t="str">
        <f t="shared" si="104"/>
        <v>1+16.0188794594452i</v>
      </c>
      <c r="R164" s="160">
        <f t="shared" si="112"/>
        <v>16.050062278266562</v>
      </c>
      <c r="S164" s="160">
        <f t="shared" si="113"/>
        <v>1.5084508914877328</v>
      </c>
      <c r="T164" s="160" t="str">
        <f t="shared" si="105"/>
        <v>1+0.00030153184864838i</v>
      </c>
      <c r="U164" s="160">
        <f t="shared" si="114"/>
        <v>1.0000000454607267</v>
      </c>
      <c r="V164" s="160">
        <f t="shared" si="115"/>
        <v>3.0153183950980896E-4</v>
      </c>
      <c r="W164" s="98" t="str">
        <f t="shared" si="106"/>
        <v>1-0.0012322214968804i</v>
      </c>
      <c r="X164" s="160">
        <f t="shared" si="116"/>
        <v>1.0000007591846205</v>
      </c>
      <c r="Y164" s="160">
        <f t="shared" si="117"/>
        <v>-1.2322208732249919E-3</v>
      </c>
      <c r="Z164" s="98" t="str">
        <f t="shared" si="107"/>
        <v>0.999966729449156-0.00843678916772815i</v>
      </c>
      <c r="AA164" s="160">
        <f t="shared" si="118"/>
        <v>1.0000023197056607</v>
      </c>
      <c r="AB164" s="160">
        <f t="shared" si="119"/>
        <v>-8.4368696870300141E-3</v>
      </c>
      <c r="AC164" s="171" t="str">
        <f t="shared" si="120"/>
        <v>3.35394550167355-47.937170379037i</v>
      </c>
      <c r="AD164" s="190">
        <f t="shared" si="121"/>
        <v>33.634655461486858</v>
      </c>
      <c r="AE164" s="169">
        <f t="shared" si="122"/>
        <v>-85.997797213295911</v>
      </c>
      <c r="AF164" s="98" t="str">
        <f t="shared" si="108"/>
        <v>-0.0000119284294234592</v>
      </c>
      <c r="AG164" s="98" t="str">
        <f t="shared" si="109"/>
        <v>0.0000326774268430061i</v>
      </c>
      <c r="AH164" s="98">
        <f t="shared" si="123"/>
        <v>3.2677426843006103E-5</v>
      </c>
      <c r="AI164" s="98">
        <f t="shared" si="124"/>
        <v>1.5707963267948966</v>
      </c>
      <c r="AJ164" s="98" t="str">
        <f t="shared" si="110"/>
        <v>1+0.00179068660677718i</v>
      </c>
      <c r="AK164" s="98">
        <f t="shared" si="125"/>
        <v>1.0000016032779766</v>
      </c>
      <c r="AL164" s="98">
        <f t="shared" si="126"/>
        <v>1.790684692800395E-3</v>
      </c>
      <c r="AM164" s="98" t="str">
        <f t="shared" si="111"/>
        <v>1+0.978528835757964i</v>
      </c>
      <c r="AN164" s="98">
        <f t="shared" si="127"/>
        <v>1.3991135344959809</v>
      </c>
      <c r="AO164" s="98">
        <f t="shared" si="128"/>
        <v>0.77454650379904366</v>
      </c>
      <c r="AP164" s="168" t="str">
        <f t="shared" si="129"/>
        <v>-0.356543211740182+0.365674219632105i</v>
      </c>
      <c r="AQ164" s="98">
        <f t="shared" si="130"/>
        <v>-5.8362464840244126</v>
      </c>
      <c r="AR164" s="169">
        <f t="shared" si="131"/>
        <v>134.27564702896271</v>
      </c>
      <c r="AS164" s="168" t="str">
        <f t="shared" si="132"/>
        <v>16.3335608685574+18.3181240926913i</v>
      </c>
      <c r="AT164" s="190">
        <f t="shared" si="133"/>
        <v>27.798408977462458</v>
      </c>
      <c r="AU164" s="169">
        <f t="shared" si="134"/>
        <v>48.277849815666841</v>
      </c>
      <c r="AV164" s="225"/>
      <c r="AX164">
        <f t="shared" si="135"/>
        <v>0</v>
      </c>
      <c r="AY164">
        <f t="shared" si="136"/>
        <v>0</v>
      </c>
    </row>
    <row r="165" spans="14:51" x14ac:dyDescent="0.2">
      <c r="N165" s="170">
        <v>47</v>
      </c>
      <c r="O165" s="199">
        <f t="shared" si="102"/>
        <v>295.12092266663871</v>
      </c>
      <c r="P165" s="189" t="str">
        <f t="shared" si="103"/>
        <v>771.276595744681</v>
      </c>
      <c r="Q165" s="160" t="str">
        <f t="shared" si="104"/>
        <v>1+16.3920070950404i</v>
      </c>
      <c r="R165" s="160">
        <f t="shared" si="112"/>
        <v>16.422481438681999</v>
      </c>
      <c r="S165" s="160">
        <f t="shared" si="113"/>
        <v>1.5098664963953616</v>
      </c>
      <c r="T165" s="160" t="str">
        <f t="shared" si="105"/>
        <v>1+0.000308555427671348i</v>
      </c>
      <c r="U165" s="160">
        <f t="shared" si="114"/>
        <v>1.0000000476032249</v>
      </c>
      <c r="V165" s="160">
        <f t="shared" si="115"/>
        <v>3.0855541787919275E-4</v>
      </c>
      <c r="W165" s="98" t="str">
        <f t="shared" si="106"/>
        <v>1-0.00126092362269541i</v>
      </c>
      <c r="X165" s="160">
        <f t="shared" si="116"/>
        <v>1.0000007949638752</v>
      </c>
      <c r="Y165" s="160">
        <f t="shared" si="117"/>
        <v>-1.2609229544366289E-3</v>
      </c>
      <c r="Z165" s="98" t="str">
        <f t="shared" si="107"/>
        <v>0.999965161456402-0.00863330723268638i</v>
      </c>
      <c r="AA165" s="160">
        <f t="shared" si="118"/>
        <v>1.0000024290572009</v>
      </c>
      <c r="AB165" s="160">
        <f t="shared" si="119"/>
        <v>-8.6333935105671316E-3</v>
      </c>
      <c r="AC165" s="171" t="str">
        <f t="shared" si="120"/>
        <v>3.21975431790248-46.8541077094472i</v>
      </c>
      <c r="AD165" s="190">
        <f t="shared" si="121"/>
        <v>33.435413685694769</v>
      </c>
      <c r="AE165" s="169">
        <f t="shared" si="122"/>
        <v>-86.068887501017642</v>
      </c>
      <c r="AF165" s="98" t="str">
        <f t="shared" si="108"/>
        <v>-0.0000119284294234592</v>
      </c>
      <c r="AG165" s="98" t="str">
        <f t="shared" si="109"/>
        <v>0.0000334385818942152i</v>
      </c>
      <c r="AH165" s="98">
        <f t="shared" si="123"/>
        <v>3.34385818942152E-5</v>
      </c>
      <c r="AI165" s="98">
        <f t="shared" si="124"/>
        <v>1.5707963267948966</v>
      </c>
      <c r="AJ165" s="98" t="str">
        <f t="shared" si="110"/>
        <v>1+0.00183239705608609i</v>
      </c>
      <c r="AK165" s="98">
        <f t="shared" si="125"/>
        <v>1.0000016788380763</v>
      </c>
      <c r="AL165" s="98">
        <f t="shared" si="126"/>
        <v>1.8323950052232009E-3</v>
      </c>
      <c r="AM165" s="98" t="str">
        <f t="shared" si="111"/>
        <v>1+1.00132170037577i</v>
      </c>
      <c r="AN165" s="98">
        <f t="shared" si="127"/>
        <v>1.4151484542772972</v>
      </c>
      <c r="AO165" s="98">
        <f t="shared" si="128"/>
        <v>0.786058577054768</v>
      </c>
      <c r="AP165" s="168" t="str">
        <f t="shared" si="129"/>
        <v>-0.356543157859392+0.357379862706416i</v>
      </c>
      <c r="AQ165" s="98">
        <f t="shared" si="130"/>
        <v>-5.9372662697941045</v>
      </c>
      <c r="AR165" s="169">
        <f t="shared" si="131"/>
        <v>134.93285041509711</v>
      </c>
      <c r="AS165" s="168" t="str">
        <f t="shared" si="132"/>
        <v>15.5967332083975+17.8561868774908i</v>
      </c>
      <c r="AT165" s="190">
        <f t="shared" si="133"/>
        <v>27.498147415900679</v>
      </c>
      <c r="AU165" s="169">
        <f t="shared" si="134"/>
        <v>48.863962914079558</v>
      </c>
      <c r="AV165" s="225"/>
      <c r="AX165">
        <f t="shared" si="135"/>
        <v>0</v>
      </c>
      <c r="AY165">
        <f t="shared" si="136"/>
        <v>0</v>
      </c>
    </row>
    <row r="166" spans="14:51" x14ac:dyDescent="0.2">
      <c r="N166" s="170">
        <v>48</v>
      </c>
      <c r="O166" s="199">
        <f t="shared" si="102"/>
        <v>301.99517204020168</v>
      </c>
      <c r="P166" s="189" t="str">
        <f t="shared" si="103"/>
        <v>771.276595744681</v>
      </c>
      <c r="Q166" s="160" t="str">
        <f t="shared" si="104"/>
        <v>1+16.7738259897712i</v>
      </c>
      <c r="R166" s="160">
        <f t="shared" si="112"/>
        <v>16.803607896375222</v>
      </c>
      <c r="S166" s="160">
        <f t="shared" si="113"/>
        <v>1.5112501144998489</v>
      </c>
      <c r="T166" s="160" t="str">
        <f t="shared" si="105"/>
        <v>1+0.000315742606866281i</v>
      </c>
      <c r="U166" s="160">
        <f t="shared" si="114"/>
        <v>1.0000000498466957</v>
      </c>
      <c r="V166" s="160">
        <f t="shared" si="115"/>
        <v>3.1574259637379761E-4</v>
      </c>
      <c r="W166" s="98" t="str">
        <f t="shared" si="106"/>
        <v>1-0.00129029430690547i</v>
      </c>
      <c r="X166" s="160">
        <f t="shared" si="116"/>
        <v>1.0000008324293528</v>
      </c>
      <c r="Y166" s="160">
        <f t="shared" si="117"/>
        <v>-1.2902935908533173E-3</v>
      </c>
      <c r="Z166" s="98" t="str">
        <f t="shared" si="107"/>
        <v>0.999963519566426-0.00883440279141473i</v>
      </c>
      <c r="AA166" s="160">
        <f t="shared" si="118"/>
        <v>1.0000025435649427</v>
      </c>
      <c r="AB166" s="160">
        <f t="shared" si="119"/>
        <v>-8.834495239711037E-3</v>
      </c>
      <c r="AC166" s="171" t="str">
        <f t="shared" si="120"/>
        <v>3.09155894483291-45.7951532273416i</v>
      </c>
      <c r="AD166" s="190">
        <f t="shared" si="121"/>
        <v>33.236137850802358</v>
      </c>
      <c r="AE166" s="169">
        <f t="shared" si="122"/>
        <v>-86.137911717043849</v>
      </c>
      <c r="AF166" s="98" t="str">
        <f t="shared" si="108"/>
        <v>-0.0000119284294234592</v>
      </c>
      <c r="AG166" s="98" t="str">
        <f t="shared" si="109"/>
        <v>0.0000342174665241565i</v>
      </c>
      <c r="AH166" s="98">
        <f t="shared" si="123"/>
        <v>3.4217466524156499E-5</v>
      </c>
      <c r="AI166" s="98">
        <f t="shared" si="124"/>
        <v>1.5707963267948966</v>
      </c>
      <c r="AJ166" s="98" t="str">
        <f t="shared" si="110"/>
        <v>1+0.00187507906656878i</v>
      </c>
      <c r="AK166" s="98">
        <f t="shared" si="125"/>
        <v>1.0000017579592078</v>
      </c>
      <c r="AL166" s="98">
        <f t="shared" si="126"/>
        <v>1.8750768690298106E-3</v>
      </c>
      <c r="AM166" s="98" t="str">
        <f t="shared" si="111"/>
        <v>1+1.02464547901317i</v>
      </c>
      <c r="AN166" s="98">
        <f t="shared" si="127"/>
        <v>1.4317466108435979</v>
      </c>
      <c r="AO166" s="98">
        <f t="shared" si="128"/>
        <v>0.7975703002436394</v>
      </c>
      <c r="AP166" s="168" t="str">
        <f t="shared" si="129"/>
        <v>-0.356543101439296+0.349274993305109i</v>
      </c>
      <c r="AQ166" s="98">
        <f t="shared" si="130"/>
        <v>-6.0359837088561354</v>
      </c>
      <c r="AR166" s="169">
        <f t="shared" si="131"/>
        <v>135.58997807808444</v>
      </c>
      <c r="AS166" s="168" t="str">
        <f t="shared" si="132"/>
        <v>14.8928278224131+17.407750192323i</v>
      </c>
      <c r="AT166" s="190">
        <f t="shared" si="133"/>
        <v>27.200154141946228</v>
      </c>
      <c r="AU166" s="169">
        <f t="shared" si="134"/>
        <v>49.452066361040494</v>
      </c>
      <c r="AV166" s="225"/>
      <c r="AX166">
        <f t="shared" si="135"/>
        <v>0</v>
      </c>
      <c r="AY166">
        <f t="shared" si="136"/>
        <v>0</v>
      </c>
    </row>
    <row r="167" spans="14:51" x14ac:dyDescent="0.2">
      <c r="N167" s="170">
        <v>49</v>
      </c>
      <c r="O167" s="199">
        <f t="shared" si="102"/>
        <v>309.02954325135937</v>
      </c>
      <c r="P167" s="189" t="str">
        <f t="shared" si="103"/>
        <v>771.276595744681</v>
      </c>
      <c r="Q167" s="160" t="str">
        <f t="shared" si="104"/>
        <v>1+17.1645385890697i</v>
      </c>
      <c r="R167" s="160">
        <f t="shared" si="112"/>
        <v>17.193643737604393</v>
      </c>
      <c r="S167" s="160">
        <f t="shared" si="113"/>
        <v>1.5126024582114801</v>
      </c>
      <c r="T167" s="160" t="str">
        <f t="shared" si="105"/>
        <v>1+0.000323097196970723i</v>
      </c>
      <c r="U167" s="160">
        <f t="shared" si="114"/>
        <v>1.000000052195898</v>
      </c>
      <c r="V167" s="160">
        <f t="shared" si="115"/>
        <v>3.230971857278245E-4</v>
      </c>
      <c r="W167" s="98" t="str">
        <f t="shared" si="106"/>
        <v>1-0.00132034912223612i</v>
      </c>
      <c r="X167" s="160">
        <f t="shared" si="116"/>
        <v>1.0000008716605224</v>
      </c>
      <c r="Y167" s="160">
        <f t="shared" si="117"/>
        <v>-1.3203483549724512E-3</v>
      </c>
      <c r="Z167" s="98" t="str">
        <f t="shared" si="107"/>
        <v>0.999961800296559-0.00904018246744022i</v>
      </c>
      <c r="AA167" s="160">
        <f t="shared" si="118"/>
        <v>1.0000026634721431</v>
      </c>
      <c r="AB167" s="160">
        <f t="shared" si="119"/>
        <v>-9.0402815274414593E-3</v>
      </c>
      <c r="AC167" s="171" t="str">
        <f t="shared" si="120"/>
        <v>2.96909335931556-44.7597941409051i</v>
      </c>
      <c r="AD167" s="190">
        <f t="shared" si="121"/>
        <v>33.036829476168158</v>
      </c>
      <c r="AE167" s="169">
        <f t="shared" si="122"/>
        <v>-86.204905242611019</v>
      </c>
      <c r="AF167" s="98" t="str">
        <f t="shared" si="108"/>
        <v>-0.0000119284294234592</v>
      </c>
      <c r="AG167" s="98" t="str">
        <f t="shared" si="109"/>
        <v>0.0000350144937077707i</v>
      </c>
      <c r="AH167" s="98">
        <f t="shared" si="123"/>
        <v>3.5014493707770698E-5</v>
      </c>
      <c r="AI167" s="98">
        <f t="shared" si="124"/>
        <v>1.5707963267948966</v>
      </c>
      <c r="AJ167" s="98" t="str">
        <f t="shared" si="110"/>
        <v>1+0.00191875526879216i</v>
      </c>
      <c r="AK167" s="98">
        <f t="shared" si="125"/>
        <v>1.0000018408091964</v>
      </c>
      <c r="AL167" s="98">
        <f t="shared" si="126"/>
        <v>1.9187529140869645E-3</v>
      </c>
      <c r="AM167" s="98" t="str">
        <f t="shared" si="111"/>
        <v>1+1.04851253824634i</v>
      </c>
      <c r="AN167" s="98">
        <f t="shared" si="127"/>
        <v>1.448923235668399</v>
      </c>
      <c r="AO167" s="98">
        <f t="shared" si="128"/>
        <v>0.80907557386283147</v>
      </c>
      <c r="AP167" s="168" t="str">
        <f t="shared" si="129"/>
        <v>-0.356543042360225+0.341355314118478i</v>
      </c>
      <c r="AQ167" s="98">
        <f t="shared" si="130"/>
        <v>-6.1324001625135995</v>
      </c>
      <c r="AR167" s="169">
        <f t="shared" si="131"/>
        <v>136.24667924555979</v>
      </c>
      <c r="AS167" s="168" t="str">
        <f t="shared" si="132"/>
        <v>14.2203840094652+16.9723089747319i</v>
      </c>
      <c r="AT167" s="190">
        <f t="shared" si="133"/>
        <v>26.90442931365456</v>
      </c>
      <c r="AU167" s="169">
        <f t="shared" si="134"/>
        <v>50.041774002948657</v>
      </c>
      <c r="AV167" s="225"/>
      <c r="AX167">
        <f t="shared" si="135"/>
        <v>0</v>
      </c>
      <c r="AY167">
        <f t="shared" si="136"/>
        <v>0</v>
      </c>
    </row>
    <row r="168" spans="14:51" x14ac:dyDescent="0.2">
      <c r="N168" s="170">
        <v>50</v>
      </c>
      <c r="O168" s="199">
        <f t="shared" si="102"/>
        <v>316.22776601683825</v>
      </c>
      <c r="P168" s="189" t="str">
        <f t="shared" si="103"/>
        <v>771.276595744681</v>
      </c>
      <c r="Q168" s="160" t="str">
        <f t="shared" si="104"/>
        <v>1+17.5643520539276i</v>
      </c>
      <c r="R168" s="160">
        <f t="shared" si="112"/>
        <v>17.592795771971854</v>
      </c>
      <c r="S168" s="160">
        <f t="shared" si="113"/>
        <v>1.5139242247639131</v>
      </c>
      <c r="T168" s="160" t="str">
        <f t="shared" si="105"/>
        <v>1+0.000330623097485694i</v>
      </c>
      <c r="U168" s="160">
        <f t="shared" si="114"/>
        <v>1.0000000546558148</v>
      </c>
      <c r="V168" s="160">
        <f t="shared" si="115"/>
        <v>3.3062308543871128E-4</v>
      </c>
      <c r="W168" s="98" t="str">
        <f t="shared" si="106"/>
        <v>1-0.00135110400414827i</v>
      </c>
      <c r="X168" s="160">
        <f t="shared" si="116"/>
        <v>1.0000009127405984</v>
      </c>
      <c r="Y168" s="160">
        <f t="shared" si="117"/>
        <v>-1.351103182010477E-3</v>
      </c>
      <c r="Z168" s="98" t="str">
        <f t="shared" si="107"/>
        <v>0.99996-0.0092507553678709i</v>
      </c>
      <c r="AA168" s="160">
        <f t="shared" si="118"/>
        <v>1.0000027890335488</v>
      </c>
      <c r="AB168" s="160">
        <f t="shared" si="119"/>
        <v>-9.2508615124253808E-3</v>
      </c>
      <c r="AC168" s="171" t="str">
        <f t="shared" si="120"/>
        <v>2.85210317654175-43.7475269568985i</v>
      </c>
      <c r="AD168" s="190">
        <f t="shared" si="121"/>
        <v>32.837490013591328</v>
      </c>
      <c r="AE168" s="169">
        <f t="shared" si="122"/>
        <v>-86.269902462675958</v>
      </c>
      <c r="AF168" s="98" t="str">
        <f t="shared" si="108"/>
        <v>-0.0000119284294234592</v>
      </c>
      <c r="AG168" s="98" t="str">
        <f t="shared" si="109"/>
        <v>0.0000358300860394203i</v>
      </c>
      <c r="AH168" s="98">
        <f t="shared" si="123"/>
        <v>3.58300860394203E-5</v>
      </c>
      <c r="AI168" s="98">
        <f t="shared" si="124"/>
        <v>1.5707963267948966</v>
      </c>
      <c r="AJ168" s="98" t="str">
        <f t="shared" si="110"/>
        <v>1+0.00196344882045679i</v>
      </c>
      <c r="AK168" s="98">
        <f t="shared" si="125"/>
        <v>1.0000019275637775</v>
      </c>
      <c r="AL168" s="98">
        <f t="shared" si="126"/>
        <v>1.9634462973449778E-3</v>
      </c>
      <c r="AM168" s="98" t="str">
        <f t="shared" si="111"/>
        <v>1+1.07293553270598i</v>
      </c>
      <c r="AN168" s="98">
        <f t="shared" si="127"/>
        <v>1.4666937844495918</v>
      </c>
      <c r="AO168" s="98">
        <f t="shared" si="128"/>
        <v>0.82056831548020737</v>
      </c>
      <c r="AP168" s="168" t="str">
        <f t="shared" si="129"/>
        <v>-0.356542980496861+0.333616626027079i</v>
      </c>
      <c r="AQ168" s="98">
        <f t="shared" si="130"/>
        <v>-6.2265194262521382</v>
      </c>
      <c r="AR168" s="169">
        <f t="shared" si="131"/>
        <v>136.90260409303687</v>
      </c>
      <c r="AS168" s="168" t="str">
        <f t="shared" si="132"/>
        <v>13.5780049731404+16.5493826894183i</v>
      </c>
      <c r="AT168" s="190">
        <f t="shared" si="133"/>
        <v>26.610970587339175</v>
      </c>
      <c r="AU168" s="169">
        <f t="shared" si="134"/>
        <v>50.632701630360863</v>
      </c>
      <c r="AV168" s="225"/>
      <c r="AX168">
        <f t="shared" si="135"/>
        <v>0</v>
      </c>
      <c r="AY168">
        <f t="shared" si="136"/>
        <v>0</v>
      </c>
    </row>
    <row r="169" spans="14:51" x14ac:dyDescent="0.2">
      <c r="N169" s="170">
        <v>51</v>
      </c>
      <c r="O169" s="199">
        <f t="shared" si="102"/>
        <v>323.59365692962825</v>
      </c>
      <c r="P169" s="189" t="str">
        <f t="shared" si="103"/>
        <v>771.276595744681</v>
      </c>
      <c r="Q169" s="160" t="str">
        <f t="shared" si="104"/>
        <v>1+17.9734783707361i</v>
      </c>
      <c r="R169" s="160">
        <f t="shared" si="112"/>
        <v>18.001275642112656</v>
      </c>
      <c r="S169" s="160">
        <f t="shared" si="113"/>
        <v>1.5152160964911019</v>
      </c>
      <c r="T169" s="160" t="str">
        <f t="shared" si="105"/>
        <v>1+0.000338324298743267i</v>
      </c>
      <c r="U169" s="160">
        <f t="shared" si="114"/>
        <v>1.0000000572316639</v>
      </c>
      <c r="V169" s="160">
        <f t="shared" si="115"/>
        <v>3.3832428583469243E-4</v>
      </c>
      <c r="W169" s="98" t="str">
        <f t="shared" si="106"/>
        <v>1-0.00138257525928739i</v>
      </c>
      <c r="X169" s="160">
        <f t="shared" si="116"/>
        <v>1.0000009557567171</v>
      </c>
      <c r="Y169" s="160">
        <f t="shared" si="117"/>
        <v>-1.3825743783509186E-3</v>
      </c>
      <c r="Z169" s="98" t="str">
        <f t="shared" si="107"/>
        <v>0.999958114858078-0.00946623314124585i</v>
      </c>
      <c r="AA169" s="160">
        <f t="shared" si="118"/>
        <v>1.000002920515938</v>
      </c>
      <c r="AB169" s="160">
        <f t="shared" si="119"/>
        <v>-9.4663468770176899E-3</v>
      </c>
      <c r="AC169" s="171" t="str">
        <f t="shared" si="120"/>
        <v>2.74034515534929-42.7578574240749i</v>
      </c>
      <c r="AD169" s="190">
        <f t="shared" si="121"/>
        <v>32.638120850262915</v>
      </c>
      <c r="AE169" s="169">
        <f t="shared" si="122"/>
        <v>-86.332936778824802</v>
      </c>
      <c r="AF169" s="98" t="str">
        <f t="shared" si="108"/>
        <v>-0.0000119284294234592</v>
      </c>
      <c r="AG169" s="98" t="str">
        <f t="shared" si="109"/>
        <v>0.0000366646759569552i</v>
      </c>
      <c r="AH169" s="98">
        <f t="shared" si="123"/>
        <v>3.6664675956955198E-5</v>
      </c>
      <c r="AI169" s="98">
        <f t="shared" si="124"/>
        <v>1.5707963267948966</v>
      </c>
      <c r="AJ169" s="98" t="str">
        <f t="shared" si="110"/>
        <v>1+0.00200918341867535i</v>
      </c>
      <c r="AK169" s="98">
        <f t="shared" si="125"/>
        <v>1.000002018406968</v>
      </c>
      <c r="AL169" s="98">
        <f t="shared" si="126"/>
        <v>2.0091807151126281E-3</v>
      </c>
      <c r="AM169" s="98" t="str">
        <f t="shared" si="111"/>
        <v>1+1.09792741178705i</v>
      </c>
      <c r="AN169" s="98">
        <f t="shared" si="127"/>
        <v>1.4850739380762865</v>
      </c>
      <c r="AO169" s="98">
        <f t="shared" si="128"/>
        <v>0.83204247576776313</v>
      </c>
      <c r="AP169" s="168" t="str">
        <f t="shared" si="129"/>
        <v>-0.356542915717992+0.326054825875285i</v>
      </c>
      <c r="AQ169" s="98">
        <f t="shared" si="130"/>
        <v>-6.3183477137034849</v>
      </c>
      <c r="AR169" s="169">
        <f t="shared" si="131"/>
        <v>137.55740466185378</v>
      </c>
      <c r="AS169" s="168" t="str">
        <f t="shared" si="132"/>
        <v>12.9643551054451+16.1385139182994i</v>
      </c>
      <c r="AT169" s="190">
        <f t="shared" si="133"/>
        <v>26.319773136559412</v>
      </c>
      <c r="AU169" s="169">
        <f t="shared" si="134"/>
        <v>51.224467883028886</v>
      </c>
      <c r="AV169" s="225"/>
      <c r="AX169">
        <f t="shared" si="135"/>
        <v>0</v>
      </c>
      <c r="AY169">
        <f t="shared" si="136"/>
        <v>0</v>
      </c>
    </row>
    <row r="170" spans="14:51" x14ac:dyDescent="0.2">
      <c r="N170" s="170">
        <v>52</v>
      </c>
      <c r="O170" s="199">
        <f t="shared" si="102"/>
        <v>331.13112148259137</v>
      </c>
      <c r="P170" s="189" t="str">
        <f t="shared" si="103"/>
        <v>771.276595744681</v>
      </c>
      <c r="Q170" s="160" t="str">
        <f t="shared" si="104"/>
        <v>1+18.392134463684i</v>
      </c>
      <c r="R170" s="160">
        <f t="shared" si="112"/>
        <v>18.41929993594308</v>
      </c>
      <c r="S170" s="160">
        <f t="shared" si="113"/>
        <v>1.5164787411023974</v>
      </c>
      <c r="T170" s="160" t="str">
        <f t="shared" si="105"/>
        <v>1+0.000346204884022287i</v>
      </c>
      <c r="U170" s="160">
        <f t="shared" si="114"/>
        <v>1.0000000599289089</v>
      </c>
      <c r="V170" s="160">
        <f t="shared" si="115"/>
        <v>3.4620487019050024E-4</v>
      </c>
      <c r="W170" s="98" t="str">
        <f t="shared" si="106"/>
        <v>1-0.00141477957412954i</v>
      </c>
      <c r="X170" s="160">
        <f t="shared" si="116"/>
        <v>1.000001000800121</v>
      </c>
      <c r="Y170" s="160">
        <f t="shared" si="117"/>
        <v>-1.4147786301891554E-3</v>
      </c>
      <c r="Z170" s="98" t="str">
        <f t="shared" si="107"/>
        <v>0.999956140872154-0.00968673003673274i</v>
      </c>
      <c r="AA170" s="160">
        <f t="shared" si="118"/>
        <v>1.0000030581986916</v>
      </c>
      <c r="AB170" s="160">
        <f t="shared" si="119"/>
        <v>-9.6868519066201034E-3</v>
      </c>
      <c r="AC170" s="171" t="str">
        <f t="shared" si="120"/>
        <v>2.63358672327359-41.7903004678883i</v>
      </c>
      <c r="AD170" s="190">
        <f t="shared" si="121"/>
        <v>32.438723311591673</v>
      </c>
      <c r="AE170" s="169">
        <f t="shared" si="122"/>
        <v>-86.394040622008376</v>
      </c>
      <c r="AF170" s="98" t="str">
        <f t="shared" si="108"/>
        <v>-0.0000119284294234592</v>
      </c>
      <c r="AG170" s="98" t="str">
        <f t="shared" si="109"/>
        <v>0.0000375187059709969i</v>
      </c>
      <c r="AH170" s="98">
        <f t="shared" si="123"/>
        <v>3.7518705970996901E-5</v>
      </c>
      <c r="AI170" s="98">
        <f t="shared" si="124"/>
        <v>1.5707963267948966</v>
      </c>
      <c r="AJ170" s="98" t="str">
        <f t="shared" si="110"/>
        <v>1+0.00205598331253718i</v>
      </c>
      <c r="AK170" s="98">
        <f t="shared" si="125"/>
        <v>1.0000021135314572</v>
      </c>
      <c r="AL170" s="98">
        <f t="shared" si="126"/>
        <v>2.0559804156178615E-3</v>
      </c>
      <c r="AM170" s="98" t="str">
        <f t="shared" si="111"/>
        <v>1+1.12350142651463i</v>
      </c>
      <c r="AN170" s="98">
        <f t="shared" si="127"/>
        <v>1.5040796040703459</v>
      </c>
      <c r="AO170" s="98">
        <f t="shared" si="128"/>
        <v>0.84349205432211483</v>
      </c>
      <c r="AP170" s="168" t="str">
        <f t="shared" si="129"/>
        <v>-0.356542847886212+0.318665904295743i</v>
      </c>
      <c r="AQ170" s="98">
        <f t="shared" si="130"/>
        <v>-6.4078936304723193</v>
      </c>
      <c r="AR170" s="169">
        <f t="shared" si="131"/>
        <v>138.21073576490033</v>
      </c>
      <c r="AS170" s="168" t="str">
        <f t="shared" si="132"/>
        <v>12.3781573789192+15.7392670375546i</v>
      </c>
      <c r="AT170" s="190">
        <f t="shared" si="133"/>
        <v>26.030829681119357</v>
      </c>
      <c r="AU170" s="169">
        <f t="shared" si="134"/>
        <v>51.816695142891803</v>
      </c>
      <c r="AV170" s="225"/>
      <c r="AX170">
        <f t="shared" si="135"/>
        <v>0</v>
      </c>
      <c r="AY170">
        <f t="shared" si="136"/>
        <v>0</v>
      </c>
    </row>
    <row r="171" spans="14:51" x14ac:dyDescent="0.2">
      <c r="N171" s="170">
        <v>53</v>
      </c>
      <c r="O171" s="199">
        <f t="shared" si="102"/>
        <v>338.84415613920277</v>
      </c>
      <c r="P171" s="189" t="str">
        <f t="shared" si="103"/>
        <v>771.276595744681</v>
      </c>
      <c r="Q171" s="160" t="str">
        <f t="shared" si="104"/>
        <v>1+18.8205423097732i</v>
      </c>
      <c r="R171" s="160">
        <f t="shared" si="112"/>
        <v>18.847090301528326</v>
      </c>
      <c r="S171" s="160">
        <f t="shared" si="113"/>
        <v>1.5177128119555763</v>
      </c>
      <c r="T171" s="160" t="str">
        <f t="shared" si="105"/>
        <v>1+0.000354269031713376i</v>
      </c>
      <c r="U171" s="160">
        <f t="shared" si="114"/>
        <v>1.0000000627532715</v>
      </c>
      <c r="V171" s="160">
        <f t="shared" si="115"/>
        <v>3.5426901689234949E-4</v>
      </c>
      <c r="W171" s="98" t="str">
        <f t="shared" si="106"/>
        <v>1-0.0014477340238287i</v>
      </c>
      <c r="X171" s="160">
        <f t="shared" si="116"/>
        <v>1.0000010479663528</v>
      </c>
      <c r="Y171" s="160">
        <f t="shared" si="117"/>
        <v>-1.4477330123784122E-3</v>
      </c>
      <c r="Z171" s="98" t="str">
        <f t="shared" si="107"/>
        <v>0.99995407385514-0.00991236296470407i</v>
      </c>
      <c r="AA171" s="160">
        <f t="shared" si="118"/>
        <v>1.0000032023743899</v>
      </c>
      <c r="AB171" s="160">
        <f t="shared" si="119"/>
        <v>-9.9124935504303225E-3</v>
      </c>
      <c r="AC171" s="171" t="str">
        <f t="shared" si="120"/>
        <v>2.53160552067194-40.8443801173215i</v>
      </c>
      <c r="AD171" s="190">
        <f t="shared" si="121"/>
        <v>32.23929866390926</v>
      </c>
      <c r="AE171" s="169">
        <f t="shared" si="122"/>
        <v>-86.45324546508742</v>
      </c>
      <c r="AF171" s="98" t="str">
        <f t="shared" si="108"/>
        <v>-0.0000119284294234592</v>
      </c>
      <c r="AG171" s="98" t="str">
        <f t="shared" si="109"/>
        <v>0.0000383926288995632i</v>
      </c>
      <c r="AH171" s="98">
        <f t="shared" si="123"/>
        <v>3.8392628899563199E-5</v>
      </c>
      <c r="AI171" s="98">
        <f t="shared" si="124"/>
        <v>1.5707963267948966</v>
      </c>
      <c r="AJ171" s="98" t="str">
        <f t="shared" si="110"/>
        <v>1+0.00210387331596546i</v>
      </c>
      <c r="AK171" s="98">
        <f t="shared" si="125"/>
        <v>1.0000022131390158</v>
      </c>
      <c r="AL171" s="98">
        <f t="shared" si="126"/>
        <v>2.1038702118608556E-3</v>
      </c>
      <c r="AM171" s="98" t="str">
        <f t="shared" si="111"/>
        <v>1+1.14967113656985i</v>
      </c>
      <c r="AN171" s="98">
        <f t="shared" si="127"/>
        <v>1.5237269185329143</v>
      </c>
      <c r="AO171" s="98">
        <f t="shared" si="128"/>
        <v>0.85491111517192597</v>
      </c>
      <c r="AP171" s="168" t="str">
        <f t="shared" si="129"/>
        <v>-0.356542776857647+0.311445943583554i</v>
      </c>
      <c r="AQ171" s="98">
        <f t="shared" si="130"/>
        <v>-6.4951681380593387</v>
      </c>
      <c r="AR171" s="169">
        <f t="shared" si="131"/>
        <v>138.86225587439102</v>
      </c>
      <c r="AS171" s="168" t="str">
        <f t="shared" si="132"/>
        <v>11.818190843476+15.3512269762261i</v>
      </c>
      <c r="AT171" s="190">
        <f t="shared" si="133"/>
        <v>25.744130525849918</v>
      </c>
      <c r="AU171" s="169">
        <f t="shared" si="134"/>
        <v>52.409010409303697</v>
      </c>
      <c r="AV171" s="225"/>
      <c r="AX171">
        <f t="shared" si="135"/>
        <v>0</v>
      </c>
      <c r="AY171">
        <f t="shared" si="136"/>
        <v>0</v>
      </c>
    </row>
    <row r="172" spans="14:51" x14ac:dyDescent="0.2">
      <c r="N172" s="170">
        <v>54</v>
      </c>
      <c r="O172" s="199">
        <f t="shared" si="102"/>
        <v>346.73685045253183</v>
      </c>
      <c r="P172" s="189" t="str">
        <f t="shared" si="103"/>
        <v>771.276595744681</v>
      </c>
      <c r="Q172" s="160" t="str">
        <f t="shared" si="104"/>
        <v>1+19.2589290565143i</v>
      </c>
      <c r="R172" s="160">
        <f t="shared" si="112"/>
        <v>19.284873564632225</v>
      </c>
      <c r="S172" s="160">
        <f t="shared" si="113"/>
        <v>1.5189189483275796</v>
      </c>
      <c r="T172" s="160" t="str">
        <f t="shared" si="105"/>
        <v>1+0.000362521017534386i</v>
      </c>
      <c r="U172" s="160">
        <f t="shared" si="114"/>
        <v>1.000000065710742</v>
      </c>
      <c r="V172" s="160">
        <f t="shared" si="115"/>
        <v>3.6252100165337002E-4</v>
      </c>
      <c r="W172" s="98" t="str">
        <f t="shared" si="106"/>
        <v>1-0.00148145608127033i</v>
      </c>
      <c r="X172" s="160">
        <f t="shared" si="116"/>
        <v>1.0000010973554583</v>
      </c>
      <c r="Y172" s="160">
        <f t="shared" si="117"/>
        <v>-1.4814549974818845E-3</v>
      </c>
      <c r="Z172" s="98" t="str">
        <f t="shared" si="107"/>
        <v>0.999951909422615-0.010143251558725i</v>
      </c>
      <c r="AA172" s="160">
        <f t="shared" si="118"/>
        <v>1.0000033533494361</v>
      </c>
      <c r="AB172" s="160">
        <f t="shared" si="119"/>
        <v>-1.0143391483615165E-2</v>
      </c>
      <c r="AC172" s="171" t="str">
        <f t="shared" si="120"/>
        <v>2.43418896325951-39.9196294245987i</v>
      </c>
      <c r="AD172" s="190">
        <f t="shared" si="121"/>
        <v>32.039848117058625</v>
      </c>
      <c r="AE172" s="169">
        <f t="shared" si="122"/>
        <v>-86.510581835174463</v>
      </c>
      <c r="AF172" s="98" t="str">
        <f t="shared" si="108"/>
        <v>-0.0000119284294234592</v>
      </c>
      <c r="AG172" s="98" t="str">
        <f t="shared" si="109"/>
        <v>0.0000392869081081586i</v>
      </c>
      <c r="AH172" s="98">
        <f t="shared" si="123"/>
        <v>3.9286908108158599E-5</v>
      </c>
      <c r="AI172" s="98">
        <f t="shared" si="124"/>
        <v>1.5707963267948966</v>
      </c>
      <c r="AJ172" s="98" t="str">
        <f t="shared" si="110"/>
        <v>1+0.00215287882087393i</v>
      </c>
      <c r="AK172" s="98">
        <f t="shared" si="125"/>
        <v>1.0000023174409234</v>
      </c>
      <c r="AL172" s="98">
        <f t="shared" si="126"/>
        <v>2.1528754947663371E-3</v>
      </c>
      <c r="AM172" s="98" t="str">
        <f t="shared" si="111"/>
        <v>1+1.17645041747938i</v>
      </c>
      <c r="AN172" s="98">
        <f t="shared" si="127"/>
        <v>1.5440322486228737</v>
      </c>
      <c r="AO172" s="98">
        <f t="shared" si="128"/>
        <v>0.86629380187563554</v>
      </c>
      <c r="AP172" s="168" t="str">
        <f t="shared" si="129"/>
        <v>-0.356542702481641+0.304391115619037i</v>
      </c>
      <c r="AQ172" s="98">
        <f t="shared" si="130"/>
        <v>-6.5801845082015511</v>
      </c>
      <c r="AR172" s="169">
        <f t="shared" si="131"/>
        <v>139.51162798614902</v>
      </c>
      <c r="AS172" s="168" t="str">
        <f t="shared" si="132"/>
        <v>11.2832882243406+14.9739980512662i</v>
      </c>
      <c r="AT172" s="190">
        <f t="shared" si="133"/>
        <v>25.459663608857085</v>
      </c>
      <c r="AU172" s="169">
        <f t="shared" si="134"/>
        <v>53.001046150974631</v>
      </c>
      <c r="AV172" s="225"/>
      <c r="AX172">
        <f t="shared" si="135"/>
        <v>0</v>
      </c>
      <c r="AY172">
        <f t="shared" si="136"/>
        <v>0</v>
      </c>
    </row>
    <row r="173" spans="14:51" x14ac:dyDescent="0.2">
      <c r="N173" s="170">
        <v>55</v>
      </c>
      <c r="O173" s="199">
        <f t="shared" si="102"/>
        <v>354.81338923357566</v>
      </c>
      <c r="P173" s="189" t="str">
        <f t="shared" si="103"/>
        <v>771.276595744681</v>
      </c>
      <c r="Q173" s="160" t="str">
        <f t="shared" si="104"/>
        <v>1+19.7075271423633i</v>
      </c>
      <c r="R173" s="160">
        <f t="shared" si="112"/>
        <v>19.732881849009942</v>
      </c>
      <c r="S173" s="160">
        <f t="shared" si="113"/>
        <v>1.5200977756827554</v>
      </c>
      <c r="T173" s="160" t="str">
        <f t="shared" si="105"/>
        <v>1+0.000370965216797426i</v>
      </c>
      <c r="U173" s="160">
        <f t="shared" si="114"/>
        <v>1.0000000688075936</v>
      </c>
      <c r="V173" s="160">
        <f t="shared" si="115"/>
        <v>3.709651997806109E-4</v>
      </c>
      <c r="W173" s="98" t="str">
        <f t="shared" si="106"/>
        <v>1-0.00151596362633563i</v>
      </c>
      <c r="X173" s="160">
        <f t="shared" si="116"/>
        <v>1.0000011490721981</v>
      </c>
      <c r="Y173" s="160">
        <f t="shared" si="117"/>
        <v>-1.51596246503546E-3</v>
      </c>
      <c r="Z173" s="98" t="str">
        <f t="shared" si="107"/>
        <v>0.999949642983528-0.0103795182389841i</v>
      </c>
      <c r="AA173" s="160">
        <f t="shared" si="118"/>
        <v>1.0000035114447141</v>
      </c>
      <c r="AB173" s="160">
        <f t="shared" si="119"/>
        <v>-1.0379668170939835E-2</v>
      </c>
      <c r="AC173" s="171" t="str">
        <f t="shared" si="120"/>
        <v>2.34113382241032-39.0155903785066i</v>
      </c>
      <c r="AD173" s="190">
        <f t="shared" si="121"/>
        <v>31.840372826871686</v>
      </c>
      <c r="AE173" s="169">
        <f t="shared" si="122"/>
        <v>-86.566079325758039</v>
      </c>
      <c r="AF173" s="98" t="str">
        <f t="shared" si="108"/>
        <v>-0.0000119284294234592</v>
      </c>
      <c r="AG173" s="98" t="str">
        <f t="shared" si="109"/>
        <v>0.0000402020177554567i</v>
      </c>
      <c r="AH173" s="98">
        <f t="shared" si="123"/>
        <v>4.0202017755456697E-5</v>
      </c>
      <c r="AI173" s="98">
        <f t="shared" si="124"/>
        <v>1.5707963267948966</v>
      </c>
      <c r="AJ173" s="98" t="str">
        <f t="shared" si="110"/>
        <v>1+0.00220302581062994i</v>
      </c>
      <c r="AK173" s="98">
        <f t="shared" si="125"/>
        <v>1.0000024266584169</v>
      </c>
      <c r="AL173" s="98">
        <f t="shared" si="126"/>
        <v>2.2030222466419098E-3</v>
      </c>
      <c r="AM173" s="98" t="str">
        <f t="shared" si="111"/>
        <v>1+1.20385346797242i</v>
      </c>
      <c r="AN173" s="98">
        <f t="shared" si="127"/>
        <v>1.5650121955912109</v>
      </c>
      <c r="AO173" s="98">
        <f t="shared" si="128"/>
        <v>0.87763435211782859</v>
      </c>
      <c r="AP173" s="168" t="str">
        <f t="shared" si="129"/>
        <v>-0.356542624600434+0.297497679838018i</v>
      </c>
      <c r="AQ173" s="98">
        <f t="shared" si="130"/>
        <v>-6.6629582680302146</v>
      </c>
      <c r="AR173" s="169">
        <f t="shared" si="131"/>
        <v>140.1585204551439</v>
      </c>
      <c r="AS173" s="168" t="str">
        <f t="shared" si="132"/>
        <v>10.7723336175332+14.6072028742456i</v>
      </c>
      <c r="AT173" s="190">
        <f t="shared" si="133"/>
        <v>25.177414558841491</v>
      </c>
      <c r="AU173" s="169">
        <f t="shared" si="134"/>
        <v>53.592441129385911</v>
      </c>
      <c r="AV173" s="225"/>
      <c r="AX173">
        <f t="shared" si="135"/>
        <v>0</v>
      </c>
      <c r="AY173">
        <f t="shared" si="136"/>
        <v>0</v>
      </c>
    </row>
    <row r="174" spans="14:51" x14ac:dyDescent="0.2">
      <c r="N174" s="170">
        <v>56</v>
      </c>
      <c r="O174" s="199">
        <f t="shared" si="102"/>
        <v>363.07805477010152</v>
      </c>
      <c r="P174" s="189" t="str">
        <f t="shared" si="103"/>
        <v>771.276595744681</v>
      </c>
      <c r="Q174" s="160" t="str">
        <f t="shared" si="104"/>
        <v>1+20.1665744199632i</v>
      </c>
      <c r="R174" s="160">
        <f t="shared" si="112"/>
        <v>20.191352699507632</v>
      </c>
      <c r="S174" s="160">
        <f t="shared" si="113"/>
        <v>1.5212499059384257</v>
      </c>
      <c r="T174" s="160" t="str">
        <f t="shared" si="105"/>
        <v>1+0.000379606106728718i</v>
      </c>
      <c r="U174" s="160">
        <f t="shared" si="114"/>
        <v>1.0000000720503954</v>
      </c>
      <c r="V174" s="160">
        <f t="shared" si="115"/>
        <v>3.7960608849487213E-4</v>
      </c>
      <c r="W174" s="98" t="str">
        <f t="shared" si="106"/>
        <v>1-0.00155127495538178i</v>
      </c>
      <c r="X174" s="160">
        <f t="shared" si="116"/>
        <v>1.0000012032262697</v>
      </c>
      <c r="Y174" s="160">
        <f t="shared" si="117"/>
        <v>-1.5512737110263096E-3</v>
      </c>
      <c r="Z174" s="98" t="str">
        <f t="shared" si="107"/>
        <v>0.999947269730458-0.0106212882772027i</v>
      </c>
      <c r="AA174" s="160">
        <f t="shared" si="118"/>
        <v>1.0000036769962724</v>
      </c>
      <c r="AB174" s="160">
        <f t="shared" si="119"/>
        <v>-1.0621448931889993E-2</v>
      </c>
      <c r="AC174" s="171" t="str">
        <f t="shared" si="120"/>
        <v>2.25224582258937-38.1318138119883i</v>
      </c>
      <c r="AD174" s="190">
        <f t="shared" si="121"/>
        <v>31.640873897540104</v>
      </c>
      <c r="AE174" s="169">
        <f t="shared" si="122"/>
        <v>-86.619766608597402</v>
      </c>
      <c r="AF174" s="98" t="str">
        <f t="shared" si="108"/>
        <v>-0.0000119284294234592</v>
      </c>
      <c r="AG174" s="98" t="str">
        <f t="shared" si="109"/>
        <v>0.0000411384430447053i</v>
      </c>
      <c r="AH174" s="98">
        <f t="shared" si="123"/>
        <v>4.1138443044705298E-5</v>
      </c>
      <c r="AI174" s="98">
        <f t="shared" si="124"/>
        <v>1.5707963267948966</v>
      </c>
      <c r="AJ174" s="98" t="str">
        <f t="shared" si="110"/>
        <v>1+0.00225434087383126i</v>
      </c>
      <c r="AK174" s="98">
        <f t="shared" si="125"/>
        <v>1.0000025410231594</v>
      </c>
      <c r="AL174" s="98">
        <f t="shared" si="126"/>
        <v>2.2543370549498063E-3</v>
      </c>
      <c r="AM174" s="98" t="str">
        <f t="shared" si="111"/>
        <v>1+1.23189481750906i</v>
      </c>
      <c r="AN174" s="98">
        <f t="shared" si="127"/>
        <v>1.586683598391841</v>
      </c>
      <c r="AO174" s="98">
        <f t="shared" si="128"/>
        <v>0.88892711171834948</v>
      </c>
      <c r="AP174" s="168" t="str">
        <f t="shared" si="129"/>
        <v>-0.356542543048834+0.290761981248519i</v>
      </c>
      <c r="AQ174" s="98">
        <f t="shared" si="130"/>
        <v>-6.7435071365238608</v>
      </c>
      <c r="AR174" s="169">
        <f t="shared" si="131"/>
        <v>140.80260779736705</v>
      </c>
      <c r="AS174" s="168" t="str">
        <f t="shared" si="132"/>
        <v>10.2842602794162+14.2504813252257i</v>
      </c>
      <c r="AT174" s="190">
        <f t="shared" si="133"/>
        <v>24.897366761016212</v>
      </c>
      <c r="AU174" s="169">
        <f t="shared" si="134"/>
        <v>54.182841188769643</v>
      </c>
      <c r="AV174" s="225"/>
      <c r="AX174">
        <f t="shared" si="135"/>
        <v>0</v>
      </c>
      <c r="AY174">
        <f t="shared" si="136"/>
        <v>0</v>
      </c>
    </row>
    <row r="175" spans="14:51" x14ac:dyDescent="0.2">
      <c r="N175" s="170">
        <v>57</v>
      </c>
      <c r="O175" s="199">
        <f t="shared" si="102"/>
        <v>371.53522909717265</v>
      </c>
      <c r="P175" s="189" t="str">
        <f t="shared" si="103"/>
        <v>771.276595744681</v>
      </c>
      <c r="Q175" s="160" t="str">
        <f t="shared" si="104"/>
        <v>1+20.6363142822566i</v>
      </c>
      <c r="R175" s="160">
        <f t="shared" si="112"/>
        <v>20.660529208035008</v>
      </c>
      <c r="S175" s="160">
        <f t="shared" si="113"/>
        <v>1.5223759377276145</v>
      </c>
      <c r="T175" s="160" t="str">
        <f t="shared" si="105"/>
        <v>1+0.000388448268842477i</v>
      </c>
      <c r="U175" s="160">
        <f t="shared" si="114"/>
        <v>1.0000000754460259</v>
      </c>
      <c r="V175" s="160">
        <f t="shared" si="115"/>
        <v>3.8844824930455926E-4</v>
      </c>
      <c r="W175" s="98" t="str">
        <f t="shared" si="106"/>
        <v>1-0.00158740879094281i</v>
      </c>
      <c r="X175" s="160">
        <f t="shared" si="116"/>
        <v>1.000001259932541</v>
      </c>
      <c r="Y175" s="160">
        <f t="shared" si="117"/>
        <v>-1.5874074575919915E-3</v>
      </c>
      <c r="Z175" s="98" t="str">
        <f t="shared" si="107"/>
        <v>0.999944784629416-0.0108686898630553i</v>
      </c>
      <c r="AA175" s="160">
        <f t="shared" si="118"/>
        <v>1.0000038503560416</v>
      </c>
      <c r="AB175" s="160">
        <f t="shared" si="119"/>
        <v>-1.0868862007320139E-2</v>
      </c>
      <c r="AC175" s="171" t="str">
        <f t="shared" si="120"/>
        <v>2.16733925529589-37.2678593046292i</v>
      </c>
      <c r="AD175" s="190">
        <f t="shared" si="121"/>
        <v>31.441352383883348</v>
      </c>
      <c r="AE175" s="169">
        <f t="shared" si="122"/>
        <v>-86.671671445377029</v>
      </c>
      <c r="AF175" s="98" t="str">
        <f t="shared" si="108"/>
        <v>-0.0000119284294234592</v>
      </c>
      <c r="AG175" s="98" t="str">
        <f t="shared" si="109"/>
        <v>0.0000420966804809878i</v>
      </c>
      <c r="AH175" s="98">
        <f t="shared" si="123"/>
        <v>4.20966804809878E-5</v>
      </c>
      <c r="AI175" s="98">
        <f t="shared" si="124"/>
        <v>1.5707963267948966</v>
      </c>
      <c r="AJ175" s="98" t="str">
        <f t="shared" si="110"/>
        <v>1+0.0023068512184036i</v>
      </c>
      <c r="AK175" s="98">
        <f t="shared" si="125"/>
        <v>1.0000026607777321</v>
      </c>
      <c r="AL175" s="98">
        <f t="shared" si="126"/>
        <v>2.3068471263989858E-3</v>
      </c>
      <c r="AM175" s="98" t="str">
        <f t="shared" si="111"/>
        <v>1+1.260589333984i</v>
      </c>
      <c r="AN175" s="98">
        <f t="shared" si="127"/>
        <v>1.6090635378860043</v>
      </c>
      <c r="AO175" s="98">
        <f t="shared" si="128"/>
        <v>0.90016654797500406</v>
      </c>
      <c r="AP175" s="168" t="str">
        <f t="shared" si="129"/>
        <v>-0.356542457653868+0.284180448492835i</v>
      </c>
      <c r="AQ175" s="98">
        <f t="shared" si="130"/>
        <v>-6.821850952801336</v>
      </c>
      <c r="AR175" s="169">
        <f t="shared" si="131"/>
        <v>141.44357145350384</v>
      </c>
      <c r="AS175" s="168" t="str">
        <f t="shared" si="132"/>
        <v>9.8180485069045+13.9034895895772i</v>
      </c>
      <c r="AT175" s="190">
        <f t="shared" si="133"/>
        <v>24.619501431082021</v>
      </c>
      <c r="AU175" s="169">
        <f t="shared" si="134"/>
        <v>54.771900008126863</v>
      </c>
      <c r="AV175" s="225"/>
      <c r="AX175">
        <f t="shared" si="135"/>
        <v>0</v>
      </c>
      <c r="AY175">
        <f t="shared" si="136"/>
        <v>0</v>
      </c>
    </row>
    <row r="176" spans="14:51" x14ac:dyDescent="0.2">
      <c r="N176" s="170">
        <v>58</v>
      </c>
      <c r="O176" s="199">
        <f t="shared" si="102"/>
        <v>380.18939632056163</v>
      </c>
      <c r="P176" s="189" t="str">
        <f t="shared" si="103"/>
        <v>771.276595744681</v>
      </c>
      <c r="Q176" s="160" t="str">
        <f t="shared" si="104"/>
        <v>1+21.1169957915364i</v>
      </c>
      <c r="R176" s="160">
        <f t="shared" si="112"/>
        <v>21.14066014247819</v>
      </c>
      <c r="S176" s="160">
        <f t="shared" si="113"/>
        <v>1.5234764566587977</v>
      </c>
      <c r="T176" s="160" t="str">
        <f t="shared" si="105"/>
        <v>1+0.000397496391370097i</v>
      </c>
      <c r="U176" s="160">
        <f t="shared" si="114"/>
        <v>1.0000000790016874</v>
      </c>
      <c r="V176" s="160">
        <f t="shared" si="115"/>
        <v>3.9749637043484101E-4</v>
      </c>
      <c r="W176" s="98" t="str">
        <f t="shared" si="106"/>
        <v>1-0.00162438429165664i</v>
      </c>
      <c r="X176" s="160">
        <f t="shared" si="116"/>
        <v>1.0000013193112933</v>
      </c>
      <c r="Y176" s="160">
        <f t="shared" si="117"/>
        <v>-1.624382862945599E-3</v>
      </c>
      <c r="Z176" s="98" t="str">
        <f t="shared" si="107"/>
        <v>0.99994218240917-0.0111218541721373i</v>
      </c>
      <c r="AA176" s="160">
        <f t="shared" si="118"/>
        <v>1.000004031892592</v>
      </c>
      <c r="AB176" s="160">
        <f t="shared" si="119"/>
        <v>-1.112203862766553E-2</v>
      </c>
      <c r="AC176" s="171" t="str">
        <f t="shared" si="120"/>
        <v>2.08623660891396-36.4232950806116i</v>
      </c>
      <c r="AD176" s="190">
        <f t="shared" si="121"/>
        <v>31.241809293518578</v>
      </c>
      <c r="AE176" s="169">
        <f t="shared" si="122"/>
        <v>-86.721820699110168</v>
      </c>
      <c r="AF176" s="98" t="str">
        <f t="shared" si="108"/>
        <v>-0.0000119284294234592</v>
      </c>
      <c r="AG176" s="98" t="str">
        <f t="shared" si="109"/>
        <v>0.0000430772381344769i</v>
      </c>
      <c r="AH176" s="98">
        <f t="shared" si="123"/>
        <v>4.3077238134476901E-5</v>
      </c>
      <c r="AI176" s="98">
        <f t="shared" si="124"/>
        <v>1.5707963267948966</v>
      </c>
      <c r="AJ176" s="98" t="str">
        <f t="shared" si="110"/>
        <v>1+0.00236058468602672i</v>
      </c>
      <c r="AK176" s="98">
        <f t="shared" si="125"/>
        <v>1.0000027861761485</v>
      </c>
      <c r="AL176" s="98">
        <f t="shared" si="126"/>
        <v>2.3605803013654388E-3</v>
      </c>
      <c r="AM176" s="98" t="str">
        <f t="shared" si="111"/>
        <v>1+1.28995223160969i</v>
      </c>
      <c r="AN176" s="98">
        <f t="shared" si="127"/>
        <v>1.6321693416538676</v>
      </c>
      <c r="AO176" s="98">
        <f t="shared" si="128"/>
        <v>0.91134726226820528</v>
      </c>
      <c r="AP176" s="168" t="str">
        <f t="shared" si="129"/>
        <v>-0.356542368234402+0.277749591953943i</v>
      </c>
      <c r="AQ176" s="98">
        <f t="shared" si="130"/>
        <v>-6.8980115968610907</v>
      </c>
      <c r="AR176" s="169">
        <f t="shared" si="131"/>
        <v>142.0811005103003</v>
      </c>
      <c r="AS176" s="168" t="str">
        <f t="shared" si="132"/>
        <v>9.37272360501844+13.5658992537869i</v>
      </c>
      <c r="AT176" s="190">
        <f t="shared" si="133"/>
        <v>24.343797696657468</v>
      </c>
      <c r="AU176" s="169">
        <f t="shared" si="134"/>
        <v>55.359279811190071</v>
      </c>
      <c r="AV176" s="225"/>
      <c r="AX176">
        <f t="shared" si="135"/>
        <v>0</v>
      </c>
      <c r="AY176">
        <f t="shared" si="136"/>
        <v>0</v>
      </c>
    </row>
    <row r="177" spans="14:51" x14ac:dyDescent="0.2">
      <c r="N177" s="170">
        <v>59</v>
      </c>
      <c r="O177" s="199">
        <f t="shared" si="102"/>
        <v>389.04514499428063</v>
      </c>
      <c r="P177" s="189" t="str">
        <f t="shared" si="103"/>
        <v>771.276595744681</v>
      </c>
      <c r="Q177" s="160" t="str">
        <f t="shared" si="104"/>
        <v>1+21.6088738115014i</v>
      </c>
      <c r="R177" s="160">
        <f t="shared" si="112"/>
        <v>21.632000078619434</v>
      </c>
      <c r="S177" s="160">
        <f t="shared" si="113"/>
        <v>1.5245520355725415</v>
      </c>
      <c r="T177" s="160" t="str">
        <f t="shared" si="105"/>
        <v>1+0.000406755271745908i</v>
      </c>
      <c r="U177" s="160">
        <f t="shared" si="114"/>
        <v>1.0000000827249222</v>
      </c>
      <c r="V177" s="160">
        <f t="shared" si="115"/>
        <v>4.067552493133772E-4</v>
      </c>
      <c r="W177" s="98" t="str">
        <f t="shared" si="106"/>
        <v>1-0.00166222106242318i</v>
      </c>
      <c r="X177" s="160">
        <f t="shared" si="116"/>
        <v>1.0000013814884758</v>
      </c>
      <c r="Y177" s="160">
        <f t="shared" si="117"/>
        <v>-1.6622195315318324E-3</v>
      </c>
      <c r="Z177" s="98" t="str">
        <f t="shared" si="107"/>
        <v>0.999939457550063-0.0113809154355166i</v>
      </c>
      <c r="AA177" s="160">
        <f t="shared" si="118"/>
        <v>1.0000042219919196</v>
      </c>
      <c r="AB177" s="160">
        <f t="shared" si="119"/>
        <v>-1.1381113082755474E-2</v>
      </c>
      <c r="AC177" s="171" t="str">
        <f t="shared" si="120"/>
        <v>2.00876821388094-35.597697902673i</v>
      </c>
      <c r="AD177" s="190">
        <f t="shared" si="121"/>
        <v>31.042245588936233</v>
      </c>
      <c r="AE177" s="169">
        <f t="shared" si="122"/>
        <v>-86.770240345282716</v>
      </c>
      <c r="AF177" s="98" t="str">
        <f t="shared" si="108"/>
        <v>-0.0000119284294234592</v>
      </c>
      <c r="AG177" s="98" t="str">
        <f t="shared" si="109"/>
        <v>0.0000440806359098194i</v>
      </c>
      <c r="AH177" s="98">
        <f t="shared" si="123"/>
        <v>4.4080635909819402E-5</v>
      </c>
      <c r="AI177" s="98">
        <f t="shared" si="124"/>
        <v>1.5707963267948966</v>
      </c>
      <c r="AJ177" s="98" t="str">
        <f t="shared" si="110"/>
        <v>1+0.00241556976689641i</v>
      </c>
      <c r="AK177" s="98">
        <f t="shared" si="125"/>
        <v>1.0000029174843934</v>
      </c>
      <c r="AL177" s="98">
        <f t="shared" si="126"/>
        <v>2.4155650686479408E-3</v>
      </c>
      <c r="AM177" s="98" t="str">
        <f t="shared" si="111"/>
        <v>1+1.31999907898312i</v>
      </c>
      <c r="AN177" s="98">
        <f t="shared" si="127"/>
        <v>1.656018589423526</v>
      </c>
      <c r="AO177" s="98">
        <f t="shared" si="128"/>
        <v>0.92246400186410904</v>
      </c>
      <c r="AP177" s="168" t="str">
        <f t="shared" si="129"/>
        <v>-0.356542274600778+0.271466001905253i</v>
      </c>
      <c r="AQ177" s="98">
        <f t="shared" si="130"/>
        <v>-6.9720129034234652</v>
      </c>
      <c r="AR177" s="169">
        <f t="shared" si="131"/>
        <v>142.71489237598888</v>
      </c>
      <c r="AS177" s="168" t="str">
        <f t="shared" si="132"/>
        <v>8.9473539385468+13.237396456547i</v>
      </c>
      <c r="AT177" s="190">
        <f t="shared" si="133"/>
        <v>24.070232685512774</v>
      </c>
      <c r="AU177" s="169">
        <f t="shared" si="134"/>
        <v>55.944652030706195</v>
      </c>
      <c r="AV177" s="225"/>
      <c r="AX177">
        <f t="shared" si="135"/>
        <v>0</v>
      </c>
      <c r="AY177">
        <f t="shared" si="136"/>
        <v>0</v>
      </c>
    </row>
    <row r="178" spans="14:51" x14ac:dyDescent="0.2">
      <c r="N178" s="170">
        <v>60</v>
      </c>
      <c r="O178" s="199">
        <f t="shared" si="102"/>
        <v>398.10717055349761</v>
      </c>
      <c r="P178" s="189" t="str">
        <f t="shared" si="103"/>
        <v>771.276595744681</v>
      </c>
      <c r="Q178" s="160" t="str">
        <f t="shared" si="104"/>
        <v>1+22.1122091423885i</v>
      </c>
      <c r="R178" s="160">
        <f t="shared" si="112"/>
        <v>22.134809535135595</v>
      </c>
      <c r="S178" s="160">
        <f t="shared" si="113"/>
        <v>1.5256032347949215</v>
      </c>
      <c r="T178" s="160" t="str">
        <f t="shared" si="105"/>
        <v>1+0.000416229819150841i</v>
      </c>
      <c r="U178" s="160">
        <f t="shared" si="114"/>
        <v>1.0000000866236274</v>
      </c>
      <c r="V178" s="160">
        <f t="shared" si="115"/>
        <v>4.162297951139513E-4</v>
      </c>
      <c r="W178" s="98" t="str">
        <f t="shared" si="106"/>
        <v>1-0.0017009391647991i</v>
      </c>
      <c r="X178" s="160">
        <f t="shared" si="116"/>
        <v>1.0000014465959748</v>
      </c>
      <c r="Y178" s="160">
        <f t="shared" si="117"/>
        <v>-1.7009375244195948E-3</v>
      </c>
      <c r="Z178" s="98" t="str">
        <f t="shared" si="107"/>
        <v>0.999936604272302-0.011646011010904i</v>
      </c>
      <c r="AA178" s="160">
        <f t="shared" si="118"/>
        <v>1.0000044210582715</v>
      </c>
      <c r="AB178" s="160">
        <f t="shared" si="119"/>
        <v>-1.1646222793264185E-2</v>
      </c>
      <c r="AC178" s="171" t="str">
        <f t="shared" si="120"/>
        <v>1.93477190260052-34.7906529625643i</v>
      </c>
      <c r="AD178" s="190">
        <f t="shared" si="121"/>
        <v>30.84266218948575</v>
      </c>
      <c r="AE178" s="169">
        <f t="shared" si="122"/>
        <v>-86.816955482728957</v>
      </c>
      <c r="AF178" s="98" t="str">
        <f t="shared" si="108"/>
        <v>-0.0000119284294234592</v>
      </c>
      <c r="AG178" s="98" t="str">
        <f t="shared" si="109"/>
        <v>0.0000451074058217976i</v>
      </c>
      <c r="AH178" s="98">
        <f t="shared" si="123"/>
        <v>4.5107405821797601E-5</v>
      </c>
      <c r="AI178" s="98">
        <f t="shared" si="124"/>
        <v>1.5707963267948966</v>
      </c>
      <c r="AJ178" s="98" t="str">
        <f t="shared" si="110"/>
        <v>1+0.00247183561483034i</v>
      </c>
      <c r="AK178" s="98">
        <f t="shared" si="125"/>
        <v>1.0000030549809868</v>
      </c>
      <c r="AL178" s="98">
        <f t="shared" si="126"/>
        <v>2.4718305805672353E-3</v>
      </c>
      <c r="AM178" s="98" t="str">
        <f t="shared" si="111"/>
        <v>1+1.35074580734047i</v>
      </c>
      <c r="AN178" s="98">
        <f t="shared" si="127"/>
        <v>1.680629119124103</v>
      </c>
      <c r="AO178" s="98">
        <f t="shared" si="128"/>
        <v>0.93351167086141584</v>
      </c>
      <c r="AP178" s="168" t="str">
        <f t="shared" si="129"/>
        <v>-0.356542176554386+0.265326346702727i</v>
      </c>
      <c r="AQ178" s="98">
        <f t="shared" si="130"/>
        <v>-7.043880569577448</v>
      </c>
      <c r="AR178" s="169">
        <f t="shared" si="131"/>
        <v>143.34465340662695</v>
      </c>
      <c r="AS178" s="168" t="str">
        <f t="shared" si="132"/>
        <v>8.54104906467013+12.9176810916411i</v>
      </c>
      <c r="AT178" s="190">
        <f t="shared" si="133"/>
        <v>23.798781619908326</v>
      </c>
      <c r="AU178" s="169">
        <f t="shared" si="134"/>
        <v>56.527697923898089</v>
      </c>
      <c r="AV178" s="225"/>
      <c r="AX178">
        <f t="shared" si="135"/>
        <v>0</v>
      </c>
      <c r="AY178">
        <f t="shared" si="136"/>
        <v>0</v>
      </c>
    </row>
    <row r="179" spans="14:51" x14ac:dyDescent="0.2">
      <c r="N179" s="170">
        <v>61</v>
      </c>
      <c r="O179" s="199">
        <f t="shared" si="102"/>
        <v>407.38027780411272</v>
      </c>
      <c r="P179" s="189" t="str">
        <f t="shared" si="103"/>
        <v>771.276595744681</v>
      </c>
      <c r="Q179" s="160" t="str">
        <f t="shared" si="104"/>
        <v>1+22.6272686592526i</v>
      </c>
      <c r="R179" s="160">
        <f t="shared" si="112"/>
        <v>22.649355111746448</v>
      </c>
      <c r="S179" s="160">
        <f t="shared" si="113"/>
        <v>1.5266306023876253</v>
      </c>
      <c r="T179" s="160" t="str">
        <f t="shared" si="105"/>
        <v>1+0.000425925057115341i</v>
      </c>
      <c r="U179" s="160">
        <f t="shared" si="114"/>
        <v>1.0000000907060729</v>
      </c>
      <c r="V179" s="160">
        <f t="shared" si="115"/>
        <v>4.2592503135934975E-4</v>
      </c>
      <c r="W179" s="98" t="str">
        <f t="shared" si="106"/>
        <v>1-0.0017405591276348i</v>
      </c>
      <c r="X179" s="160">
        <f t="shared" si="116"/>
        <v>1.0000015147718913</v>
      </c>
      <c r="Y179" s="160">
        <f t="shared" si="117"/>
        <v>-1.740557369936636E-3</v>
      </c>
      <c r="Z179" s="98" t="str">
        <f t="shared" si="107"/>
        <v>0.999933616523702-0.0119172814554825i</v>
      </c>
      <c r="AA179" s="160">
        <f t="shared" si="118"/>
        <v>1.0000046295150133</v>
      </c>
      <c r="AB179" s="160">
        <f t="shared" si="119"/>
        <v>-1.1917508383840484E-2</v>
      </c>
      <c r="AC179" s="171" t="str">
        <f t="shared" si="120"/>
        <v>1.86409268354245-34.0017537684627i</v>
      </c>
      <c r="AD179" s="190">
        <f t="shared" si="121"/>
        <v>30.643059973273822</v>
      </c>
      <c r="AE179" s="169">
        <f t="shared" si="122"/>
        <v>-86.861990344231501</v>
      </c>
      <c r="AF179" s="98" t="str">
        <f t="shared" si="108"/>
        <v>-0.0000119284294234592</v>
      </c>
      <c r="AG179" s="98" t="str">
        <f t="shared" si="109"/>
        <v>0.0000461580922774095i</v>
      </c>
      <c r="AH179" s="98">
        <f t="shared" si="123"/>
        <v>4.6158092277409503E-5</v>
      </c>
      <c r="AI179" s="98">
        <f t="shared" si="124"/>
        <v>1.5707963267948966</v>
      </c>
      <c r="AJ179" s="98" t="str">
        <f t="shared" si="110"/>
        <v>1+0.00252941206272588i</v>
      </c>
      <c r="AK179" s="98">
        <f t="shared" si="125"/>
        <v>1.0000031989575748</v>
      </c>
      <c r="AL179" s="98">
        <f t="shared" si="126"/>
        <v>2.5294066684167075E-3</v>
      </c>
      <c r="AM179" s="98" t="str">
        <f t="shared" si="111"/>
        <v>1+1.38220871900411i</v>
      </c>
      <c r="AN179" s="98">
        <f t="shared" si="127"/>
        <v>1.7060190335664436</v>
      </c>
      <c r="AO179" s="98">
        <f t="shared" si="128"/>
        <v>0.94448534023610797</v>
      </c>
      <c r="AP179" s="168" t="str">
        <f t="shared" si="129"/>
        <v>-0.356542073887269+0.259327371018383i</v>
      </c>
      <c r="AQ179" s="98">
        <f t="shared" si="130"/>
        <v>-7.1136420569643768</v>
      </c>
      <c r="AR179" s="169">
        <f t="shared" si="131"/>
        <v>143.97009948073404</v>
      </c>
      <c r="AS179" s="168" t="str">
        <f t="shared" si="132"/>
        <v>8.15295794348152+12.6064660593696i</v>
      </c>
      <c r="AT179" s="190">
        <f t="shared" si="133"/>
        <v>23.529417916309438</v>
      </c>
      <c r="AU179" s="169">
        <f t="shared" si="134"/>
        <v>57.108109136502513</v>
      </c>
      <c r="AV179" s="225"/>
      <c r="AX179">
        <f t="shared" si="135"/>
        <v>0</v>
      </c>
      <c r="AY179">
        <f t="shared" si="136"/>
        <v>0</v>
      </c>
    </row>
    <row r="180" spans="14:51" x14ac:dyDescent="0.2">
      <c r="N180" s="170">
        <v>62</v>
      </c>
      <c r="O180" s="199">
        <f t="shared" si="102"/>
        <v>416.86938347033572</v>
      </c>
      <c r="P180" s="189" t="str">
        <f t="shared" si="103"/>
        <v>771.276595744681</v>
      </c>
      <c r="Q180" s="160" t="str">
        <f t="shared" si="104"/>
        <v>1+23.1543254534671i</v>
      </c>
      <c r="R180" s="160">
        <f t="shared" si="112"/>
        <v>23.175909630585686</v>
      </c>
      <c r="S180" s="160">
        <f t="shared" si="113"/>
        <v>1.5276346743946492</v>
      </c>
      <c r="T180" s="160" t="str">
        <f t="shared" si="105"/>
        <v>1+0.00043584612618291i</v>
      </c>
      <c r="U180" s="160">
        <f t="shared" si="114"/>
        <v>1.0000000949809185</v>
      </c>
      <c r="V180" s="160">
        <f t="shared" si="115"/>
        <v>4.3584609858486828E-4</v>
      </c>
      <c r="W180" s="98" t="str">
        <f t="shared" si="106"/>
        <v>1-0.001781101957959i</v>
      </c>
      <c r="X180" s="160">
        <f t="shared" si="116"/>
        <v>1.0000015861608345</v>
      </c>
      <c r="Y180" s="160">
        <f t="shared" si="117"/>
        <v>-1.7811000745516462E-3</v>
      </c>
      <c r="Z180" s="98" t="str">
        <f t="shared" si="107"/>
        <v>0.99993048796685-0.0121948706004327i</v>
      </c>
      <c r="AA180" s="160">
        <f t="shared" si="118"/>
        <v>1.0000048478055414</v>
      </c>
      <c r="AB180" s="160">
        <f t="shared" si="119"/>
        <v>-1.2195113757955097E-2</v>
      </c>
      <c r="AC180" s="171" t="str">
        <f t="shared" si="120"/>
        <v>1.79658242898782-33.2306020297702i</v>
      </c>
      <c r="AD180" s="190">
        <f t="shared" si="121"/>
        <v>30.443439778980427</v>
      </c>
      <c r="AE180" s="169">
        <f t="shared" si="122"/>
        <v>-86.905368306838454</v>
      </c>
      <c r="AF180" s="98" t="str">
        <f t="shared" si="108"/>
        <v>-0.0000119284294234592</v>
      </c>
      <c r="AG180" s="98" t="str">
        <f t="shared" si="109"/>
        <v>0.0000472332523645216i</v>
      </c>
      <c r="AH180" s="98">
        <f t="shared" si="123"/>
        <v>4.72332523645216E-5</v>
      </c>
      <c r="AI180" s="98">
        <f t="shared" si="124"/>
        <v>1.5707963267948966</v>
      </c>
      <c r="AJ180" s="98" t="str">
        <f t="shared" si="110"/>
        <v>1+0.0025883296383778i</v>
      </c>
      <c r="AK180" s="98">
        <f t="shared" si="125"/>
        <v>1.0000033497195482</v>
      </c>
      <c r="AL180" s="98">
        <f t="shared" si="126"/>
        <v>2.5883238582724288E-3</v>
      </c>
      <c r="AM180" s="98" t="str">
        <f t="shared" si="111"/>
        <v>1+1.41440449602627i</v>
      </c>
      <c r="AN180" s="98">
        <f t="shared" si="127"/>
        <v>1.7322067077515104</v>
      </c>
      <c r="AO180" s="98">
        <f t="shared" si="128"/>
        <v>0.95538025694754292</v>
      </c>
      <c r="AP180" s="168" t="str">
        <f t="shared" si="129"/>
        <v>-0.356541966381666+0.253465894114272i</v>
      </c>
      <c r="AQ180" s="98">
        <f t="shared" si="130"/>
        <v>-7.1813264892571151</v>
      </c>
      <c r="AR180" s="169">
        <f t="shared" si="131"/>
        <v>144.59095652012635</v>
      </c>
      <c r="AS180" s="168" t="str">
        <f t="shared" si="132"/>
        <v>7.78226722343318+12.3034765634542i</v>
      </c>
      <c r="AT180" s="190">
        <f t="shared" si="133"/>
        <v>23.262113289723292</v>
      </c>
      <c r="AU180" s="169">
        <f t="shared" si="134"/>
        <v>57.685588213287843</v>
      </c>
      <c r="AV180" s="225"/>
      <c r="AX180">
        <f t="shared" si="135"/>
        <v>0</v>
      </c>
      <c r="AY180">
        <f t="shared" si="136"/>
        <v>0</v>
      </c>
    </row>
    <row r="181" spans="14:51" x14ac:dyDescent="0.2">
      <c r="N181" s="170">
        <v>63</v>
      </c>
      <c r="O181" s="199">
        <f t="shared" si="102"/>
        <v>426.57951880159294</v>
      </c>
      <c r="P181" s="189" t="str">
        <f t="shared" si="103"/>
        <v>771.276595744681</v>
      </c>
      <c r="Q181" s="160" t="str">
        <f t="shared" si="104"/>
        <v>1+23.6936589775208i</v>
      </c>
      <c r="R181" s="160">
        <f t="shared" si="112"/>
        <v>23.714752280870492</v>
      </c>
      <c r="S181" s="160">
        <f t="shared" si="113"/>
        <v>1.5286159750855235</v>
      </c>
      <c r="T181" s="160" t="str">
        <f t="shared" si="105"/>
        <v>1+0.000445998286635685i</v>
      </c>
      <c r="U181" s="160">
        <f t="shared" si="114"/>
        <v>1.0000000994572309</v>
      </c>
      <c r="V181" s="160">
        <f t="shared" si="115"/>
        <v>4.4599825706385064E-4</v>
      </c>
      <c r="W181" s="98" t="str">
        <f t="shared" si="106"/>
        <v>1-0.00182258915211698i</v>
      </c>
      <c r="X181" s="160">
        <f t="shared" si="116"/>
        <v>1.0000016609142295</v>
      </c>
      <c r="Y181" s="160">
        <f t="shared" si="117"/>
        <v>-1.8225871340098215E-3</v>
      </c>
      <c r="Z181" s="98" t="str">
        <f t="shared" si="107"/>
        <v>0.999927211965656-0.0124789256271934i</v>
      </c>
      <c r="AA181" s="160">
        <f t="shared" si="118"/>
        <v>1.0000050763942248</v>
      </c>
      <c r="AB181" s="160">
        <f t="shared" si="119"/>
        <v>-1.2479186174506282E-2</v>
      </c>
      <c r="AC181" s="171" t="str">
        <f t="shared" si="120"/>
        <v>1.73209957589393-32.4768075396862i</v>
      </c>
      <c r="AD181" s="190">
        <f t="shared" si="121"/>
        <v>30.243802407594895</v>
      </c>
      <c r="AE181" s="169">
        <f t="shared" si="122"/>
        <v>-86.947111901891944</v>
      </c>
      <c r="AF181" s="98" t="str">
        <f t="shared" si="108"/>
        <v>-0.0000119284294234592</v>
      </c>
      <c r="AG181" s="98" t="str">
        <f t="shared" si="109"/>
        <v>0.0000483334561472433i</v>
      </c>
      <c r="AH181" s="98">
        <f t="shared" si="123"/>
        <v>4.8333456147243302E-5</v>
      </c>
      <c r="AI181" s="98">
        <f t="shared" si="124"/>
        <v>1.5707963267948966</v>
      </c>
      <c r="AJ181" s="98" t="str">
        <f t="shared" si="110"/>
        <v>1+0.00264861958066458i</v>
      </c>
      <c r="AK181" s="98">
        <f t="shared" si="125"/>
        <v>1.00000350758669</v>
      </c>
      <c r="AL181" s="98">
        <f t="shared" si="126"/>
        <v>2.6486133871712614E-3</v>
      </c>
      <c r="AM181" s="98" t="str">
        <f t="shared" si="111"/>
        <v>1+1.44735020903407i</v>
      </c>
      <c r="AN181" s="98">
        <f t="shared" si="127"/>
        <v>1.7592107968037731</v>
      </c>
      <c r="AO181" s="98">
        <f t="shared" si="128"/>
        <v>0.96619185207873237</v>
      </c>
      <c r="AP181" s="168" t="str">
        <f t="shared" si="129"/>
        <v>-0.356541853809546+0.247738808156003i</v>
      </c>
      <c r="AQ181" s="98">
        <f t="shared" si="130"/>
        <v>-7.2469645457055307</v>
      </c>
      <c r="AR181" s="169">
        <f t="shared" si="131"/>
        <v>145.20696095539299</v>
      </c>
      <c r="AS181" s="168" t="str">
        <f t="shared" si="132"/>
        <v>7.4281995988218+12.008449450555i</v>
      </c>
      <c r="AT181" s="190">
        <f t="shared" si="133"/>
        <v>22.996837861889343</v>
      </c>
      <c r="AU181" s="169">
        <f t="shared" si="134"/>
        <v>58.259849053500993</v>
      </c>
      <c r="AV181" s="225"/>
      <c r="AX181">
        <f t="shared" si="135"/>
        <v>0</v>
      </c>
      <c r="AY181">
        <f t="shared" si="136"/>
        <v>0</v>
      </c>
    </row>
    <row r="182" spans="14:51" x14ac:dyDescent="0.2">
      <c r="N182" s="170">
        <v>64</v>
      </c>
      <c r="O182" s="199">
        <f t="shared" si="102"/>
        <v>436.51583224016622</v>
      </c>
      <c r="P182" s="189" t="str">
        <f t="shared" si="103"/>
        <v>771.276595744681</v>
      </c>
      <c r="Q182" s="160" t="str">
        <f t="shared" si="104"/>
        <v>1+24.245555193187i</v>
      </c>
      <c r="R182" s="160">
        <f t="shared" si="112"/>
        <v>24.266168766945409</v>
      </c>
      <c r="S182" s="160">
        <f t="shared" si="113"/>
        <v>1.5295750171950009</v>
      </c>
      <c r="T182" s="160" t="str">
        <f t="shared" si="105"/>
        <v>1+0.000456386921283518i</v>
      </c>
      <c r="U182" s="160">
        <f t="shared" si="114"/>
        <v>1.0000001041445055</v>
      </c>
      <c r="V182" s="160">
        <f t="shared" si="115"/>
        <v>4.5638688959672677E-4</v>
      </c>
      <c r="W182" s="98" t="str">
        <f t="shared" si="106"/>
        <v>1-0.00186504270716822i</v>
      </c>
      <c r="X182" s="160">
        <f t="shared" si="116"/>
        <v>1.0000017391906373</v>
      </c>
      <c r="Y182" s="160">
        <f t="shared" si="117"/>
        <v>-1.8650405447276429E-3</v>
      </c>
      <c r="Z182" s="98" t="str">
        <f t="shared" si="107"/>
        <v>0.999923781571281-0.0127695971454997i</v>
      </c>
      <c r="AA182" s="160">
        <f t="shared" si="118"/>
        <v>1.0000053157674058</v>
      </c>
      <c r="AB182" s="160">
        <f t="shared" si="119"/>
        <v>-1.2769876326227484E-2</v>
      </c>
      <c r="AC182" s="171" t="str">
        <f t="shared" si="120"/>
        <v>1.67050883936959-31.7399880559189i</v>
      </c>
      <c r="AD182" s="190">
        <f t="shared" si="121"/>
        <v>30.044148624075817</v>
      </c>
      <c r="AE182" s="169">
        <f t="shared" si="122"/>
        <v>-86.98724282476168</v>
      </c>
      <c r="AF182" s="98" t="str">
        <f t="shared" si="108"/>
        <v>-0.0000119284294234592</v>
      </c>
      <c r="AG182" s="98" t="str">
        <f t="shared" si="109"/>
        <v>0.0000494592869681832i</v>
      </c>
      <c r="AH182" s="98">
        <f t="shared" si="123"/>
        <v>4.94592869681832E-5</v>
      </c>
      <c r="AI182" s="98">
        <f t="shared" si="124"/>
        <v>1.5707963267948966</v>
      </c>
      <c r="AJ182" s="98" t="str">
        <f t="shared" si="110"/>
        <v>1+0.00271031385611165i</v>
      </c>
      <c r="AK182" s="98">
        <f t="shared" si="125"/>
        <v>1.0000036728938542</v>
      </c>
      <c r="AL182" s="98">
        <f t="shared" si="126"/>
        <v>2.7103072196653093E-3</v>
      </c>
      <c r="AM182" s="98" t="str">
        <f t="shared" si="111"/>
        <v>1+1.48106332628065i</v>
      </c>
      <c r="AN182" s="98">
        <f t="shared" si="127"/>
        <v>1.7870502445240601</v>
      </c>
      <c r="AO182" s="98">
        <f t="shared" si="128"/>
        <v>0.97691574799285785</v>
      </c>
      <c r="AP182" s="168" t="str">
        <f t="shared" si="129"/>
        <v>-0.356541735932143+0.242143076564919i</v>
      </c>
      <c r="AQ182" s="98">
        <f t="shared" si="130"/>
        <v>-7.3105883515244399</v>
      </c>
      <c r="AR182" s="169">
        <f t="shared" si="131"/>
        <v>145.81786013498603</v>
      </c>
      <c r="AS182" s="168" t="str">
        <f t="shared" si="132"/>
        <v>7.09001223651516+11.7211325897167i</v>
      </c>
      <c r="AT182" s="190">
        <f t="shared" si="133"/>
        <v>22.733560272551401</v>
      </c>
      <c r="AU182" s="169">
        <f t="shared" si="134"/>
        <v>58.830617310224447</v>
      </c>
      <c r="AV182" s="225"/>
      <c r="AX182">
        <f t="shared" si="135"/>
        <v>0</v>
      </c>
      <c r="AY182">
        <f t="shared" si="136"/>
        <v>0</v>
      </c>
    </row>
    <row r="183" spans="14:51" x14ac:dyDescent="0.2">
      <c r="N183" s="170">
        <v>65</v>
      </c>
      <c r="O183" s="199">
        <f t="shared" si="102"/>
        <v>446.68359215096331</v>
      </c>
      <c r="P183" s="189" t="str">
        <f t="shared" si="103"/>
        <v>771.276595744681</v>
      </c>
      <c r="Q183" s="160" t="str">
        <f t="shared" si="104"/>
        <v>1+24.8103067231445i</v>
      </c>
      <c r="R183" s="160">
        <f t="shared" si="112"/>
        <v>24.830451459780374</v>
      </c>
      <c r="S183" s="160">
        <f t="shared" si="113"/>
        <v>1.5305123021591585</v>
      </c>
      <c r="T183" s="160" t="str">
        <f t="shared" si="105"/>
        <v>1+0.000467017538318012i</v>
      </c>
      <c r="U183" s="160">
        <f t="shared" si="114"/>
        <v>1.0000001090526847</v>
      </c>
      <c r="V183" s="160">
        <f t="shared" si="115"/>
        <v>4.6701750436500372E-4</v>
      </c>
      <c r="W183" s="98" t="str">
        <f t="shared" si="106"/>
        <v>1-0.00190848513254957i</v>
      </c>
      <c r="X183" s="160">
        <f t="shared" si="116"/>
        <v>1.0000018211560924</v>
      </c>
      <c r="Y183" s="160">
        <f t="shared" si="117"/>
        <v>-1.9084828154529731E-3</v>
      </c>
      <c r="Z183" s="98" t="str">
        <f t="shared" si="107"/>
        <v>0.999920189507401-0.0130670392732381i</v>
      </c>
      <c r="AA183" s="160">
        <f t="shared" si="118"/>
        <v>1.00000556643445</v>
      </c>
      <c r="AB183" s="160">
        <f t="shared" si="119"/>
        <v>-1.3067338419938396E-2</v>
      </c>
      <c r="AC183" s="171" t="str">
        <f t="shared" si="120"/>
        <v>1.61168093826695-31.0197691798718i</v>
      </c>
      <c r="AD183" s="190">
        <f t="shared" si="121"/>
        <v>29.844479158938114</v>
      </c>
      <c r="AE183" s="169">
        <f t="shared" si="122"/>
        <v>-87.025781944279416</v>
      </c>
      <c r="AF183" s="98" t="str">
        <f t="shared" si="108"/>
        <v>-0.0000119284294234592</v>
      </c>
      <c r="AG183" s="98" t="str">
        <f t="shared" si="109"/>
        <v>0.0000506113417577447i</v>
      </c>
      <c r="AH183" s="98">
        <f t="shared" si="123"/>
        <v>5.0611341757744697E-5</v>
      </c>
      <c r="AI183" s="98">
        <f t="shared" si="124"/>
        <v>1.5707963267948966</v>
      </c>
      <c r="AJ183" s="98" t="str">
        <f t="shared" si="110"/>
        <v>1+0.00277344517584048i</v>
      </c>
      <c r="AK183" s="98">
        <f t="shared" si="125"/>
        <v>1.0000038459916758</v>
      </c>
      <c r="AL183" s="98">
        <f t="shared" si="126"/>
        <v>2.7734380647615846E-3</v>
      </c>
      <c r="AM183" s="98" t="str">
        <f t="shared" si="111"/>
        <v>1+1.51556172290701i</v>
      </c>
      <c r="AN183" s="98">
        <f t="shared" si="127"/>
        <v>1.8157442925535701</v>
      </c>
      <c r="AO183" s="98">
        <f t="shared" si="128"/>
        <v>0.98754776449703729</v>
      </c>
      <c r="AP183" s="168" t="str">
        <f t="shared" si="129"/>
        <v>-0.356541612499433+0.236675732408051i</v>
      </c>
      <c r="AQ183" s="98">
        <f t="shared" si="130"/>
        <v>-7.3722313658971386</v>
      </c>
      <c r="AR183" s="169">
        <f t="shared" si="131"/>
        <v>146.42341267740784</v>
      </c>
      <c r="AS183" s="168" t="str">
        <f t="shared" si="132"/>
        <v>6.76699526921055+11.4412842892241i</v>
      </c>
      <c r="AT183" s="190">
        <f t="shared" si="133"/>
        <v>22.472247793040957</v>
      </c>
      <c r="AU183" s="169">
        <f t="shared" si="134"/>
        <v>59.397630733128352</v>
      </c>
      <c r="AV183" s="225"/>
      <c r="AX183">
        <f t="shared" si="135"/>
        <v>0</v>
      </c>
      <c r="AY183">
        <f t="shared" si="136"/>
        <v>0</v>
      </c>
    </row>
    <row r="184" spans="14:51" x14ac:dyDescent="0.2">
      <c r="N184" s="170">
        <v>66</v>
      </c>
      <c r="O184" s="199">
        <f t="shared" ref="O184:O218" si="137">10^(2+(N184/100))</f>
        <v>457.0881896148756</v>
      </c>
      <c r="P184" s="189" t="str">
        <f t="shared" si="103"/>
        <v>771.276595744681</v>
      </c>
      <c r="Q184" s="160" t="str">
        <f t="shared" si="104"/>
        <v>1+25.3882130061298i</v>
      </c>
      <c r="R184" s="160">
        <f t="shared" si="112"/>
        <v>25.407899552001897</v>
      </c>
      <c r="S184" s="160">
        <f t="shared" si="113"/>
        <v>1.5314283203478734</v>
      </c>
      <c r="T184" s="160" t="str">
        <f t="shared" si="105"/>
        <v>1+0.000477895774233031i</v>
      </c>
      <c r="U184" s="160">
        <f t="shared" si="114"/>
        <v>1.000000114192179</v>
      </c>
      <c r="V184" s="160">
        <f t="shared" si="115"/>
        <v>4.7789573785172735E-4</v>
      </c>
      <c r="W184" s="98" t="str">
        <f t="shared" si="106"/>
        <v>1-0.00195293946200998i</v>
      </c>
      <c r="X184" s="160">
        <f t="shared" si="116"/>
        <v>1.0000019069844528</v>
      </c>
      <c r="Y184" s="160">
        <f t="shared" si="117"/>
        <v>-1.9529369791965001E-3</v>
      </c>
      <c r="Z184" s="98" t="str">
        <f t="shared" si="107"/>
        <v>0.999916428154766-0.013371409718162i</v>
      </c>
      <c r="AA184" s="160">
        <f t="shared" si="118"/>
        <v>1.0000058289288301</v>
      </c>
      <c r="AB184" s="160">
        <f t="shared" si="119"/>
        <v>-1.3371730258684893E-2</v>
      </c>
      <c r="AC184" s="171" t="str">
        <f t="shared" si="120"/>
        <v>1.5554923324126-30.3157842346118i</v>
      </c>
      <c r="AD184" s="190">
        <f t="shared" si="121"/>
        <v>29.644794709769915</v>
      </c>
      <c r="AE184" s="169">
        <f t="shared" si="122"/>
        <v>-87.062749311868515</v>
      </c>
      <c r="AF184" s="98" t="str">
        <f t="shared" si="108"/>
        <v>-0.0000119284294234592</v>
      </c>
      <c r="AG184" s="98" t="str">
        <f t="shared" si="109"/>
        <v>0.0000517902313506265i</v>
      </c>
      <c r="AH184" s="98">
        <f t="shared" si="123"/>
        <v>5.1790231350626499E-5</v>
      </c>
      <c r="AI184" s="98">
        <f t="shared" si="124"/>
        <v>1.5707963267948966</v>
      </c>
      <c r="AJ184" s="98" t="str">
        <f t="shared" si="110"/>
        <v>1+0.00283804701291243i</v>
      </c>
      <c r="AK184" s="98">
        <f t="shared" si="125"/>
        <v>1.0000040272473143</v>
      </c>
      <c r="AL184" s="98">
        <f t="shared" si="126"/>
        <v>2.8380393932557696E-3</v>
      </c>
      <c r="AM184" s="98" t="str">
        <f t="shared" si="111"/>
        <v>1+1.55086369041969i</v>
      </c>
      <c r="AN184" s="98">
        <f t="shared" si="127"/>
        <v>1.8453124901387785</v>
      </c>
      <c r="AO184" s="98">
        <f t="shared" si="128"/>
        <v>0.99808392401321755</v>
      </c>
      <c r="AP184" s="168" t="str">
        <f t="shared" si="129"/>
        <v>-0.356541483249609+0.231333876825003i</v>
      </c>
      <c r="AQ184" s="98">
        <f t="shared" si="130"/>
        <v>-7.4319282683531274</v>
      </c>
      <c r="AR184" s="169">
        <f t="shared" si="131"/>
        <v>147.02338876648784</v>
      </c>
      <c r="AS184" s="168" t="str">
        <f t="shared" si="132"/>
        <v>6.45847035260127+11.1686727485122i</v>
      </c>
      <c r="AT184" s="190">
        <f t="shared" si="133"/>
        <v>22.2128664414168</v>
      </c>
      <c r="AU184" s="169">
        <f t="shared" si="134"/>
        <v>59.960639454619411</v>
      </c>
      <c r="AV184" s="225"/>
      <c r="AX184">
        <f t="shared" si="135"/>
        <v>0</v>
      </c>
      <c r="AY184">
        <f t="shared" si="136"/>
        <v>0</v>
      </c>
    </row>
    <row r="185" spans="14:51" x14ac:dyDescent="0.2">
      <c r="N185" s="170">
        <v>67</v>
      </c>
      <c r="O185" s="199">
        <f t="shared" si="137"/>
        <v>467.7351412871983</v>
      </c>
      <c r="P185" s="189" t="str">
        <f t="shared" si="103"/>
        <v>771.276595744681</v>
      </c>
      <c r="Q185" s="160" t="str">
        <f t="shared" si="104"/>
        <v>1+25.9795804557037i</v>
      </c>
      <c r="R185" s="160">
        <f t="shared" si="112"/>
        <v>25.998819216541001</v>
      </c>
      <c r="S185" s="160">
        <f t="shared" si="113"/>
        <v>1.5323235512936384</v>
      </c>
      <c r="T185" s="160" t="str">
        <f t="shared" si="105"/>
        <v>1+0.000489027396813245i</v>
      </c>
      <c r="U185" s="160">
        <f t="shared" si="114"/>
        <v>1.0000001195738903</v>
      </c>
      <c r="V185" s="160">
        <f t="shared" si="115"/>
        <v>4.89027357829976E-4</v>
      </c>
      <c r="W185" s="98" t="str">
        <f t="shared" si="106"/>
        <v>1-0.00199842926582335i</v>
      </c>
      <c r="X185" s="160">
        <f t="shared" si="116"/>
        <v>1.0000019968577716</v>
      </c>
      <c r="Y185" s="160">
        <f t="shared" si="117"/>
        <v>-1.9984266054410616E-3</v>
      </c>
      <c r="Z185" s="98" t="str">
        <f t="shared" si="107"/>
        <v>0.999912489535042-0.0136828698615099i</v>
      </c>
      <c r="AA185" s="160">
        <f t="shared" si="118"/>
        <v>1.000006103809278</v>
      </c>
      <c r="AB185" s="160">
        <f t="shared" si="119"/>
        <v>-1.3683213325811834E-2</v>
      </c>
      <c r="AC185" s="171" t="str">
        <f t="shared" si="120"/>
        <v>1.50182497101528-29.6276741419052i</v>
      </c>
      <c r="AD185" s="190">
        <f t="shared" si="121"/>
        <v>29.445095942682372</v>
      </c>
      <c r="AE185" s="169">
        <f t="shared" si="122"/>
        <v>-87.098164170365763</v>
      </c>
      <c r="AF185" s="98" t="str">
        <f t="shared" si="108"/>
        <v>-0.0000119284294234592</v>
      </c>
      <c r="AG185" s="98" t="str">
        <f t="shared" si="109"/>
        <v>0.0000529965808096951i</v>
      </c>
      <c r="AH185" s="98">
        <f t="shared" si="123"/>
        <v>5.2996580809695097E-5</v>
      </c>
      <c r="AI185" s="98">
        <f t="shared" si="124"/>
        <v>1.5707963267948966</v>
      </c>
      <c r="AJ185" s="98" t="str">
        <f t="shared" si="110"/>
        <v>1+0.00290415362007662i</v>
      </c>
      <c r="AK185" s="98">
        <f t="shared" si="125"/>
        <v>1.0000042170452328</v>
      </c>
      <c r="AL185" s="98">
        <f t="shared" si="126"/>
        <v>2.9041454554692685E-3</v>
      </c>
      <c r="AM185" s="98" t="str">
        <f t="shared" si="111"/>
        <v>1+1.58698794638914i</v>
      </c>
      <c r="AN185" s="98">
        <f t="shared" si="127"/>
        <v>1.8757747044846351</v>
      </c>
      <c r="AO185" s="98">
        <f t="shared" si="128"/>
        <v>1.0085204557642304</v>
      </c>
      <c r="AP185" s="168" t="str">
        <f t="shared" si="129"/>
        <v>-0.356541347908531+0.226114677490929i</v>
      </c>
      <c r="AQ185" s="98">
        <f t="shared" si="130"/>
        <v>-7.4897148442595354</v>
      </c>
      <c r="AR185" s="169">
        <f t="shared" si="131"/>
        <v>147.6175703902102</v>
      </c>
      <c r="AS185" s="168" t="str">
        <f t="shared" si="132"/>
        <v>6.16378928391475+10.9030755429186i</v>
      </c>
      <c r="AT185" s="190">
        <f t="shared" si="133"/>
        <v>21.955381098422862</v>
      </c>
      <c r="AU185" s="169">
        <f t="shared" si="134"/>
        <v>60.519406219844576</v>
      </c>
      <c r="AV185" s="225"/>
      <c r="AX185">
        <f t="shared" si="135"/>
        <v>0</v>
      </c>
      <c r="AY185">
        <f t="shared" si="136"/>
        <v>0</v>
      </c>
    </row>
    <row r="186" spans="14:51" x14ac:dyDescent="0.2">
      <c r="N186" s="170">
        <v>68</v>
      </c>
      <c r="O186" s="199">
        <f t="shared" si="137"/>
        <v>478.63009232263886</v>
      </c>
      <c r="P186" s="189" t="str">
        <f t="shared" si="103"/>
        <v>771.276595744681</v>
      </c>
      <c r="Q186" s="160" t="str">
        <f t="shared" si="104"/>
        <v>1+26.5847226227157i</v>
      </c>
      <c r="R186" s="160">
        <f t="shared" si="112"/>
        <v>26.603523768980903</v>
      </c>
      <c r="S186" s="160">
        <f t="shared" si="113"/>
        <v>1.5331984639166969</v>
      </c>
      <c r="T186" s="160" t="str">
        <f t="shared" si="105"/>
        <v>1+0.000500418308192294i</v>
      </c>
      <c r="U186" s="160">
        <f t="shared" si="114"/>
        <v>1.0000001252092339</v>
      </c>
      <c r="V186" s="160">
        <f t="shared" si="115"/>
        <v>5.0041826642096903E-4</v>
      </c>
      <c r="W186" s="98" t="str">
        <f t="shared" si="106"/>
        <v>1-0.00204497866328581i</v>
      </c>
      <c r="X186" s="160">
        <f t="shared" si="116"/>
        <v>1.0000020909666805</v>
      </c>
      <c r="Y186" s="160">
        <f t="shared" si="117"/>
        <v>-2.0449758126351511E-3</v>
      </c>
      <c r="Z186" s="98" t="str">
        <f t="shared" si="107"/>
        <v>0.999908365293889-0.0140015848435726i</v>
      </c>
      <c r="AA186" s="160">
        <f t="shared" si="118"/>
        <v>1.000006391660988</v>
      </c>
      <c r="AB186" s="160">
        <f t="shared" si="119"/>
        <v>-1.4001952871017413E-2</v>
      </c>
      <c r="AC186" s="171" t="str">
        <f t="shared" si="120"/>
        <v>1.45056605180442-28.9550872985846i</v>
      </c>
      <c r="AD186" s="190">
        <f t="shared" si="121"/>
        <v>29.245383493695741</v>
      </c>
      <c r="AE186" s="169">
        <f t="shared" si="122"/>
        <v>-87.13204496253033</v>
      </c>
      <c r="AF186" s="98" t="str">
        <f t="shared" si="108"/>
        <v>-0.0000119284294234592</v>
      </c>
      <c r="AG186" s="98" t="str">
        <f t="shared" si="109"/>
        <v>0.0000542310297574017i</v>
      </c>
      <c r="AH186" s="98">
        <f t="shared" si="123"/>
        <v>5.4231029757401699E-5</v>
      </c>
      <c r="AI186" s="98">
        <f t="shared" si="124"/>
        <v>1.5707963267948966</v>
      </c>
      <c r="AJ186" s="98" t="str">
        <f t="shared" si="110"/>
        <v>1+0.00297180004793119i</v>
      </c>
      <c r="AK186" s="98">
        <f t="shared" si="125"/>
        <v>1.0000044157880128</v>
      </c>
      <c r="AL186" s="98">
        <f t="shared" si="126"/>
        <v>2.9717912993988799E-3</v>
      </c>
      <c r="AM186" s="98" t="str">
        <f t="shared" si="111"/>
        <v>1+1.62395364437403i</v>
      </c>
      <c r="AN186" s="98">
        <f t="shared" si="127"/>
        <v>1.907151131681937</v>
      </c>
      <c r="AO186" s="98">
        <f t="shared" si="128"/>
        <v>1.0188537989909139</v>
      </c>
      <c r="AP186" s="168" t="str">
        <f t="shared" si="129"/>
        <v>-0.356541206189133+0.221015367114786i</v>
      </c>
      <c r="AQ186" s="98">
        <f t="shared" si="130"/>
        <v>-7.5456278701382553</v>
      </c>
      <c r="AR186" s="169">
        <f t="shared" si="131"/>
        <v>148.20575152400048</v>
      </c>
      <c r="AS186" s="168" t="str">
        <f t="shared" si="132"/>
        <v>5.88233267937+10.6442791392128i</v>
      </c>
      <c r="AT186" s="190">
        <f t="shared" si="133"/>
        <v>21.699755623557493</v>
      </c>
      <c r="AU186" s="169">
        <f t="shared" si="134"/>
        <v>61.073706561470125</v>
      </c>
      <c r="AV186" s="225"/>
      <c r="AX186">
        <f t="shared" si="135"/>
        <v>0</v>
      </c>
      <c r="AY186">
        <f t="shared" si="136"/>
        <v>0</v>
      </c>
    </row>
    <row r="187" spans="14:51" x14ac:dyDescent="0.2">
      <c r="N187" s="170">
        <v>69</v>
      </c>
      <c r="O187" s="199">
        <f t="shared" si="137"/>
        <v>489.77881936844625</v>
      </c>
      <c r="P187" s="189" t="str">
        <f t="shared" si="103"/>
        <v>771.276595744681</v>
      </c>
      <c r="Q187" s="160" t="str">
        <f t="shared" si="104"/>
        <v>1+27.2039603615526i</v>
      </c>
      <c r="R187" s="160">
        <f t="shared" si="112"/>
        <v>27.222333833691135</v>
      </c>
      <c r="S187" s="160">
        <f t="shared" si="113"/>
        <v>1.5340535167464746</v>
      </c>
      <c r="T187" s="160" t="str">
        <f t="shared" si="105"/>
        <v>1+0.000512074547982166i</v>
      </c>
      <c r="U187" s="160">
        <f t="shared" si="114"/>
        <v>1.0000001311101627</v>
      </c>
      <c r="V187" s="160">
        <f t="shared" si="115"/>
        <v>5.1207450322338522E-4</v>
      </c>
      <c r="W187" s="98" t="str">
        <f t="shared" si="106"/>
        <v>1-0.00209261233550404i</v>
      </c>
      <c r="X187" s="160">
        <f t="shared" si="116"/>
        <v>1.0000021895107962</v>
      </c>
      <c r="Y187" s="160">
        <f t="shared" si="117"/>
        <v>-2.0926092809771873E-3</v>
      </c>
      <c r="Z187" s="98" t="str">
        <f t="shared" si="107"/>
        <v>0.999904046683239-0.0143277236512523i</v>
      </c>
      <c r="AA187" s="160">
        <f t="shared" si="118"/>
        <v>1.000006693096873</v>
      </c>
      <c r="AB187" s="160">
        <f t="shared" si="119"/>
        <v>-1.4328117998434257E-2</v>
      </c>
      <c r="AC187" s="171" t="str">
        <f t="shared" si="120"/>
        <v>1.40160779046729-28.2976794524841i</v>
      </c>
      <c r="AD187" s="190">
        <f t="shared" si="121"/>
        <v>29.045657970063505</v>
      </c>
      <c r="AE187" s="169">
        <f t="shared" si="122"/>
        <v>-87.164409339237764</v>
      </c>
      <c r="AF187" s="98" t="str">
        <f t="shared" si="108"/>
        <v>-0.0000119284294234592</v>
      </c>
      <c r="AG187" s="98" t="str">
        <f t="shared" si="109"/>
        <v>0.0000554942327149181i</v>
      </c>
      <c r="AH187" s="98">
        <f t="shared" si="123"/>
        <v>5.5494232714918097E-5</v>
      </c>
      <c r="AI187" s="98">
        <f t="shared" si="124"/>
        <v>1.5707963267948966</v>
      </c>
      <c r="AJ187" s="98" t="str">
        <f t="shared" si="110"/>
        <v>1+0.0030410221635076i</v>
      </c>
      <c r="AK187" s="98">
        <f t="shared" si="125"/>
        <v>1.0000046238972093</v>
      </c>
      <c r="AL187" s="98">
        <f t="shared" si="126"/>
        <v>3.0410127892886783E-3</v>
      </c>
      <c r="AM187" s="98" t="str">
        <f t="shared" si="111"/>
        <v>1+1.66178038407674i</v>
      </c>
      <c r="AN187" s="98">
        <f t="shared" si="127"/>
        <v>1.9394623081932367</v>
      </c>
      <c r="AO187" s="98">
        <f t="shared" si="128"/>
        <v>1.0290806052233321</v>
      </c>
      <c r="AP187" s="168" t="str">
        <f t="shared" si="129"/>
        <v>-0.356541057790829+0.216033241972064i</v>
      </c>
      <c r="AQ187" s="98">
        <f t="shared" si="130"/>
        <v>-7.599704999485871</v>
      </c>
      <c r="AR187" s="169">
        <f t="shared" si="131"/>
        <v>148.78773825979385</v>
      </c>
      <c r="AS187" s="168" t="str">
        <f t="shared" si="132"/>
        <v>5.61350870818533+10.3920784399624i</v>
      </c>
      <c r="AT187" s="190">
        <f t="shared" si="133"/>
        <v>21.445952970577608</v>
      </c>
      <c r="AU187" s="169">
        <f t="shared" si="134"/>
        <v>61.623328920555998</v>
      </c>
      <c r="AV187" s="225"/>
      <c r="AX187">
        <f t="shared" si="135"/>
        <v>0</v>
      </c>
      <c r="AY187">
        <f t="shared" si="136"/>
        <v>0</v>
      </c>
    </row>
    <row r="188" spans="14:51" x14ac:dyDescent="0.2">
      <c r="N188" s="170">
        <v>70</v>
      </c>
      <c r="O188" s="199">
        <f t="shared" si="137"/>
        <v>501.18723362727269</v>
      </c>
      <c r="P188" s="189" t="str">
        <f t="shared" si="103"/>
        <v>771.276595744681</v>
      </c>
      <c r="Q188" s="160" t="str">
        <f t="shared" si="104"/>
        <v>1+27.8376220002602i</v>
      </c>
      <c r="R188" s="160">
        <f t="shared" si="112"/>
        <v>27.855577513836806</v>
      </c>
      <c r="S188" s="160">
        <f t="shared" si="113"/>
        <v>1.5348891581393076</v>
      </c>
      <c r="T188" s="160" t="str">
        <f t="shared" si="105"/>
        <v>1+0.000524002296475484i</v>
      </c>
      <c r="U188" s="160">
        <f t="shared" si="114"/>
        <v>1.000000137289194</v>
      </c>
      <c r="V188" s="160">
        <f t="shared" si="115"/>
        <v>5.2400224851558666E-4</v>
      </c>
      <c r="W188" s="98" t="str">
        <f t="shared" si="106"/>
        <v>1-0.00214135553848154i</v>
      </c>
      <c r="X188" s="160">
        <f t="shared" si="116"/>
        <v>1.0000022926991428</v>
      </c>
      <c r="Y188" s="160">
        <f t="shared" si="117"/>
        <v>-2.1413522654974543E-3</v>
      </c>
      <c r="Z188" s="98" t="str">
        <f t="shared" si="107"/>
        <v>0.99989952454274-0.0146614592076617i</v>
      </c>
      <c r="AA188" s="160">
        <f t="shared" si="118"/>
        <v>1.0000070087588862</v>
      </c>
      <c r="AB188" s="160">
        <f t="shared" si="119"/>
        <v>-1.4661881756787816E-2</v>
      </c>
      <c r="AC188" s="171" t="str">
        <f t="shared" si="120"/>
        <v>1.35484719996897-27.6551135781658i</v>
      </c>
      <c r="AD188" s="190">
        <f t="shared" si="121"/>
        <v>28.845919951537692</v>
      </c>
      <c r="AE188" s="169">
        <f t="shared" si="122"/>
        <v>-87.195274167354981</v>
      </c>
      <c r="AF188" s="98" t="str">
        <f t="shared" si="108"/>
        <v>-0.0000119284294234592</v>
      </c>
      <c r="AG188" s="98" t="str">
        <f t="shared" si="109"/>
        <v>0.0000567868594491731i</v>
      </c>
      <c r="AH188" s="98">
        <f t="shared" si="123"/>
        <v>5.6786859449173099E-5</v>
      </c>
      <c r="AI188" s="98">
        <f t="shared" si="124"/>
        <v>1.5707963267948966</v>
      </c>
      <c r="AJ188" s="98" t="str">
        <f t="shared" si="110"/>
        <v>1+0.00311185666928778i</v>
      </c>
      <c r="AK188" s="98">
        <f t="shared" si="125"/>
        <v>1.0000048418142435</v>
      </c>
      <c r="AL188" s="98">
        <f t="shared" si="126"/>
        <v>3.1118466246338604E-3</v>
      </c>
      <c r="AM188" s="98" t="str">
        <f t="shared" si="111"/>
        <v>1+1.70048822173535i</v>
      </c>
      <c r="AN188" s="98">
        <f t="shared" si="127"/>
        <v>1.972729122880446</v>
      </c>
      <c r="AO188" s="98">
        <f t="shared" si="128"/>
        <v>1.0391977396356276</v>
      </c>
      <c r="AP188" s="168" t="str">
        <f t="shared" si="129"/>
        <v>-0.356540902398858+0.211165660471225i</v>
      </c>
      <c r="AQ188" s="98">
        <f t="shared" si="130"/>
        <v>-7.6519846497360264</v>
      </c>
      <c r="AR188" s="169">
        <f t="shared" si="131"/>
        <v>149.36334888257295</v>
      </c>
      <c r="AS188" s="168" t="str">
        <f t="shared" si="132"/>
        <v>5.35675188085062+10.1462763549212i</v>
      </c>
      <c r="AT188" s="190">
        <f t="shared" si="133"/>
        <v>21.19393530180168</v>
      </c>
      <c r="AU188" s="169">
        <f t="shared" si="134"/>
        <v>62.168074715218026</v>
      </c>
      <c r="AV188" s="225"/>
      <c r="AX188">
        <f t="shared" si="135"/>
        <v>0</v>
      </c>
      <c r="AY188">
        <f t="shared" si="136"/>
        <v>0</v>
      </c>
    </row>
    <row r="189" spans="14:51" x14ac:dyDescent="0.2">
      <c r="N189" s="170">
        <v>71</v>
      </c>
      <c r="O189" s="199">
        <f t="shared" si="137"/>
        <v>512.86138399136519</v>
      </c>
      <c r="P189" s="189" t="str">
        <f t="shared" si="103"/>
        <v>771.276595744681</v>
      </c>
      <c r="Q189" s="160" t="str">
        <f t="shared" si="104"/>
        <v>1+28.4860435146268i</v>
      </c>
      <c r="R189" s="160">
        <f t="shared" si="112"/>
        <v>28.503590565351789</v>
      </c>
      <c r="S189" s="160">
        <f t="shared" si="113"/>
        <v>1.5357058264924535</v>
      </c>
      <c r="T189" s="160" t="str">
        <f t="shared" si="105"/>
        <v>1+0.000536207877922385i</v>
      </c>
      <c r="U189" s="160">
        <f t="shared" si="114"/>
        <v>1.0000001437594337</v>
      </c>
      <c r="V189" s="160">
        <f t="shared" si="115"/>
        <v>5.3620782653242955E-4</v>
      </c>
      <c r="W189" s="98" t="str">
        <f t="shared" si="106"/>
        <v>1-0.00219123411650974i</v>
      </c>
      <c r="X189" s="160">
        <f t="shared" si="116"/>
        <v>1.000002400750595</v>
      </c>
      <c r="Y189" s="160">
        <f t="shared" si="117"/>
        <v>-2.1912306094445614E-3</v>
      </c>
      <c r="Z189" s="98" t="str">
        <f t="shared" si="107"/>
        <v>0.999894789280324-0.0150029684638103i</v>
      </c>
      <c r="AA189" s="160">
        <f t="shared" si="118"/>
        <v>1.000007339319402</v>
      </c>
      <c r="AB189" s="160">
        <f t="shared" si="119"/>
        <v>-1.5003421231681949E-2</v>
      </c>
      <c r="AC189" s="171" t="str">
        <f t="shared" si="120"/>
        <v>1.3101858793532-27.0270597526398i</v>
      </c>
      <c r="AD189" s="190">
        <f t="shared" si="121"/>
        <v>28.646169991578063</v>
      </c>
      <c r="AE189" s="169">
        <f t="shared" si="122"/>
        <v>-87.224655537293984</v>
      </c>
      <c r="AF189" s="98" t="str">
        <f t="shared" si="108"/>
        <v>-0.0000119284294234592</v>
      </c>
      <c r="AG189" s="98" t="str">
        <f t="shared" si="109"/>
        <v>0.000058109595327971i</v>
      </c>
      <c r="AH189" s="98">
        <f t="shared" si="123"/>
        <v>5.8109595327970998E-5</v>
      </c>
      <c r="AI189" s="98">
        <f t="shared" si="124"/>
        <v>1.5707963267948966</v>
      </c>
      <c r="AJ189" s="98" t="str">
        <f t="shared" si="110"/>
        <v>1+0.00318434112266431i</v>
      </c>
      <c r="AK189" s="98">
        <f t="shared" si="125"/>
        <v>1.0000050700013403</v>
      </c>
      <c r="AL189" s="98">
        <f t="shared" si="126"/>
        <v>3.1843303596266683E-3</v>
      </c>
      <c r="AM189" s="98" t="str">
        <f t="shared" si="111"/>
        <v>1+1.74009768075774i</v>
      </c>
      <c r="AN189" s="98">
        <f t="shared" si="127"/>
        <v>2.0069728295566098</v>
      </c>
      <c r="AO189" s="98">
        <f t="shared" si="128"/>
        <v>1.0492022815198856</v>
      </c>
      <c r="AP189" s="168" t="str">
        <f t="shared" si="129"/>
        <v>-0.356540739683634+0.206410041753086i</v>
      </c>
      <c r="AQ189" s="98">
        <f t="shared" si="130"/>
        <v>-7.7025058909580295</v>
      </c>
      <c r="AR189" s="169">
        <f t="shared" si="131"/>
        <v>149.93241389640437</v>
      </c>
      <c r="AS189" s="168" t="str">
        <f t="shared" si="132"/>
        <v>5.11152188945789+9.90668339774157i</v>
      </c>
      <c r="AT189" s="190">
        <f t="shared" si="133"/>
        <v>20.943664100620033</v>
      </c>
      <c r="AU189" s="169">
        <f t="shared" si="134"/>
        <v>62.707758359110407</v>
      </c>
      <c r="AV189" s="225"/>
      <c r="AX189">
        <f t="shared" si="135"/>
        <v>0</v>
      </c>
      <c r="AY189">
        <f t="shared" si="136"/>
        <v>0</v>
      </c>
    </row>
    <row r="190" spans="14:51" x14ac:dyDescent="0.2">
      <c r="N190" s="170">
        <v>72</v>
      </c>
      <c r="O190" s="199">
        <f t="shared" si="137"/>
        <v>524.80746024977248</v>
      </c>
      <c r="P190" s="189" t="str">
        <f t="shared" si="103"/>
        <v>771.276595744681</v>
      </c>
      <c r="Q190" s="160" t="str">
        <f t="shared" si="104"/>
        <v>1+29.1495687063222i</v>
      </c>
      <c r="R190" s="160">
        <f t="shared" si="112"/>
        <v>29.166716574969463</v>
      </c>
      <c r="S190" s="160">
        <f t="shared" si="113"/>
        <v>1.5365039504543969</v>
      </c>
      <c r="T190" s="160" t="str">
        <f t="shared" si="105"/>
        <v>1+0.000548697763883712i</v>
      </c>
      <c r="U190" s="160">
        <f t="shared" si="114"/>
        <v>1.0000001505346066</v>
      </c>
      <c r="V190" s="160">
        <f t="shared" si="115"/>
        <v>5.4869770881838312E-4</v>
      </c>
      <c r="W190" s="98" t="str">
        <f t="shared" si="106"/>
        <v>1-0.00224227451587093i</v>
      </c>
      <c r="X190" s="160">
        <f t="shared" si="116"/>
        <v>1.0000025138943425</v>
      </c>
      <c r="Y190" s="160">
        <f t="shared" si="117"/>
        <v>-2.2422707579833963E-3</v>
      </c>
      <c r="Z190" s="98" t="str">
        <f t="shared" si="107"/>
        <v>0.999889830851866-0.0153524324924263i</v>
      </c>
      <c r="AA190" s="160">
        <f t="shared" si="118"/>
        <v>1.0000076854826705</v>
      </c>
      <c r="AB190" s="160">
        <f t="shared" si="119"/>
        <v>-1.5352917640062849E-2</v>
      </c>
      <c r="AC190" s="171" t="str">
        <f t="shared" si="120"/>
        <v>1.26752981163658-26.413195031262i</v>
      </c>
      <c r="AD190" s="190">
        <f t="shared" si="121"/>
        <v>28.446408618507171</v>
      </c>
      <c r="AE190" s="169">
        <f t="shared" si="122"/>
        <v>-87.252568770241794</v>
      </c>
      <c r="AF190" s="98" t="str">
        <f t="shared" si="108"/>
        <v>-0.0000119284294234592</v>
      </c>
      <c r="AG190" s="98" t="str">
        <f t="shared" si="109"/>
        <v>0.0000594631416833831i</v>
      </c>
      <c r="AH190" s="98">
        <f t="shared" si="123"/>
        <v>5.9463141683383101E-5</v>
      </c>
      <c r="AI190" s="98">
        <f t="shared" si="124"/>
        <v>1.5707963267948966</v>
      </c>
      <c r="AJ190" s="98" t="str">
        <f t="shared" si="110"/>
        <v>1+0.00325851395585382i</v>
      </c>
      <c r="AK190" s="98">
        <f t="shared" si="125"/>
        <v>1.0000053089425078</v>
      </c>
      <c r="AL190" s="98">
        <f t="shared" si="126"/>
        <v>3.2585024230545106E-3</v>
      </c>
      <c r="AM190" s="98" t="str">
        <f t="shared" si="111"/>
        <v>1+1.78062976260339i</v>
      </c>
      <c r="AN190" s="98">
        <f t="shared" si="127"/>
        <v>2.0422150600436293</v>
      </c>
      <c r="AO190" s="98">
        <f t="shared" si="128"/>
        <v>1.059091523919417</v>
      </c>
      <c r="AP190" s="168" t="str">
        <f t="shared" si="129"/>
        <v>-0.356540569300038+0.201763864322395i</v>
      </c>
      <c r="AQ190" s="98">
        <f t="shared" si="130"/>
        <v>-7.7513083368405944</v>
      </c>
      <c r="AR190" s="169">
        <f t="shared" si="131"/>
        <v>150.49477600228701</v>
      </c>
      <c r="AS190" s="168" t="str">
        <f t="shared" si="132"/>
        <v>4.87730249796283+9.67311730641872i</v>
      </c>
      <c r="AT190" s="190">
        <f t="shared" si="133"/>
        <v>20.695100281666573</v>
      </c>
      <c r="AU190" s="169">
        <f t="shared" si="134"/>
        <v>63.242207232045189</v>
      </c>
      <c r="AV190" s="225"/>
      <c r="AX190">
        <f t="shared" si="135"/>
        <v>0</v>
      </c>
      <c r="AY190">
        <f t="shared" si="136"/>
        <v>0</v>
      </c>
    </row>
    <row r="191" spans="14:51" x14ac:dyDescent="0.2">
      <c r="N191" s="170">
        <v>73</v>
      </c>
      <c r="O191" s="199">
        <f t="shared" si="137"/>
        <v>537.03179637025301</v>
      </c>
      <c r="P191" s="189" t="str">
        <f t="shared" si="103"/>
        <v>771.276595744681</v>
      </c>
      <c r="Q191" s="160" t="str">
        <f t="shared" si="104"/>
        <v>1+29.8285493851859i</v>
      </c>
      <c r="R191" s="160">
        <f t="shared" si="112"/>
        <v>29.845307142404721</v>
      </c>
      <c r="S191" s="160">
        <f t="shared" si="113"/>
        <v>1.5372839491314518</v>
      </c>
      <c r="T191" s="160" t="str">
        <f t="shared" si="105"/>
        <v>1+0.000561478576662321i</v>
      </c>
      <c r="U191" s="160">
        <f t="shared" si="114"/>
        <v>1.0000001576290836</v>
      </c>
      <c r="V191" s="160">
        <f t="shared" si="115"/>
        <v>5.6147851765875854E-4</v>
      </c>
      <c r="W191" s="98" t="str">
        <f t="shared" si="106"/>
        <v>1-0.00229450379886044i</v>
      </c>
      <c r="X191" s="160">
        <f t="shared" si="116"/>
        <v>1.0000026323703768</v>
      </c>
      <c r="Y191" s="160">
        <f t="shared" si="117"/>
        <v>-2.2944997722119734E-3</v>
      </c>
      <c r="Z191" s="98" t="str">
        <f t="shared" si="107"/>
        <v>0.999884638739875-0.0157100365839632i</v>
      </c>
      <c r="AA191" s="160">
        <f t="shared" si="118"/>
        <v>1.0000080479863347</v>
      </c>
      <c r="AB191" s="160">
        <f t="shared" si="119"/>
        <v>-1.5710556426913675E-2</v>
      </c>
      <c r="AC191" s="171" t="str">
        <f t="shared" si="120"/>
        <v>1.22678917042294-25.8132033239779i</v>
      </c>
      <c r="AD191" s="190">
        <f t="shared" si="121"/>
        <v>28.246636336613506</v>
      </c>
      <c r="AE191" s="169">
        <f t="shared" si="122"/>
        <v>-87.279028425064197</v>
      </c>
      <c r="AF191" s="98" t="str">
        <f t="shared" si="108"/>
        <v>-0.0000119284294234592</v>
      </c>
      <c r="AG191" s="98" t="str">
        <f t="shared" si="109"/>
        <v>0.0000608482161836036i</v>
      </c>
      <c r="AH191" s="98">
        <f t="shared" si="123"/>
        <v>6.0848216183603602E-5</v>
      </c>
      <c r="AI191" s="98">
        <f t="shared" si="124"/>
        <v>1.5707963267948966</v>
      </c>
      <c r="AJ191" s="98" t="str">
        <f t="shared" si="110"/>
        <v>1+0.00333441449627425i</v>
      </c>
      <c r="AK191" s="98">
        <f t="shared" si="125"/>
        <v>1.0000055591445645</v>
      </c>
      <c r="AL191" s="98">
        <f t="shared" si="126"/>
        <v>3.3344021386608569E-3</v>
      </c>
      <c r="AM191" s="98" t="str">
        <f t="shared" si="111"/>
        <v>1+1.82210595791859i</v>
      </c>
      <c r="AN191" s="98">
        <f t="shared" si="127"/>
        <v>2.078477837717406</v>
      </c>
      <c r="AO191" s="98">
        <f t="shared" si="128"/>
        <v>1.0688629724661693</v>
      </c>
      <c r="AP191" s="168" t="str">
        <f t="shared" si="129"/>
        <v>-0.356540390886683+0.19722466471088i</v>
      </c>
      <c r="AQ191" s="98">
        <f t="shared" si="130"/>
        <v>-7.7984320384577508</v>
      </c>
      <c r="AR191" s="169">
        <f t="shared" si="131"/>
        <v>151.05029003037481</v>
      </c>
      <c r="AS191" s="168" t="str">
        <f t="shared" si="132"/>
        <v>4.65360048032717+9.44540268597611i</v>
      </c>
      <c r="AT191" s="190">
        <f t="shared" si="133"/>
        <v>20.448204298155758</v>
      </c>
      <c r="AU191" s="169">
        <f t="shared" si="134"/>
        <v>63.771261605310627</v>
      </c>
      <c r="AV191" s="225"/>
      <c r="AX191">
        <f t="shared" si="135"/>
        <v>0</v>
      </c>
      <c r="AY191">
        <f t="shared" si="136"/>
        <v>0</v>
      </c>
    </row>
    <row r="192" spans="14:51" x14ac:dyDescent="0.2">
      <c r="N192" s="170">
        <v>74</v>
      </c>
      <c r="O192" s="199">
        <f t="shared" si="137"/>
        <v>549.54087385762534</v>
      </c>
      <c r="P192" s="189" t="str">
        <f t="shared" si="103"/>
        <v>771.276595744681</v>
      </c>
      <c r="Q192" s="160" t="str">
        <f t="shared" si="104"/>
        <v>1+30.5233455557611i</v>
      </c>
      <c r="R192" s="160">
        <f t="shared" si="112"/>
        <v>30.539722066783796</v>
      </c>
      <c r="S192" s="160">
        <f t="shared" si="113"/>
        <v>1.5380462322906752</v>
      </c>
      <c r="T192" s="160" t="str">
        <f t="shared" si="105"/>
        <v>1+0.000574557092814326i</v>
      </c>
      <c r="U192" s="160">
        <f t="shared" si="114"/>
        <v>1.0000001650579129</v>
      </c>
      <c r="V192" s="160">
        <f t="shared" si="115"/>
        <v>5.7455702959087018E-4</v>
      </c>
      <c r="W192" s="98" t="str">
        <f t="shared" si="106"/>
        <v>1-0.00234794965813546i</v>
      </c>
      <c r="X192" s="160">
        <f t="shared" si="116"/>
        <v>1.0000027564299996</v>
      </c>
      <c r="Y192" s="160">
        <f t="shared" si="117"/>
        <v>-2.3479453435045349E-3</v>
      </c>
      <c r="Z192" s="98" t="str">
        <f t="shared" si="107"/>
        <v>0.999879201931184-0.0160759703448438i</v>
      </c>
      <c r="AA192" s="160">
        <f t="shared" si="118"/>
        <v>1.0000084276030226</v>
      </c>
      <c r="AB192" s="160">
        <f t="shared" si="119"/>
        <v>-1.6076527364235736E-2</v>
      </c>
      <c r="AC192" s="171" t="str">
        <f t="shared" si="120"/>
        <v>1.18787813487816-25.226775272069i</v>
      </c>
      <c r="AD192" s="190">
        <f t="shared" si="121"/>
        <v>28.046853627205707</v>
      </c>
      <c r="AE192" s="169">
        <f t="shared" si="122"/>
        <v>-87.304048304881306</v>
      </c>
      <c r="AF192" s="98" t="str">
        <f t="shared" si="108"/>
        <v>-0.0000119284294234592</v>
      </c>
      <c r="AG192" s="98" t="str">
        <f t="shared" si="109"/>
        <v>0.000062265553213466i</v>
      </c>
      <c r="AH192" s="98">
        <f t="shared" si="123"/>
        <v>6.2265553213466005E-5</v>
      </c>
      <c r="AI192" s="98">
        <f t="shared" si="124"/>
        <v>1.5707963267948966</v>
      </c>
      <c r="AJ192" s="98" t="str">
        <f t="shared" si="110"/>
        <v>1+0.0034120829873968i</v>
      </c>
      <c r="AK192" s="98">
        <f t="shared" si="125"/>
        <v>1.0000058211382137</v>
      </c>
      <c r="AL192" s="98">
        <f t="shared" si="126"/>
        <v>3.4120697459796455E-3</v>
      </c>
      <c r="AM192" s="98" t="str">
        <f t="shared" si="111"/>
        <v>1+1.86454825793111i</v>
      </c>
      <c r="AN192" s="98">
        <f t="shared" si="127"/>
        <v>2.1157835915220478</v>
      </c>
      <c r="AO192" s="98">
        <f t="shared" si="128"/>
        <v>1.0785143434705757</v>
      </c>
      <c r="AP192" s="168" t="str">
        <f t="shared" si="129"/>
        <v>-0.356540204065161+0.192790036171086i</v>
      </c>
      <c r="AQ192" s="98">
        <f t="shared" si="130"/>
        <v>-7.8439173812623197</v>
      </c>
      <c r="AR192" s="169">
        <f t="shared" si="131"/>
        <v>151.59882282933805</v>
      </c>
      <c r="AS192" s="168" t="str">
        <f t="shared" si="132"/>
        <v>4.43994460456804+9.22337067199944i</v>
      </c>
      <c r="AT192" s="190">
        <f t="shared" si="133"/>
        <v>20.202936245943384</v>
      </c>
      <c r="AU192" s="169">
        <f t="shared" si="134"/>
        <v>64.294774524456741</v>
      </c>
      <c r="AV192" s="225"/>
      <c r="AX192">
        <f t="shared" si="135"/>
        <v>0</v>
      </c>
      <c r="AY192">
        <f t="shared" si="136"/>
        <v>0</v>
      </c>
    </row>
    <row r="193" spans="14:51" x14ac:dyDescent="0.2">
      <c r="N193" s="170">
        <v>75</v>
      </c>
      <c r="O193" s="199">
        <f t="shared" si="137"/>
        <v>562.34132519034927</v>
      </c>
      <c r="P193" s="189" t="str">
        <f t="shared" si="103"/>
        <v>771.276595744681</v>
      </c>
      <c r="Q193" s="160" t="str">
        <f t="shared" si="104"/>
        <v>1+31.2343256081743i</v>
      </c>
      <c r="R193" s="160">
        <f t="shared" si="112"/>
        <v>31.250329537421731</v>
      </c>
      <c r="S193" s="160">
        <f t="shared" si="113"/>
        <v>1.5387912005591091</v>
      </c>
      <c r="T193" s="160" t="str">
        <f t="shared" si="105"/>
        <v>1+0.000587940246742102i</v>
      </c>
      <c r="U193" s="160">
        <f t="shared" si="114"/>
        <v>1.0000001728368519</v>
      </c>
      <c r="V193" s="160">
        <f t="shared" si="115"/>
        <v>5.8794017899694933E-4</v>
      </c>
      <c r="W193" s="98" t="str">
        <f t="shared" si="106"/>
        <v>1-0.00240264043139801i</v>
      </c>
      <c r="X193" s="160">
        <f t="shared" si="116"/>
        <v>1.0000028863363557</v>
      </c>
      <c r="Y193" s="160">
        <f t="shared" si="117"/>
        <v>-2.4026358081883992E-3</v>
      </c>
      <c r="Z193" s="98" t="str">
        <f t="shared" si="107"/>
        <v>0.999873508893593-0.0164504277979919i</v>
      </c>
      <c r="AA193" s="160">
        <f t="shared" si="118"/>
        <v>1.0000088251420201</v>
      </c>
      <c r="AB193" s="160">
        <f t="shared" si="119"/>
        <v>-1.6451024652369951E-2</v>
      </c>
      <c r="AC193" s="171" t="str">
        <f t="shared" si="120"/>
        <v>1.15071471271899-24.6536081255373i</v>
      </c>
      <c r="AD193" s="190">
        <f t="shared" si="121"/>
        <v>27.847060949618452</v>
      </c>
      <c r="AE193" s="169">
        <f t="shared" si="122"/>
        <v>-87.327641463312986</v>
      </c>
      <c r="AF193" s="98" t="str">
        <f t="shared" si="108"/>
        <v>-0.0000119284294234592</v>
      </c>
      <c r="AG193" s="98" t="str">
        <f t="shared" si="109"/>
        <v>0.0000637159042638241i</v>
      </c>
      <c r="AH193" s="98">
        <f t="shared" si="123"/>
        <v>6.3715904263824094E-5</v>
      </c>
      <c r="AI193" s="98">
        <f t="shared" si="124"/>
        <v>1.5707963267948966</v>
      </c>
      <c r="AJ193" s="98" t="str">
        <f t="shared" si="110"/>
        <v>1+0.00349156061008353i</v>
      </c>
      <c r="AK193" s="98">
        <f t="shared" si="125"/>
        <v>1.0000060954791696</v>
      </c>
      <c r="AL193" s="98">
        <f t="shared" si="126"/>
        <v>3.4915464216540913E-3</v>
      </c>
      <c r="AM193" s="98" t="str">
        <f t="shared" si="111"/>
        <v>1+1.90797916611019i</v>
      </c>
      <c r="AN193" s="98">
        <f t="shared" si="127"/>
        <v>2.1541551704346964</v>
      </c>
      <c r="AO193" s="98">
        <f t="shared" si="128"/>
        <v>1.0880435613148873</v>
      </c>
      <c r="AP193" s="168" t="str">
        <f t="shared" si="129"/>
        <v>-0.356540008439219+0.188457627400248i</v>
      </c>
      <c r="AQ193" s="98">
        <f t="shared" si="130"/>
        <v>-7.8878049857015835</v>
      </c>
      <c r="AR193" s="169">
        <f t="shared" si="131"/>
        <v>152.14025311579201</v>
      </c>
      <c r="AS193" s="168" t="str">
        <f t="shared" si="132"/>
        <v>4.23588466081027+9.00685861370985i</v>
      </c>
      <c r="AT193" s="190">
        <f t="shared" si="133"/>
        <v>19.959255963916874</v>
      </c>
      <c r="AU193" s="169">
        <f t="shared" si="134"/>
        <v>64.812611652479021</v>
      </c>
      <c r="AV193" s="225"/>
      <c r="AX193">
        <f t="shared" si="135"/>
        <v>0</v>
      </c>
      <c r="AY193">
        <f t="shared" si="136"/>
        <v>0</v>
      </c>
    </row>
    <row r="194" spans="14:51" x14ac:dyDescent="0.2">
      <c r="N194" s="170">
        <v>76</v>
      </c>
      <c r="O194" s="199">
        <f t="shared" si="137"/>
        <v>575.43993733715706</v>
      </c>
      <c r="P194" s="189" t="str">
        <f t="shared" si="103"/>
        <v>771.276595744681</v>
      </c>
      <c r="Q194" s="160" t="str">
        <f t="shared" si="104"/>
        <v>1+31.96186651346i</v>
      </c>
      <c r="R194" s="160">
        <f t="shared" si="112"/>
        <v>31.977506329046918</v>
      </c>
      <c r="S194" s="160">
        <f t="shared" si="113"/>
        <v>1.5395192456193727</v>
      </c>
      <c r="T194" s="160" t="str">
        <f t="shared" si="105"/>
        <v>1+0.000601635134371011i</v>
      </c>
      <c r="U194" s="160">
        <f t="shared" si="114"/>
        <v>1.0000001809824011</v>
      </c>
      <c r="V194" s="160">
        <f t="shared" si="115"/>
        <v>6.0163506178077266E-4</v>
      </c>
      <c r="W194" s="98" t="str">
        <f t="shared" si="106"/>
        <v>1-0.00245860511641999i</v>
      </c>
      <c r="X194" s="160">
        <f t="shared" si="116"/>
        <v>1.0000030223649921</v>
      </c>
      <c r="Y194" s="160">
        <f t="shared" si="117"/>
        <v>-2.4586001625624488E-3</v>
      </c>
      <c r="Z194" s="98" t="str">
        <f t="shared" si="107"/>
        <v>0.999867547551407-0.0168336074857056i</v>
      </c>
      <c r="AA194" s="160">
        <f t="shared" si="118"/>
        <v>1.0000092414510218</v>
      </c>
      <c r="AB194" s="160">
        <f t="shared" si="119"/>
        <v>-1.6834247023716466E-2</v>
      </c>
      <c r="AC194" s="171" t="str">
        <f t="shared" si="120"/>
        <v>1.11522057088275-24.0934056212611i</v>
      </c>
      <c r="AD194" s="190">
        <f t="shared" si="121"/>
        <v>27.647258742174206</v>
      </c>
      <c r="AE194" s="169">
        <f t="shared" si="122"/>
        <v>-87.349820210392664</v>
      </c>
      <c r="AF194" s="98" t="str">
        <f t="shared" si="108"/>
        <v>-0.0000119284294234592</v>
      </c>
      <c r="AG194" s="98" t="str">
        <f t="shared" si="109"/>
        <v>0.0000652000383300026i</v>
      </c>
      <c r="AH194" s="98">
        <f t="shared" si="123"/>
        <v>6.5200038330002596E-5</v>
      </c>
      <c r="AI194" s="98">
        <f t="shared" si="124"/>
        <v>1.5707963267948966</v>
      </c>
      <c r="AJ194" s="98" t="str">
        <f t="shared" si="110"/>
        <v>1+0.00357288950442199i</v>
      </c>
      <c r="AK194" s="98">
        <f t="shared" si="125"/>
        <v>1.0000063827493357</v>
      </c>
      <c r="AL194" s="98">
        <f t="shared" si="126"/>
        <v>3.5728743012511761E-3</v>
      </c>
      <c r="AM194" s="98" t="str">
        <f t="shared" si="111"/>
        <v>1+1.95242171009823i</v>
      </c>
      <c r="AN194" s="98">
        <f t="shared" si="127"/>
        <v>2.1936158583632861</v>
      </c>
      <c r="AO194" s="98">
        <f t="shared" si="128"/>
        <v>1.0974487552031851</v>
      </c>
      <c r="AP194" s="168" t="str">
        <f t="shared" si="129"/>
        <v>-0.35653980359394+0.184225141293592i</v>
      </c>
      <c r="AQ194" s="98">
        <f t="shared" si="130"/>
        <v>-7.9301356117929238</v>
      </c>
      <c r="AR194" s="169">
        <f t="shared" si="131"/>
        <v>152.67447128683597</v>
      </c>
      <c r="AS194" s="168" t="str">
        <f t="shared" si="132"/>
        <v>4.04099053151419+8.79570977535796i</v>
      </c>
      <c r="AT194" s="190">
        <f t="shared" si="133"/>
        <v>19.717123130381282</v>
      </c>
      <c r="AU194" s="169">
        <f t="shared" si="134"/>
        <v>65.324651076443331</v>
      </c>
      <c r="AV194" s="225"/>
      <c r="AX194">
        <f t="shared" si="135"/>
        <v>0</v>
      </c>
      <c r="AY194">
        <f t="shared" si="136"/>
        <v>0</v>
      </c>
    </row>
    <row r="195" spans="14:51" x14ac:dyDescent="0.2">
      <c r="N195" s="170">
        <v>77</v>
      </c>
      <c r="O195" s="199">
        <f t="shared" si="137"/>
        <v>588.84365535558959</v>
      </c>
      <c r="P195" s="189" t="str">
        <f t="shared" si="103"/>
        <v>771.276595744681</v>
      </c>
      <c r="Q195" s="160" t="str">
        <f t="shared" si="104"/>
        <v>1+32.7063540234366i</v>
      </c>
      <c r="R195" s="160">
        <f t="shared" si="112"/>
        <v>32.721638001578825</v>
      </c>
      <c r="S195" s="160">
        <f t="shared" si="113"/>
        <v>1.540230750401629</v>
      </c>
      <c r="T195" s="160" t="str">
        <f t="shared" si="105"/>
        <v>1+0.000615649016911745i</v>
      </c>
      <c r="U195" s="160">
        <f t="shared" si="114"/>
        <v>1.000000189511838</v>
      </c>
      <c r="V195" s="160">
        <f t="shared" si="115"/>
        <v>6.1564893912990416E-4</v>
      </c>
      <c r="W195" s="98" t="str">
        <f t="shared" si="106"/>
        <v>1-0.00251587338641818i</v>
      </c>
      <c r="X195" s="160">
        <f t="shared" si="116"/>
        <v>1.0000031648044403</v>
      </c>
      <c r="Y195" s="160">
        <f t="shared" si="117"/>
        <v>-2.5158680782650968E-3</v>
      </c>
      <c r="Z195" s="98" t="str">
        <f t="shared" si="107"/>
        <v>0.999861305259819-0.0172257125749274i</v>
      </c>
      <c r="AA195" s="160">
        <f t="shared" si="118"/>
        <v>1.0000096774179654</v>
      </c>
      <c r="AB195" s="160">
        <f t="shared" si="119"/>
        <v>-1.7226397848911508E-2</v>
      </c>
      <c r="AC195" s="171" t="str">
        <f t="shared" si="120"/>
        <v>1.08132087355684-23.5458778620297i</v>
      </c>
      <c r="AD195" s="190">
        <f t="shared" si="121"/>
        <v>27.447447423100041</v>
      </c>
      <c r="AE195" s="169">
        <f t="shared" si="122"/>
        <v>-87.370596118147617</v>
      </c>
      <c r="AF195" s="98" t="str">
        <f t="shared" si="108"/>
        <v>-0.0000119284294234592</v>
      </c>
      <c r="AG195" s="98" t="str">
        <f t="shared" si="109"/>
        <v>0.0000667187423195283i</v>
      </c>
      <c r="AH195" s="98">
        <f t="shared" si="123"/>
        <v>6.6718742319528296E-5</v>
      </c>
      <c r="AI195" s="98">
        <f t="shared" si="124"/>
        <v>1.5707963267948966</v>
      </c>
      <c r="AJ195" s="98" t="str">
        <f t="shared" si="110"/>
        <v>1+0.00365611279206848i</v>
      </c>
      <c r="AK195" s="98">
        <f t="shared" si="125"/>
        <v>1.0000066835580392</v>
      </c>
      <c r="AL195" s="98">
        <f t="shared" si="126"/>
        <v>3.6560965015833323E-3</v>
      </c>
      <c r="AM195" s="98" t="str">
        <f t="shared" si="111"/>
        <v>1+1.99789945392033i</v>
      </c>
      <c r="AN195" s="98">
        <f t="shared" si="127"/>
        <v>2.2341893894598894</v>
      </c>
      <c r="AO195" s="98">
        <f t="shared" si="128"/>
        <v>1.106728255322595</v>
      </c>
      <c r="AP195" s="168" t="str">
        <f t="shared" si="129"/>
        <v>-0.356539589094854+0.180090333726355i</v>
      </c>
      <c r="AQ195" s="98">
        <f t="shared" si="130"/>
        <v>-7.9709500679487206</v>
      </c>
      <c r="AR195" s="169">
        <f t="shared" si="131"/>
        <v>153.20137919882836</v>
      </c>
      <c r="AS195" s="168" t="str">
        <f t="shared" si="132"/>
        <v>3.85485130211528+8.58977305478981i</v>
      </c>
      <c r="AT195" s="190">
        <f t="shared" si="133"/>
        <v>19.47649735515132</v>
      </c>
      <c r="AU195" s="169">
        <f t="shared" si="134"/>
        <v>65.830783080680717</v>
      </c>
      <c r="AV195" s="225"/>
      <c r="AX195">
        <f t="shared" si="135"/>
        <v>0</v>
      </c>
      <c r="AY195">
        <f t="shared" si="136"/>
        <v>0</v>
      </c>
    </row>
    <row r="196" spans="14:51" x14ac:dyDescent="0.2">
      <c r="N196" s="170">
        <v>78</v>
      </c>
      <c r="O196" s="199">
        <f t="shared" si="137"/>
        <v>602.55958607435832</v>
      </c>
      <c r="P196" s="189" t="str">
        <f t="shared" si="103"/>
        <v>771.276595744681</v>
      </c>
      <c r="Q196" s="160" t="str">
        <f t="shared" si="104"/>
        <v>1+33.4681828752361i</v>
      </c>
      <c r="R196" s="160">
        <f t="shared" si="112"/>
        <v>33.483119104561439</v>
      </c>
      <c r="S196" s="160">
        <f t="shared" si="113"/>
        <v>1.540926089271951</v>
      </c>
      <c r="T196" s="160" t="str">
        <f t="shared" si="105"/>
        <v>1+0.000629989324710324i</v>
      </c>
      <c r="U196" s="160">
        <f t="shared" si="114"/>
        <v>1.0000001984432549</v>
      </c>
      <c r="V196" s="160">
        <f t="shared" si="115"/>
        <v>6.299892413655808E-4</v>
      </c>
      <c r="W196" s="98" t="str">
        <f t="shared" si="106"/>
        <v>1-0.00257447560578738i</v>
      </c>
      <c r="X196" s="160">
        <f t="shared" si="116"/>
        <v>1.0000033139568314</v>
      </c>
      <c r="Y196" s="160">
        <f t="shared" si="117"/>
        <v>-2.5744699179998938E-3</v>
      </c>
      <c r="Z196" s="98" t="str">
        <f t="shared" si="107"/>
        <v>0.999854768778092-0.0176269509649657i</v>
      </c>
      <c r="AA196" s="160">
        <f t="shared" si="118"/>
        <v>1.0000101339729579</v>
      </c>
      <c r="AB196" s="160">
        <f t="shared" si="119"/>
        <v>-1.7627685245520393E-2</v>
      </c>
      <c r="AC196" s="171" t="str">
        <f t="shared" si="120"/>
        <v>1.04894412726006-23.0107411965687i</v>
      </c>
      <c r="AD196" s="190">
        <f t="shared" si="121"/>
        <v>27.247627391404365</v>
      </c>
      <c r="AE196" s="169">
        <f t="shared" si="122"/>
        <v>-87.389980025844437</v>
      </c>
      <c r="AF196" s="98" t="str">
        <f t="shared" si="108"/>
        <v>-0.0000119284294234592</v>
      </c>
      <c r="AG196" s="98" t="str">
        <f t="shared" si="109"/>
        <v>0.0000682728214693586i</v>
      </c>
      <c r="AH196" s="98">
        <f t="shared" si="123"/>
        <v>6.82728214693586E-5</v>
      </c>
      <c r="AI196" s="98">
        <f t="shared" si="124"/>
        <v>1.5707963267948966</v>
      </c>
      <c r="AJ196" s="98" t="str">
        <f t="shared" si="110"/>
        <v>1+0.0037412745991117i</v>
      </c>
      <c r="AK196" s="98">
        <f t="shared" si="125"/>
        <v>1.0000069985433231</v>
      </c>
      <c r="AL196" s="98">
        <f t="shared" si="126"/>
        <v>3.7412571435489705E-3</v>
      </c>
      <c r="AM196" s="98" t="str">
        <f t="shared" si="111"/>
        <v>1+2.04443651047822i</v>
      </c>
      <c r="AN196" s="98">
        <f t="shared" si="127"/>
        <v>2.2758999638332873</v>
      </c>
      <c r="AO196" s="98">
        <f t="shared" si="128"/>
        <v>1.1158805884709968</v>
      </c>
      <c r="AP196" s="168" t="str">
        <f t="shared" si="129"/>
        <v>-0.356539364487014+0.176051012363898i</v>
      </c>
      <c r="AQ196" s="98">
        <f t="shared" si="130"/>
        <v>-8.0102891242855776</v>
      </c>
      <c r="AR196" s="169">
        <f t="shared" si="131"/>
        <v>153.72088991556427</v>
      </c>
      <c r="AS196" s="168" t="str">
        <f t="shared" si="132"/>
        <v>3.67707441038389+8.38890271811705i</v>
      </c>
      <c r="AT196" s="190">
        <f t="shared" si="133"/>
        <v>19.237338267118787</v>
      </c>
      <c r="AU196" s="169">
        <f t="shared" si="134"/>
        <v>66.330909889719791</v>
      </c>
      <c r="AV196" s="225"/>
      <c r="AX196">
        <f t="shared" si="135"/>
        <v>0</v>
      </c>
      <c r="AY196">
        <f t="shared" si="136"/>
        <v>0</v>
      </c>
    </row>
    <row r="197" spans="14:51" x14ac:dyDescent="0.2">
      <c r="N197" s="170">
        <v>79</v>
      </c>
      <c r="O197" s="199">
        <f t="shared" si="137"/>
        <v>616.59500186148273</v>
      </c>
      <c r="P197" s="189" t="str">
        <f t="shared" si="103"/>
        <v>771.276595744681</v>
      </c>
      <c r="Q197" s="160" t="str">
        <f t="shared" si="104"/>
        <v>1+34.2477570005998i</v>
      </c>
      <c r="R197" s="160">
        <f t="shared" si="112"/>
        <v>34.262353386364644</v>
      </c>
      <c r="S197" s="160">
        <f t="shared" si="113"/>
        <v>1.5416056282171233</v>
      </c>
      <c r="T197" s="160" t="str">
        <f t="shared" si="105"/>
        <v>1+0.00064466366118776i</v>
      </c>
      <c r="U197" s="160">
        <f t="shared" si="114"/>
        <v>1.0000002077955965</v>
      </c>
      <c r="V197" s="160">
        <f t="shared" si="115"/>
        <v>6.4466357188225972E-4</v>
      </c>
      <c r="W197" s="98" t="str">
        <f t="shared" si="106"/>
        <v>1-0.00263444284619998i</v>
      </c>
      <c r="X197" s="160">
        <f t="shared" si="116"/>
        <v>1.0000034701385341</v>
      </c>
      <c r="Y197" s="160">
        <f t="shared" si="117"/>
        <v>-2.6344367516270271E-3</v>
      </c>
      <c r="Z197" s="98" t="str">
        <f t="shared" si="107"/>
        <v>0.999847924241472-0.0180375353977258i</v>
      </c>
      <c r="AA197" s="160">
        <f t="shared" si="118"/>
        <v>1.0000106120902941</v>
      </c>
      <c r="AB197" s="160">
        <f t="shared" si="119"/>
        <v>-1.8038322189309525E-2</v>
      </c>
      <c r="AC197" s="171" t="str">
        <f t="shared" si="120"/>
        <v>1.01802203267872-22.4877181006418i</v>
      </c>
      <c r="AD197" s="190">
        <f t="shared" si="121"/>
        <v>27.047799027712422</v>
      </c>
      <c r="AE197" s="169">
        <f t="shared" si="122"/>
        <v>-87.407982044898134</v>
      </c>
      <c r="AF197" s="98" t="str">
        <f t="shared" si="108"/>
        <v>-0.0000119284294234592</v>
      </c>
      <c r="AG197" s="98" t="str">
        <f t="shared" si="109"/>
        <v>0.0000698630997728297i</v>
      </c>
      <c r="AH197" s="98">
        <f t="shared" si="123"/>
        <v>6.9863099772829706E-5</v>
      </c>
      <c r="AI197" s="98">
        <f t="shared" si="124"/>
        <v>1.5707963267948966</v>
      </c>
      <c r="AJ197" s="98" t="str">
        <f t="shared" si="110"/>
        <v>1+0.00382842007946899i</v>
      </c>
      <c r="AK197" s="98">
        <f t="shared" si="125"/>
        <v>1.0000073283733</v>
      </c>
      <c r="AL197" s="98">
        <f t="shared" si="126"/>
        <v>3.8284013755039443E-3</v>
      </c>
      <c r="AM197" s="98" t="str">
        <f t="shared" si="111"/>
        <v>1+2.09205755433528i</v>
      </c>
      <c r="AN197" s="98">
        <f t="shared" si="127"/>
        <v>2.3187722636454215</v>
      </c>
      <c r="AO197" s="98">
        <f t="shared" si="128"/>
        <v>1.1249044732066695</v>
      </c>
      <c r="AP197" s="168" t="str">
        <f t="shared" si="129"/>
        <v>-0.356539129294036+0.172105035499282i</v>
      </c>
      <c r="AQ197" s="98">
        <f t="shared" si="130"/>
        <v>-8.0481934306039786</v>
      </c>
      <c r="AR197" s="169">
        <f t="shared" si="131"/>
        <v>154.23292742903087</v>
      </c>
      <c r="AS197" s="168" t="str">
        <f t="shared" si="132"/>
        <v>3.50728483287539+8.19295814948578i</v>
      </c>
      <c r="AT197" s="190">
        <f t="shared" si="133"/>
        <v>18.999605597108442</v>
      </c>
      <c r="AU197" s="169">
        <f t="shared" si="134"/>
        <v>66.824945384132704</v>
      </c>
      <c r="AV197" s="225"/>
      <c r="AX197">
        <f t="shared" si="135"/>
        <v>0</v>
      </c>
      <c r="AY197">
        <f t="shared" si="136"/>
        <v>0</v>
      </c>
    </row>
    <row r="198" spans="14:51" x14ac:dyDescent="0.2">
      <c r="N198" s="170">
        <v>80</v>
      </c>
      <c r="O198" s="199">
        <f t="shared" si="137"/>
        <v>630.95734448019323</v>
      </c>
      <c r="P198" s="189" t="str">
        <f t="shared" si="103"/>
        <v>771.276595744681</v>
      </c>
      <c r="Q198" s="160" t="str">
        <f t="shared" si="104"/>
        <v>1+35.0454897400479i</v>
      </c>
      <c r="R198" s="160">
        <f t="shared" si="112"/>
        <v>35.059754008261415</v>
      </c>
      <c r="S198" s="160">
        <f t="shared" si="113"/>
        <v>1.5422697250259105</v>
      </c>
      <c r="T198" s="160" t="str">
        <f t="shared" si="105"/>
        <v>1+0.000659679806871488i</v>
      </c>
      <c r="U198" s="160">
        <f t="shared" si="114"/>
        <v>1.0000002175887002</v>
      </c>
      <c r="V198" s="160">
        <f t="shared" si="115"/>
        <v>6.5967971117892146E-4</v>
      </c>
      <c r="W198" s="98" t="str">
        <f t="shared" si="106"/>
        <v>1-0.0026958069030806i</v>
      </c>
      <c r="X198" s="160">
        <f t="shared" si="116"/>
        <v>1.0000036336808276</v>
      </c>
      <c r="Y198" s="160">
        <f t="shared" si="117"/>
        <v>-2.6958003726293054E-3</v>
      </c>
      <c r="Z198" s="98" t="str">
        <f t="shared" si="107"/>
        <v>0.999840757131779-0.0184576835705089i</v>
      </c>
      <c r="AA198" s="160">
        <f t="shared" si="118"/>
        <v>1.000011112790572</v>
      </c>
      <c r="AB198" s="160">
        <f t="shared" si="119"/>
        <v>-1.8458526628160724E-2</v>
      </c>
      <c r="AC198" s="171" t="str">
        <f t="shared" si="120"/>
        <v>0.988489342972875-21.9765370593189i</v>
      </c>
      <c r="AD198" s="190">
        <f t="shared" si="121"/>
        <v>26.847962695064584</v>
      </c>
      <c r="AE198" s="169">
        <f t="shared" si="122"/>
        <v>-87.424611563443705</v>
      </c>
      <c r="AF198" s="98" t="str">
        <f t="shared" si="108"/>
        <v>-0.0000119284294234592</v>
      </c>
      <c r="AG198" s="98" t="str">
        <f t="shared" si="109"/>
        <v>0.0000714904204165477i</v>
      </c>
      <c r="AH198" s="98">
        <f t="shared" si="123"/>
        <v>7.1490420416547694E-5</v>
      </c>
      <c r="AI198" s="98">
        <f t="shared" si="124"/>
        <v>1.5707963267948966</v>
      </c>
      <c r="AJ198" s="98" t="str">
        <f t="shared" si="110"/>
        <v>1+0.00391759543882754i</v>
      </c>
      <c r="AK198" s="98">
        <f t="shared" si="125"/>
        <v>1.000007673747568</v>
      </c>
      <c r="AL198" s="98">
        <f t="shared" si="126"/>
        <v>3.9175753971762151E-3</v>
      </c>
      <c r="AM198" s="98" t="str">
        <f t="shared" si="111"/>
        <v>1+2.1407878347993i</v>
      </c>
      <c r="AN198" s="98">
        <f t="shared" si="127"/>
        <v>2.362831469577269</v>
      </c>
      <c r="AO198" s="98">
        <f t="shared" si="128"/>
        <v>1.1337988145748354</v>
      </c>
      <c r="AP198" s="168" t="str">
        <f t="shared" si="129"/>
        <v>-0.356538883017086+0.168250310917674i</v>
      </c>
      <c r="AQ198" s="98">
        <f t="shared" si="130"/>
        <v>-8.0847034391774422</v>
      </c>
      <c r="AR198" s="169">
        <f t="shared" si="131"/>
        <v>154.73742635589144</v>
      </c>
      <c r="AS198" s="168" t="str">
        <f t="shared" si="132"/>
        <v>3.34512430690635+8.00180361500715i</v>
      </c>
      <c r="AT198" s="190">
        <f t="shared" si="133"/>
        <v>18.763259255887142</v>
      </c>
      <c r="AU198" s="169">
        <f t="shared" si="134"/>
        <v>67.312814792447739</v>
      </c>
      <c r="AV198" s="225"/>
      <c r="AX198">
        <f t="shared" si="135"/>
        <v>0</v>
      </c>
      <c r="AY198">
        <f t="shared" si="136"/>
        <v>0</v>
      </c>
    </row>
    <row r="199" spans="14:51" x14ac:dyDescent="0.2">
      <c r="N199" s="170">
        <v>81</v>
      </c>
      <c r="O199" s="199">
        <f t="shared" si="137"/>
        <v>645.65422903465594</v>
      </c>
      <c r="P199" s="189" t="str">
        <f t="shared" si="103"/>
        <v>771.276595744681</v>
      </c>
      <c r="Q199" s="160" t="str">
        <f t="shared" si="104"/>
        <v>1+35.8618040620381i</v>
      </c>
      <c r="R199" s="160">
        <f t="shared" si="112"/>
        <v>35.875743763495862</v>
      </c>
      <c r="S199" s="160">
        <f t="shared" si="113"/>
        <v>1.5429187294668258</v>
      </c>
      <c r="T199" s="160" t="str">
        <f t="shared" si="105"/>
        <v>1+0.000675045723520715i</v>
      </c>
      <c r="U199" s="160">
        <f t="shared" si="114"/>
        <v>1.0000002278433384</v>
      </c>
      <c r="V199" s="160">
        <f t="shared" si="115"/>
        <v>6.7504562098428384E-4</v>
      </c>
      <c r="W199" s="98" t="str">
        <f t="shared" si="106"/>
        <v>1-0.00275860031246445i</v>
      </c>
      <c r="X199" s="160">
        <f t="shared" si="116"/>
        <v>1.0000038049306033</v>
      </c>
      <c r="Y199" s="160">
        <f t="shared" si="117"/>
        <v>-2.7585933149612538E-3</v>
      </c>
      <c r="Z199" s="98" t="str">
        <f t="shared" si="107"/>
        <v>0.999833252246612-0.0188876182514373i</v>
      </c>
      <c r="AA199" s="160">
        <f t="shared" si="118"/>
        <v>1.0000116371429131</v>
      </c>
      <c r="AB199" s="160">
        <f t="shared" si="119"/>
        <v>-1.8888521598691449E-2</v>
      </c>
      <c r="AC199" s="171" t="str">
        <f t="shared" si="120"/>
        <v>0.96028372827858-21.4769324504816i</v>
      </c>
      <c r="AD199" s="190">
        <f t="shared" si="121"/>
        <v>26.648118739677656</v>
      </c>
      <c r="AE199" s="169">
        <f t="shared" si="122"/>
        <v>-87.439877250568756</v>
      </c>
      <c r="AF199" s="98" t="str">
        <f t="shared" si="108"/>
        <v>-0.0000119284294234592</v>
      </c>
      <c r="AG199" s="98" t="str">
        <f t="shared" si="109"/>
        <v>0.0000731556462274583i</v>
      </c>
      <c r="AH199" s="98">
        <f t="shared" si="123"/>
        <v>7.3155646227458305E-5</v>
      </c>
      <c r="AI199" s="98">
        <f t="shared" si="124"/>
        <v>1.5707963267948966</v>
      </c>
      <c r="AJ199" s="98" t="str">
        <f t="shared" si="110"/>
        <v>1+0.00400884795914327i</v>
      </c>
      <c r="AK199" s="98">
        <f t="shared" si="125"/>
        <v>1.000008035398696</v>
      </c>
      <c r="AL199" s="98">
        <f t="shared" si="126"/>
        <v>4.0088264841362867E-3</v>
      </c>
      <c r="AM199" s="98" t="str">
        <f t="shared" si="111"/>
        <v>1+2.19065318931001i</v>
      </c>
      <c r="AN199" s="98">
        <f t="shared" si="127"/>
        <v>2.4081032776511311</v>
      </c>
      <c r="AO199" s="98">
        <f t="shared" si="128"/>
        <v>1.1425626984652018</v>
      </c>
      <c r="AP199" s="168" t="str">
        <f t="shared" si="129"/>
        <v>-0.356538625133826+0.164484794787009i</v>
      </c>
      <c r="AQ199" s="98">
        <f t="shared" si="130"/>
        <v>-8.1198593324441095</v>
      </c>
      <c r="AR199" s="169">
        <f t="shared" si="131"/>
        <v>155.23433161279323</v>
      </c>
      <c r="AS199" s="168" t="str">
        <f t="shared" si="132"/>
        <v>3.19025058655309+7.81530803996997i</v>
      </c>
      <c r="AT199" s="190">
        <f t="shared" si="133"/>
        <v>18.528259407233545</v>
      </c>
      <c r="AU199" s="169">
        <f t="shared" si="134"/>
        <v>67.794454362224499</v>
      </c>
      <c r="AV199" s="225"/>
      <c r="AX199">
        <f t="shared" si="135"/>
        <v>0</v>
      </c>
      <c r="AY199">
        <f t="shared" si="136"/>
        <v>0</v>
      </c>
    </row>
    <row r="200" spans="14:51" x14ac:dyDescent="0.2">
      <c r="N200" s="170">
        <v>82</v>
      </c>
      <c r="O200" s="199">
        <f t="shared" si="137"/>
        <v>660.69344800759643</v>
      </c>
      <c r="P200" s="189" t="str">
        <f t="shared" si="103"/>
        <v>771.276595744681</v>
      </c>
      <c r="Q200" s="160" t="str">
        <f t="shared" si="104"/>
        <v>1+36.6971327872291i</v>
      </c>
      <c r="R200" s="160">
        <f t="shared" si="112"/>
        <v>36.710755301457979</v>
      </c>
      <c r="S200" s="160">
        <f t="shared" si="113"/>
        <v>1.5435529834624424</v>
      </c>
      <c r="T200" s="160" t="str">
        <f t="shared" si="105"/>
        <v>1+0.00069076955834784i</v>
      </c>
      <c r="U200" s="160">
        <f t="shared" si="114"/>
        <v>1.000000238581263</v>
      </c>
      <c r="V200" s="160">
        <f t="shared" si="115"/>
        <v>6.907694484780759E-4</v>
      </c>
      <c r="W200" s="98" t="str">
        <f t="shared" si="106"/>
        <v>1-0.00282285636824838i</v>
      </c>
      <c r="X200" s="160">
        <f t="shared" si="116"/>
        <v>1.0000039842511008</v>
      </c>
      <c r="Y200" s="160">
        <f t="shared" si="117"/>
        <v>-2.8228488702902298E-3</v>
      </c>
      <c r="Z200" s="98" t="str">
        <f t="shared" si="107"/>
        <v>0.999825393667104-0.0193275673975699i</v>
      </c>
      <c r="AA200" s="160">
        <f t="shared" si="118"/>
        <v>1.000012186267291</v>
      </c>
      <c r="AB200" s="160">
        <f t="shared" si="119"/>
        <v>-1.9328535345650683E-2</v>
      </c>
      <c r="AC200" s="171" t="str">
        <f t="shared" si="120"/>
        <v>0.933345646143329-20.988644429634i</v>
      </c>
      <c r="AD200" s="190">
        <f t="shared" si="121"/>
        <v>26.448267491671164</v>
      </c>
      <c r="AE200" s="169">
        <f t="shared" si="122"/>
        <v>-87.453787060205812</v>
      </c>
      <c r="AF200" s="98" t="str">
        <f t="shared" si="108"/>
        <v>-0.0000119284294234592</v>
      </c>
      <c r="AG200" s="98" t="str">
        <f t="shared" si="109"/>
        <v>0.0000748596601303281i</v>
      </c>
      <c r="AH200" s="98">
        <f t="shared" si="123"/>
        <v>7.4859660130328096E-5</v>
      </c>
      <c r="AI200" s="98">
        <f t="shared" si="124"/>
        <v>1.5707963267948966</v>
      </c>
      <c r="AJ200" s="98" t="str">
        <f t="shared" si="110"/>
        <v>1+0.00410222602371031i</v>
      </c>
      <c r="AK200" s="98">
        <f t="shared" si="125"/>
        <v>1.0000084140937764</v>
      </c>
      <c r="AL200" s="98">
        <f t="shared" si="126"/>
        <v>4.1022030128362048E-3</v>
      </c>
      <c r="AM200" s="98" t="str">
        <f t="shared" si="111"/>
        <v>1+2.24168005713842i</v>
      </c>
      <c r="AN200" s="98">
        <f t="shared" si="127"/>
        <v>2.454613916397467</v>
      </c>
      <c r="AO200" s="98">
        <f t="shared" si="128"/>
        <v>1.1511953856532009</v>
      </c>
      <c r="AP200" s="168" t="str">
        <f t="shared" si="129"/>
        <v>-0.356538355097303+0.160806490574284i</v>
      </c>
      <c r="AQ200" s="98">
        <f t="shared" si="130"/>
        <v>-8.15370095565269</v>
      </c>
      <c r="AR200" s="169">
        <f t="shared" si="131"/>
        <v>155.72359807352223</v>
      </c>
      <c r="AS200" s="168" t="str">
        <f t="shared" si="132"/>
        <v>3.04233673122777+7.63334479851297i</v>
      </c>
      <c r="AT200" s="190">
        <f t="shared" si="133"/>
        <v>18.294566536018472</v>
      </c>
      <c r="AU200" s="169">
        <f t="shared" si="134"/>
        <v>68.269811013316371</v>
      </c>
      <c r="AV200" s="225"/>
      <c r="AX200">
        <f t="shared" si="135"/>
        <v>0</v>
      </c>
      <c r="AY200">
        <f t="shared" si="136"/>
        <v>0</v>
      </c>
    </row>
    <row r="201" spans="14:51" x14ac:dyDescent="0.2">
      <c r="N201" s="170">
        <v>83</v>
      </c>
      <c r="O201" s="199">
        <f t="shared" si="137"/>
        <v>676.08297539198213</v>
      </c>
      <c r="P201" s="189" t="str">
        <f t="shared" si="103"/>
        <v>771.276595744681</v>
      </c>
      <c r="Q201" s="160" t="str">
        <f t="shared" si="104"/>
        <v>1+37.5519188179678i</v>
      </c>
      <c r="R201" s="160">
        <f t="shared" si="112"/>
        <v>37.565231357083967</v>
      </c>
      <c r="S201" s="160">
        <f t="shared" si="113"/>
        <v>1.544172821260283</v>
      </c>
      <c r="T201" s="160" t="str">
        <f t="shared" si="105"/>
        <v>1+0.000706859648338216i</v>
      </c>
      <c r="U201" s="160">
        <f t="shared" si="114"/>
        <v>1.00000024982525</v>
      </c>
      <c r="V201" s="160">
        <f t="shared" si="115"/>
        <v>7.068595306106444E-4</v>
      </c>
      <c r="W201" s="98" t="str">
        <f t="shared" si="106"/>
        <v>1-0.00288860913984366i</v>
      </c>
      <c r="X201" s="160">
        <f t="shared" si="116"/>
        <v>1.0000041720226784</v>
      </c>
      <c r="Y201" s="160">
        <f t="shared" si="117"/>
        <v>-2.8886011056385628E-3</v>
      </c>
      <c r="Z201" s="98" t="str">
        <f t="shared" si="107"/>
        <v>0.999817164724154-0.0197777642757673i</v>
      </c>
      <c r="AA201" s="160">
        <f t="shared" si="118"/>
        <v>1.0000127613369711</v>
      </c>
      <c r="AB201" s="160">
        <f t="shared" si="119"/>
        <v>-1.9778801444155954E-2</v>
      </c>
      <c r="AC201" s="171" t="str">
        <f t="shared" si="120"/>
        <v>0.90761821764195-20.5114188160783i</v>
      </c>
      <c r="AD201" s="190">
        <f t="shared" si="121"/>
        <v>26.248409265760543</v>
      </c>
      <c r="AE201" s="169">
        <f t="shared" si="122"/>
        <v>-87.466348234683394</v>
      </c>
      <c r="AF201" s="98" t="str">
        <f t="shared" si="108"/>
        <v>-0.0000119284294234592</v>
      </c>
      <c r="AG201" s="98" t="str">
        <f t="shared" si="109"/>
        <v>0.0000766033656158837i</v>
      </c>
      <c r="AH201" s="98">
        <f t="shared" si="123"/>
        <v>7.6603365615883704E-5</v>
      </c>
      <c r="AI201" s="98">
        <f t="shared" si="124"/>
        <v>1.5707963267948966</v>
      </c>
      <c r="AJ201" s="98" t="str">
        <f t="shared" si="110"/>
        <v>1+0.0041977791428145i</v>
      </c>
      <c r="AK201" s="98">
        <f t="shared" si="125"/>
        <v>1.0000088106360523</v>
      </c>
      <c r="AL201" s="98">
        <f t="shared" si="126"/>
        <v>4.1977544862303985E-3</v>
      </c>
      <c r="AM201" s="98" t="str">
        <f t="shared" si="111"/>
        <v>1+2.29389549340527i</v>
      </c>
      <c r="AN201" s="98">
        <f t="shared" si="127"/>
        <v>2.5023901643558717</v>
      </c>
      <c r="AO201" s="98">
        <f t="shared" si="128"/>
        <v>1.159696305575908</v>
      </c>
      <c r="AP201" s="168" t="str">
        <f t="shared" si="129"/>
        <v>-0.356538072334789+0.157213447986948i</v>
      </c>
      <c r="AQ201" s="98">
        <f t="shared" si="130"/>
        <v>-8.1862677544744891</v>
      </c>
      <c r="AR201" s="169">
        <f t="shared" si="131"/>
        <v>156.20519021092025</v>
      </c>
      <c r="AS201" s="168" t="str">
        <f t="shared" si="132"/>
        <v>2.90107042544603+7.45579151498734i</v>
      </c>
      <c r="AT201" s="190">
        <f t="shared" si="133"/>
        <v>18.062141511286054</v>
      </c>
      <c r="AU201" s="169">
        <f t="shared" si="134"/>
        <v>68.738841976236913</v>
      </c>
      <c r="AV201" s="225"/>
      <c r="AX201">
        <f t="shared" si="135"/>
        <v>0</v>
      </c>
      <c r="AY201">
        <f t="shared" si="136"/>
        <v>0</v>
      </c>
    </row>
    <row r="202" spans="14:51" x14ac:dyDescent="0.2">
      <c r="N202" s="170">
        <v>84</v>
      </c>
      <c r="O202" s="199">
        <f t="shared" si="137"/>
        <v>691.83097091893671</v>
      </c>
      <c r="P202" s="189" t="str">
        <f t="shared" si="103"/>
        <v>771.276595744681</v>
      </c>
      <c r="Q202" s="160" t="str">
        <f t="shared" si="104"/>
        <v>1+38.4266153731222i</v>
      </c>
      <c r="R202" s="160">
        <f t="shared" si="112"/>
        <v>38.439624985604006</v>
      </c>
      <c r="S202" s="160">
        <f t="shared" si="113"/>
        <v>1.544778569600334</v>
      </c>
      <c r="T202" s="160" t="str">
        <f t="shared" si="105"/>
        <v>1+0.000723324524670534i</v>
      </c>
      <c r="U202" s="160">
        <f t="shared" si="114"/>
        <v>1.0000002615991497</v>
      </c>
      <c r="V202" s="160">
        <f t="shared" si="115"/>
        <v>7.2332439852316999E-4</v>
      </c>
      <c r="W202" s="98" t="str">
        <f t="shared" si="106"/>
        <v>1-0.00295589349024016i</v>
      </c>
      <c r="X202" s="160">
        <f t="shared" si="116"/>
        <v>1.0000043686436202</v>
      </c>
      <c r="Y202" s="160">
        <f t="shared" si="117"/>
        <v>-2.9558848814363269E-3</v>
      </c>
      <c r="Z202" s="98" t="str">
        <f t="shared" si="107"/>
        <v>0.999808547963071-0.0202384475863733i</v>
      </c>
      <c r="AA202" s="160">
        <f t="shared" si="118"/>
        <v>1.0000133635810726</v>
      </c>
      <c r="AB202" s="160">
        <f t="shared" si="119"/>
        <v>-2.0239558924844674E-2</v>
      </c>
      <c r="AC202" s="171" t="str">
        <f t="shared" si="120"/>
        <v>0.88304710893056-20.0450069805039i</v>
      </c>
      <c r="AD202" s="190">
        <f t="shared" si="121"/>
        <v>26.048544361917219</v>
      </c>
      <c r="AE202" s="169">
        <f t="shared" si="122"/>
        <v>-87.477567307934109</v>
      </c>
      <c r="AF202" s="98" t="str">
        <f t="shared" si="108"/>
        <v>-0.0000119284294234592</v>
      </c>
      <c r="AG202" s="98" t="str">
        <f t="shared" si="109"/>
        <v>0.0000783876872198542i</v>
      </c>
      <c r="AH202" s="98">
        <f t="shared" si="123"/>
        <v>7.8387687219854204E-5</v>
      </c>
      <c r="AI202" s="98">
        <f t="shared" si="124"/>
        <v>1.5707963267948966</v>
      </c>
      <c r="AJ202" s="98" t="str">
        <f t="shared" si="110"/>
        <v>1+0.00429555797998439i</v>
      </c>
      <c r="AK202" s="98">
        <f t="shared" si="125"/>
        <v>1.0000092258666213</v>
      </c>
      <c r="AL202" s="98">
        <f t="shared" si="126"/>
        <v>4.2955315599916876E-3</v>
      </c>
      <c r="AM202" s="98" t="str">
        <f t="shared" si="111"/>
        <v>1+2.34732718342601i</v>
      </c>
      <c r="AN202" s="98">
        <f t="shared" si="127"/>
        <v>2.5514593679011792</v>
      </c>
      <c r="AO202" s="98">
        <f t="shared" si="128"/>
        <v>1.168065049891535</v>
      </c>
      <c r="AP202" s="168" t="str">
        <f t="shared" si="129"/>
        <v>-0.356537776246568+0.153703761938793i</v>
      </c>
      <c r="AQ202" s="98">
        <f t="shared" si="130"/>
        <v>-8.2175987175583085</v>
      </c>
      <c r="AR202" s="169">
        <f t="shared" si="131"/>
        <v>156.67908172637007</v>
      </c>
      <c r="AS202" s="168" t="str">
        <f t="shared" si="132"/>
        <v>2.76615332845375+7.2825298762876i</v>
      </c>
      <c r="AT202" s="190">
        <f t="shared" si="133"/>
        <v>17.830945644358913</v>
      </c>
      <c r="AU202" s="169">
        <f t="shared" si="134"/>
        <v>69.201514418436005</v>
      </c>
      <c r="AV202" s="225"/>
      <c r="AX202">
        <f t="shared" si="135"/>
        <v>0</v>
      </c>
      <c r="AY202">
        <f t="shared" si="136"/>
        <v>0</v>
      </c>
    </row>
    <row r="203" spans="14:51" x14ac:dyDescent="0.2">
      <c r="N203" s="170">
        <v>85</v>
      </c>
      <c r="O203" s="199">
        <f t="shared" si="137"/>
        <v>707.94578438413873</v>
      </c>
      <c r="P203" s="189" t="str">
        <f t="shared" si="103"/>
        <v>771.276595744681</v>
      </c>
      <c r="Q203" s="160" t="str">
        <f t="shared" si="104"/>
        <v>1+39.3216862283839i</v>
      </c>
      <c r="R203" s="160">
        <f t="shared" si="112"/>
        <v>39.334399802761403</v>
      </c>
      <c r="S203" s="160">
        <f t="shared" si="113"/>
        <v>1.5453705478792221</v>
      </c>
      <c r="T203" s="160" t="str">
        <f t="shared" si="105"/>
        <v>1+0.000740172917240166i</v>
      </c>
      <c r="U203" s="160">
        <f t="shared" si="114"/>
        <v>1.0000002739279363</v>
      </c>
      <c r="V203" s="160">
        <f t="shared" si="115"/>
        <v>7.4017278207083213E-4</v>
      </c>
      <c r="W203" s="98" t="str">
        <f t="shared" si="106"/>
        <v>1-0.00302474509449106i</v>
      </c>
      <c r="X203" s="160">
        <f t="shared" si="116"/>
        <v>1.0000045745309802</v>
      </c>
      <c r="Y203" s="160">
        <f t="shared" si="117"/>
        <v>-3.0247358699938371E-3</v>
      </c>
      <c r="Z203" s="98" t="str">
        <f t="shared" si="107"/>
        <v>0.999799525106549-0.0207098615897772i</v>
      </c>
      <c r="AA203" s="160">
        <f t="shared" si="118"/>
        <v>1.0000139942872543</v>
      </c>
      <c r="AB203" s="160">
        <f t="shared" si="119"/>
        <v>-2.0711052402011331E-2</v>
      </c>
      <c r="AC203" s="171" t="str">
        <f t="shared" si="120"/>
        <v>0.859580418005881-19.5891657340404i</v>
      </c>
      <c r="AD203" s="190">
        <f t="shared" si="121"/>
        <v>25.848673065999229</v>
      </c>
      <c r="AE203" s="169">
        <f t="shared" si="122"/>
        <v>-87.487450108358956</v>
      </c>
      <c r="AF203" s="98" t="str">
        <f t="shared" si="108"/>
        <v>-0.0000119284294234592</v>
      </c>
      <c r="AG203" s="98" t="str">
        <f t="shared" si="109"/>
        <v>0.0000802135710131725i</v>
      </c>
      <c r="AH203" s="98">
        <f t="shared" si="123"/>
        <v>8.0213571013172495E-5</v>
      </c>
      <c r="AI203" s="98">
        <f t="shared" si="124"/>
        <v>1.5707963267948966</v>
      </c>
      <c r="AJ203" s="98" t="str">
        <f t="shared" si="110"/>
        <v>1+0.00439561437885371i</v>
      </c>
      <c r="AK203" s="98">
        <f t="shared" si="125"/>
        <v>1.0000096606662194</v>
      </c>
      <c r="AL203" s="98">
        <f t="shared" si="126"/>
        <v>4.3955860693362554E-3</v>
      </c>
      <c r="AM203" s="98" t="str">
        <f t="shared" si="111"/>
        <v>1+2.40200345738996i</v>
      </c>
      <c r="AN203" s="98">
        <f t="shared" si="127"/>
        <v>2.6018494593871724</v>
      </c>
      <c r="AO203" s="98">
        <f t="shared" si="128"/>
        <v>1.1763013658690733</v>
      </c>
      <c r="AP203" s="168" t="str">
        <f t="shared" si="129"/>
        <v>-0.356537466204668+0.150275571539816i</v>
      </c>
      <c r="AQ203" s="98">
        <f t="shared" si="130"/>
        <v>-8.2477323239721247</v>
      </c>
      <c r="AR203" s="169">
        <f t="shared" si="131"/>
        <v>157.14525516951247</v>
      </c>
      <c r="AS203" s="168" t="str">
        <f t="shared" si="132"/>
        <v>2.63730045243613+7.11344545447834i</v>
      </c>
      <c r="AT203" s="190">
        <f t="shared" si="133"/>
        <v>17.600940742027106</v>
      </c>
      <c r="AU203" s="169">
        <f t="shared" si="134"/>
        <v>69.657805061153553</v>
      </c>
      <c r="AV203" s="225"/>
      <c r="AX203">
        <f t="shared" si="135"/>
        <v>0</v>
      </c>
      <c r="AY203">
        <f t="shared" si="136"/>
        <v>0</v>
      </c>
    </row>
    <row r="204" spans="14:51" x14ac:dyDescent="0.2">
      <c r="N204" s="170">
        <v>86</v>
      </c>
      <c r="O204" s="199">
        <f t="shared" si="137"/>
        <v>724.43596007499025</v>
      </c>
      <c r="P204" s="189" t="str">
        <f t="shared" si="103"/>
        <v>771.276595744681</v>
      </c>
      <c r="Q204" s="160" t="str">
        <f t="shared" si="104"/>
        <v>1+40.2376059621679i</v>
      </c>
      <c r="R204" s="160">
        <f t="shared" si="112"/>
        <v>40.250030230630756</v>
      </c>
      <c r="S204" s="160">
        <f t="shared" si="113"/>
        <v>1.545949068311101</v>
      </c>
      <c r="T204" s="160" t="str">
        <f t="shared" si="105"/>
        <v>1+0.000757413759287864i</v>
      </c>
      <c r="U204" s="160">
        <f t="shared" si="114"/>
        <v>1.0000002868377602</v>
      </c>
      <c r="V204" s="160">
        <f t="shared" si="115"/>
        <v>7.5741361445131553E-4</v>
      </c>
      <c r="W204" s="98" t="str">
        <f t="shared" si="106"/>
        <v>1-0.00309520045862828i</v>
      </c>
      <c r="X204" s="160">
        <f t="shared" si="116"/>
        <v>1.0000047901214668</v>
      </c>
      <c r="Y204" s="160">
        <f t="shared" si="117"/>
        <v>-3.0951905744039817E-3</v>
      </c>
      <c r="Z204" s="98" t="str">
        <f t="shared" si="107"/>
        <v>0.9997900770159-0.0211922562359233i</v>
      </c>
      <c r="AA204" s="160">
        <f t="shared" si="118"/>
        <v>1.0000146548045326</v>
      </c>
      <c r="AB204" s="160">
        <f t="shared" si="119"/>
        <v>-2.1193532204804359E-2</v>
      </c>
      <c r="AC204" s="171" t="str">
        <f t="shared" si="120"/>
        <v>0.837168566446555-19.1436572188078i</v>
      </c>
      <c r="AD204" s="190">
        <f t="shared" si="121"/>
        <v>25.648795650351236</v>
      </c>
      <c r="AE204" s="169">
        <f t="shared" si="122"/>
        <v>-87.496001761346221</v>
      </c>
      <c r="AF204" s="98" t="str">
        <f t="shared" si="108"/>
        <v>-0.0000119284294234592</v>
      </c>
      <c r="AG204" s="98" t="str">
        <f t="shared" si="109"/>
        <v>0.000082081985103594i</v>
      </c>
      <c r="AH204" s="98">
        <f t="shared" si="123"/>
        <v>8.2081985103593996E-5</v>
      </c>
      <c r="AI204" s="98">
        <f t="shared" si="124"/>
        <v>1.5707963267948966</v>
      </c>
      <c r="AJ204" s="98" t="str">
        <f t="shared" si="110"/>
        <v>1+0.00449800139064951i</v>
      </c>
      <c r="AK204" s="98">
        <f t="shared" si="125"/>
        <v>1.0000101159570889</v>
      </c>
      <c r="AL204" s="98">
        <f t="shared" si="126"/>
        <v>4.4979710564716094E-3</v>
      </c>
      <c r="AM204" s="98" t="str">
        <f t="shared" si="111"/>
        <v>1+2.45795330538129i</v>
      </c>
      <c r="AN204" s="98">
        <f t="shared" si="127"/>
        <v>2.6535889756016866</v>
      </c>
      <c r="AO204" s="98">
        <f t="shared" si="128"/>
        <v>1.1844051496520769</v>
      </c>
      <c r="AP204" s="168" t="str">
        <f t="shared" si="129"/>
        <v>-0.356537141551521+0.146927059109514i</v>
      </c>
      <c r="AQ204" s="98">
        <f t="shared" si="130"/>
        <v>-8.2767064954469696</v>
      </c>
      <c r="AR204" s="169">
        <f t="shared" si="131"/>
        <v>157.60370155071681</v>
      </c>
      <c r="AS204" s="168" t="str">
        <f t="shared" si="132"/>
        <v>2.51423956808241+6.94842753908279i</v>
      </c>
      <c r="AT204" s="190">
        <f t="shared" si="133"/>
        <v>17.372089154904263</v>
      </c>
      <c r="AU204" s="169">
        <f t="shared" si="134"/>
        <v>70.107699789370571</v>
      </c>
      <c r="AV204" s="225"/>
      <c r="AX204">
        <f t="shared" si="135"/>
        <v>0</v>
      </c>
      <c r="AY204">
        <f t="shared" si="136"/>
        <v>0</v>
      </c>
    </row>
    <row r="205" spans="14:51" x14ac:dyDescent="0.2">
      <c r="N205" s="170">
        <v>87</v>
      </c>
      <c r="O205" s="199">
        <f t="shared" si="137"/>
        <v>741.31024130091828</v>
      </c>
      <c r="P205" s="189" t="str">
        <f t="shared" si="103"/>
        <v>771.276595744681</v>
      </c>
      <c r="Q205" s="160" t="str">
        <f t="shared" si="104"/>
        <v>1+41.1748602072407i</v>
      </c>
      <c r="R205" s="160">
        <f t="shared" si="112"/>
        <v>41.187001749166129</v>
      </c>
      <c r="S205" s="160">
        <f t="shared" si="113"/>
        <v>1.5465144360852932</v>
      </c>
      <c r="T205" s="160" t="str">
        <f t="shared" si="105"/>
        <v>1+0.000775056192136293i</v>
      </c>
      <c r="U205" s="160">
        <f t="shared" si="114"/>
        <v>1.0000003003560054</v>
      </c>
      <c r="V205" s="160">
        <f t="shared" si="115"/>
        <v>7.7505603694113774E-4</v>
      </c>
      <c r="W205" s="98" t="str">
        <f t="shared" si="106"/>
        <v>1-0.0031672969390185i</v>
      </c>
      <c r="X205" s="160">
        <f t="shared" si="116"/>
        <v>1.0000050158723706</v>
      </c>
      <c r="Y205" s="160">
        <f t="shared" si="117"/>
        <v>-3.1672863478842163E-3</v>
      </c>
      <c r="Z205" s="98" t="str">
        <f t="shared" si="107"/>
        <v>0.999780183650457-0.0216858872968384i</v>
      </c>
      <c r="AA205" s="160">
        <f t="shared" si="118"/>
        <v>1.000015346546238</v>
      </c>
      <c r="AB205" s="160">
        <f t="shared" si="119"/>
        <v>-2.1687254511561494E-2</v>
      </c>
      <c r="AC205" s="171" t="str">
        <f t="shared" si="120"/>
        <v>0.81576419592236-18.7082488000009i</v>
      </c>
      <c r="AD205" s="190">
        <f t="shared" si="121"/>
        <v>25.448912374376626</v>
      </c>
      <c r="AE205" s="169">
        <f t="shared" si="122"/>
        <v>-87.503226691443587</v>
      </c>
      <c r="AF205" s="98" t="str">
        <f t="shared" si="108"/>
        <v>-0.0000119284294234592</v>
      </c>
      <c r="AG205" s="98" t="str">
        <f t="shared" si="109"/>
        <v>0.000083993920149001i</v>
      </c>
      <c r="AH205" s="98">
        <f t="shared" si="123"/>
        <v>8.3993920149001E-5</v>
      </c>
      <c r="AI205" s="98">
        <f t="shared" si="124"/>
        <v>1.5707963267948966</v>
      </c>
      <c r="AJ205" s="98" t="str">
        <f t="shared" si="110"/>
        <v>1+0.00460277330232073i</v>
      </c>
      <c r="AK205" s="98">
        <f t="shared" si="125"/>
        <v>1.0000105927049336</v>
      </c>
      <c r="AL205" s="98">
        <f t="shared" si="126"/>
        <v>4.6027407986820963E-3</v>
      </c>
      <c r="AM205" s="98" t="str">
        <f t="shared" si="111"/>
        <v>1+2.51520639274999i</v>
      </c>
      <c r="AN205" s="98">
        <f t="shared" si="127"/>
        <v>2.7067070765286769</v>
      </c>
      <c r="AO205" s="98">
        <f t="shared" si="128"/>
        <v>1.1923764394379188</v>
      </c>
      <c r="AP205" s="168" t="str">
        <f t="shared" si="129"/>
        <v>-0.356536801598574+0.143656449213084i</v>
      </c>
      <c r="AQ205" s="98">
        <f t="shared" si="130"/>
        <v>-8.3045585533121304</v>
      </c>
      <c r="AR205" s="169">
        <f t="shared" si="131"/>
        <v>158.05441994867201</v>
      </c>
      <c r="AS205" s="168" t="str">
        <f t="shared" si="132"/>
        <v>2.39671063633028+6.78736897844405i</v>
      </c>
      <c r="AT205" s="190">
        <f t="shared" si="133"/>
        <v>17.144353821064492</v>
      </c>
      <c r="AU205" s="169">
        <f t="shared" si="134"/>
        <v>70.551193257228419</v>
      </c>
      <c r="AV205" s="225"/>
      <c r="AX205">
        <f t="shared" si="135"/>
        <v>0</v>
      </c>
      <c r="AY205">
        <f t="shared" si="136"/>
        <v>0</v>
      </c>
    </row>
    <row r="206" spans="14:51" x14ac:dyDescent="0.2">
      <c r="N206" s="170">
        <v>88</v>
      </c>
      <c r="O206" s="199">
        <f t="shared" si="137"/>
        <v>758.57757502918378</v>
      </c>
      <c r="P206" s="189" t="str">
        <f t="shared" si="103"/>
        <v>771.276595744681</v>
      </c>
      <c r="Q206" s="160" t="str">
        <f t="shared" si="104"/>
        <v>1+42.1339459082091i</v>
      </c>
      <c r="R206" s="160">
        <f t="shared" si="112"/>
        <v>42.145811153611582</v>
      </c>
      <c r="S206" s="160">
        <f t="shared" si="113"/>
        <v>1.5470669495207312</v>
      </c>
      <c r="T206" s="160" t="str">
        <f t="shared" si="105"/>
        <v>1+0.000793109570036874i</v>
      </c>
      <c r="U206" s="160">
        <f t="shared" si="114"/>
        <v>1.0000003145113456</v>
      </c>
      <c r="V206" s="160">
        <f t="shared" si="115"/>
        <v>7.9310940374227189E-4</v>
      </c>
      <c r="W206" s="98" t="str">
        <f t="shared" si="106"/>
        <v>1-0.00324107276216991i</v>
      </c>
      <c r="X206" s="160">
        <f t="shared" si="116"/>
        <v>1.0000052522625318</v>
      </c>
      <c r="Y206" s="160">
        <f t="shared" si="117"/>
        <v>-3.2410614135682798E-3</v>
      </c>
      <c r="Z206" s="98" t="str">
        <f t="shared" si="107"/>
        <v>0.999769824025065-0.022191016502245i</v>
      </c>
      <c r="AA206" s="160">
        <f t="shared" si="118"/>
        <v>1.0000160709931178</v>
      </c>
      <c r="AB206" s="160">
        <f t="shared" si="119"/>
        <v>-2.2192481487360038E-2</v>
      </c>
      <c r="AC206" s="171" t="str">
        <f t="shared" si="120"/>
        <v>0.795322069265827-18.282712959536i</v>
      </c>
      <c r="AD206" s="190">
        <f t="shared" si="121"/>
        <v>25.249023485082859</v>
      </c>
      <c r="AE206" s="169">
        <f t="shared" si="122"/>
        <v>-87.509128624182338</v>
      </c>
      <c r="AF206" s="98" t="str">
        <f t="shared" si="108"/>
        <v>-0.0000119284294234592</v>
      </c>
      <c r="AG206" s="98" t="str">
        <f t="shared" si="109"/>
        <v>0.0000859503898826619i</v>
      </c>
      <c r="AH206" s="98">
        <f t="shared" si="123"/>
        <v>8.5950389882661897E-5</v>
      </c>
      <c r="AI206" s="98">
        <f t="shared" si="124"/>
        <v>1.5707963267948966</v>
      </c>
      <c r="AJ206" s="98" t="str">
        <f t="shared" si="110"/>
        <v>1+0.00470998566532175i</v>
      </c>
      <c r="AK206" s="98">
        <f t="shared" si="125"/>
        <v>1.0000110919209684</v>
      </c>
      <c r="AL206" s="98">
        <f t="shared" si="126"/>
        <v>4.7099508370663269E-3</v>
      </c>
      <c r="AM206" s="98" t="str">
        <f t="shared" si="111"/>
        <v>1+2.57379307584082i</v>
      </c>
      <c r="AN206" s="98">
        <f t="shared" si="127"/>
        <v>2.7612335644139465</v>
      </c>
      <c r="AO206" s="98">
        <f t="shared" si="128"/>
        <v>1.2002154086109662</v>
      </c>
      <c r="AP206" s="168" t="str">
        <f t="shared" si="129"/>
        <v>-0.356536445624835+0.140462007720025i</v>
      </c>
      <c r="AQ206" s="98">
        <f t="shared" si="130"/>
        <v>-8.3313251799891912</v>
      </c>
      <c r="AR206" s="169">
        <f t="shared" si="131"/>
        <v>158.49741711529975</v>
      </c>
      <c r="AS206" s="168" t="str">
        <f t="shared" si="132"/>
        <v>2.28446526516232+6.6301660296052i</v>
      </c>
      <c r="AT206" s="190">
        <f t="shared" si="133"/>
        <v>16.917698305093673</v>
      </c>
      <c r="AU206" s="169">
        <f t="shared" si="134"/>
        <v>70.98828849111743</v>
      </c>
      <c r="AV206" s="225"/>
      <c r="AX206">
        <f t="shared" si="135"/>
        <v>0</v>
      </c>
      <c r="AY206">
        <f t="shared" si="136"/>
        <v>0</v>
      </c>
    </row>
    <row r="207" spans="14:51" x14ac:dyDescent="0.2">
      <c r="N207" s="170">
        <v>89</v>
      </c>
      <c r="O207" s="199">
        <f t="shared" si="137"/>
        <v>776.24711662869231</v>
      </c>
      <c r="P207" s="189" t="str">
        <f t="shared" si="103"/>
        <v>771.276595744681</v>
      </c>
      <c r="Q207" s="160" t="str">
        <f t="shared" si="104"/>
        <v>1+43.1153715850067i</v>
      </c>
      <c r="R207" s="160">
        <f t="shared" si="112"/>
        <v>43.126966817911075</v>
      </c>
      <c r="S207" s="160">
        <f t="shared" si="113"/>
        <v>1.5476069002172474</v>
      </c>
      <c r="T207" s="160" t="str">
        <f t="shared" si="105"/>
        <v>1+0.000811583465129536i</v>
      </c>
      <c r="U207" s="160">
        <f t="shared" si="114"/>
        <v>1.0000003293338062</v>
      </c>
      <c r="V207" s="160">
        <f t="shared" si="115"/>
        <v>8.1158328694166265E-4</v>
      </c>
      <c r="W207" s="98" t="str">
        <f t="shared" si="106"/>
        <v>1-0.0033165670450005i</v>
      </c>
      <c r="X207" s="160">
        <f t="shared" si="116"/>
        <v>1.0000054997933581</v>
      </c>
      <c r="Y207" s="160">
        <f t="shared" si="117"/>
        <v>-3.3165548847583779E-3</v>
      </c>
      <c r="Z207" s="98" t="str">
        <f t="shared" si="107"/>
        <v>0.99975897616557-0.0227079116783339i</v>
      </c>
      <c r="AA207" s="160">
        <f t="shared" si="118"/>
        <v>1.0000168296965906</v>
      </c>
      <c r="AB207" s="160">
        <f t="shared" si="119"/>
        <v>-2.2709481424864703E-2</v>
      </c>
      <c r="AC207" s="171" t="str">
        <f t="shared" si="120"/>
        <v>0.775798975909252-17.8668271912811i</v>
      </c>
      <c r="AD207" s="190">
        <f t="shared" si="121"/>
        <v>25.049129217600161</v>
      </c>
      <c r="AE207" s="169">
        <f t="shared" si="122"/>
        <v>-87.51371058755177</v>
      </c>
      <c r="AF207" s="98" t="str">
        <f t="shared" si="108"/>
        <v>-0.0000119284294234592</v>
      </c>
      <c r="AG207" s="98" t="str">
        <f t="shared" si="109"/>
        <v>0.0000879524316507266i</v>
      </c>
      <c r="AH207" s="98">
        <f t="shared" si="123"/>
        <v>8.7952431650726597E-5</v>
      </c>
      <c r="AI207" s="98">
        <f t="shared" si="124"/>
        <v>1.5707963267948966</v>
      </c>
      <c r="AJ207" s="98" t="str">
        <f t="shared" si="110"/>
        <v>1+0.00481969532506655i</v>
      </c>
      <c r="AK207" s="98">
        <f t="shared" si="125"/>
        <v>1.000011614664063</v>
      </c>
      <c r="AL207" s="98">
        <f t="shared" si="126"/>
        <v>4.8196580059419059E-3</v>
      </c>
      <c r="AM207" s="98" t="str">
        <f t="shared" si="111"/>
        <v>1+2.63374441808864i</v>
      </c>
      <c r="AN207" s="98">
        <f t="shared" si="127"/>
        <v>2.8171989031328741</v>
      </c>
      <c r="AO207" s="98">
        <f t="shared" si="128"/>
        <v>1.2079223588652548</v>
      </c>
      <c r="AP207" s="168" t="str">
        <f t="shared" si="129"/>
        <v>-0.356536072875333+0.137342040884618i</v>
      </c>
      <c r="AQ207" s="98">
        <f t="shared" si="130"/>
        <v>-8.3570423848939885</v>
      </c>
      <c r="AR207" s="169">
        <f t="shared" si="131"/>
        <v>158.9327070800291</v>
      </c>
      <c r="AS207" s="168" t="str">
        <f t="shared" si="132"/>
        <v>2.17726619037194+6.47671821618915i</v>
      </c>
      <c r="AT207" s="190">
        <f t="shared" si="133"/>
        <v>16.692086832706167</v>
      </c>
      <c r="AU207" s="169">
        <f t="shared" si="134"/>
        <v>71.418996492477348</v>
      </c>
      <c r="AV207" s="225"/>
      <c r="AX207">
        <f t="shared" si="135"/>
        <v>0</v>
      </c>
      <c r="AY207">
        <f t="shared" si="136"/>
        <v>0</v>
      </c>
    </row>
    <row r="208" spans="14:51" x14ac:dyDescent="0.2">
      <c r="N208" s="170">
        <v>90</v>
      </c>
      <c r="O208" s="199">
        <f t="shared" si="137"/>
        <v>794.32823472428208</v>
      </c>
      <c r="P208" s="189" t="str">
        <f t="shared" si="103"/>
        <v>771.276595744681</v>
      </c>
      <c r="Q208" s="160" t="str">
        <f t="shared" si="104"/>
        <v>1+44.1196576025181i</v>
      </c>
      <c r="R208" s="160">
        <f t="shared" si="112"/>
        <v>44.130988964257675</v>
      </c>
      <c r="S208" s="160">
        <f t="shared" si="113"/>
        <v>1.5481345732037601</v>
      </c>
      <c r="T208" s="160" t="str">
        <f t="shared" si="105"/>
        <v>1+0.000830487672517986i</v>
      </c>
      <c r="U208" s="160">
        <f t="shared" si="114"/>
        <v>1.0000003448548276</v>
      </c>
      <c r="V208" s="160">
        <f t="shared" si="115"/>
        <v>8.3048748158624341E-4</v>
      </c>
      <c r="W208" s="98" t="str">
        <f t="shared" si="106"/>
        <v>1-0.0033938198155783i</v>
      </c>
      <c r="X208" s="160">
        <f t="shared" si="116"/>
        <v>1.0000057589898872</v>
      </c>
      <c r="Y208" s="160">
        <f t="shared" si="117"/>
        <v>-3.3938067856481625E-3</v>
      </c>
      <c r="Z208" s="98" t="str">
        <f t="shared" si="107"/>
        <v>0.999747617062208-0.0232368468897694i</v>
      </c>
      <c r="AA208" s="160">
        <f t="shared" si="118"/>
        <v>1.0000176242821632</v>
      </c>
      <c r="AB208" s="160">
        <f t="shared" si="119"/>
        <v>-2.323852888855641E-2</v>
      </c>
      <c r="AC208" s="171" t="str">
        <f t="shared" si="120"/>
        <v>0.757153641498358-17.4603738978912i</v>
      </c>
      <c r="AD208" s="190">
        <f t="shared" si="121"/>
        <v>24.849229795675779</v>
      </c>
      <c r="AE208" s="169">
        <f t="shared" si="122"/>
        <v>-87.516974913122482</v>
      </c>
      <c r="AF208" s="98" t="str">
        <f t="shared" si="108"/>
        <v>-0.0000119284294234592</v>
      </c>
      <c r="AG208" s="98" t="str">
        <f t="shared" si="109"/>
        <v>0.0000900011069622406i</v>
      </c>
      <c r="AH208" s="98">
        <f t="shared" si="123"/>
        <v>9.00011069622406E-5</v>
      </c>
      <c r="AI208" s="98">
        <f t="shared" si="124"/>
        <v>1.5707963267948966</v>
      </c>
      <c r="AJ208" s="98" t="str">
        <f t="shared" si="110"/>
        <v>1+0.00493196045106892i</v>
      </c>
      <c r="AK208" s="98">
        <f t="shared" si="125"/>
        <v>1.0000121620429878</v>
      </c>
      <c r="AL208" s="98">
        <f t="shared" si="126"/>
        <v>4.9319204629326759E-3</v>
      </c>
      <c r="AM208" s="98" t="str">
        <f t="shared" si="111"/>
        <v>1+2.69509220648866i</v>
      </c>
      <c r="AN208" s="98">
        <f t="shared" si="127"/>
        <v>2.8746342378598211</v>
      </c>
      <c r="AO208" s="98">
        <f t="shared" si="128"/>
        <v>1.2154977133492999</v>
      </c>
      <c r="AP208" s="168" t="str">
        <f t="shared" si="129"/>
        <v>-0.356535682559522+0.134294894447849i</v>
      </c>
      <c r="AQ208" s="98">
        <f t="shared" si="130"/>
        <v>-8.3817454745779614</v>
      </c>
      <c r="AR208" s="169">
        <f t="shared" si="131"/>
        <v>159.36031075529701</v>
      </c>
      <c r="AS208" s="168" t="str">
        <f t="shared" si="132"/>
        <v>2.07488677926323+6.32692819379493i</v>
      </c>
      <c r="AT208" s="190">
        <f t="shared" si="133"/>
        <v>16.467484321097817</v>
      </c>
      <c r="AU208" s="169">
        <f t="shared" si="134"/>
        <v>71.84333584217454</v>
      </c>
      <c r="AV208" s="225"/>
      <c r="AX208">
        <f t="shared" si="135"/>
        <v>0</v>
      </c>
      <c r="AY208">
        <f t="shared" si="136"/>
        <v>0</v>
      </c>
    </row>
    <row r="209" spans="14:51" x14ac:dyDescent="0.2">
      <c r="N209" s="170">
        <v>91</v>
      </c>
      <c r="O209" s="199">
        <f t="shared" si="137"/>
        <v>812.83051616409978</v>
      </c>
      <c r="P209" s="189" t="str">
        <f t="shared" si="103"/>
        <v>771.276595744681</v>
      </c>
      <c r="Q209" s="160" t="str">
        <f t="shared" si="104"/>
        <v>1+45.1473364464831i</v>
      </c>
      <c r="R209" s="160">
        <f t="shared" si="112"/>
        <v>45.158409938924351</v>
      </c>
      <c r="S209" s="160">
        <f t="shared" si="113"/>
        <v>1.5486502470834005</v>
      </c>
      <c r="T209" s="160" t="str">
        <f t="shared" si="105"/>
        <v>1+0.000849832215463208i</v>
      </c>
      <c r="U209" s="160">
        <f t="shared" si="114"/>
        <v>1.000000361107332</v>
      </c>
      <c r="V209" s="160">
        <f t="shared" si="115"/>
        <v>8.498320108761637E-4</v>
      </c>
      <c r="W209" s="98" t="str">
        <f t="shared" si="106"/>
        <v>1-0.00347287203434483i</v>
      </c>
      <c r="X209" s="160">
        <f t="shared" si="116"/>
        <v>1.0000060304019007</v>
      </c>
      <c r="Y209" s="160">
        <f t="shared" si="117"/>
        <v>-3.4728580725276893E-3</v>
      </c>
      <c r="Z209" s="98" t="str">
        <f t="shared" si="107"/>
        <v>0.999735722620797-0.0237781025850018i</v>
      </c>
      <c r="AA209" s="160">
        <f t="shared" si="118"/>
        <v>1.0000184564530148</v>
      </c>
      <c r="AB209" s="160">
        <f t="shared" si="119"/>
        <v>-2.3779904862427096E-2</v>
      </c>
      <c r="AC209" s="171" t="str">
        <f t="shared" si="120"/>
        <v>0.739346641501458-17.063140289262i</v>
      </c>
      <c r="AD209" s="190">
        <f t="shared" si="121"/>
        <v>24.649325432143996</v>
      </c>
      <c r="AE209" s="169">
        <f t="shared" si="122"/>
        <v>-87.518923236816732</v>
      </c>
      <c r="AF209" s="98" t="str">
        <f t="shared" si="108"/>
        <v>-0.0000119284294234592</v>
      </c>
      <c r="AG209" s="98" t="str">
        <f t="shared" si="109"/>
        <v>0.0000920975020519713i</v>
      </c>
      <c r="AH209" s="98">
        <f t="shared" si="123"/>
        <v>9.2097502051971295E-5</v>
      </c>
      <c r="AI209" s="98">
        <f t="shared" si="124"/>
        <v>1.5707963267948966</v>
      </c>
      <c r="AJ209" s="98" t="str">
        <f t="shared" si="110"/>
        <v>1+0.00504684056778465i</v>
      </c>
      <c r="AK209" s="98">
        <f t="shared" si="125"/>
        <v>1.0000127352187655</v>
      </c>
      <c r="AL209" s="98">
        <f t="shared" si="126"/>
        <v>5.046797719754156E-3</v>
      </c>
      <c r="AM209" s="98" t="str">
        <f t="shared" si="111"/>
        <v>1+2.75786896845032i</v>
      </c>
      <c r="AN209" s="98">
        <f t="shared" si="127"/>
        <v>2.9335714150402463</v>
      </c>
      <c r="AO209" s="98">
        <f t="shared" si="128"/>
        <v>1.2229420098627555</v>
      </c>
      <c r="AP209" s="168" t="str">
        <f t="shared" si="129"/>
        <v>-0.356535273849611+0.131318952760229i</v>
      </c>
      <c r="AQ209" s="98">
        <f t="shared" si="130"/>
        <v>-8.4054690269295591</v>
      </c>
      <c r="AR209" s="169">
        <f t="shared" si="131"/>
        <v>159.78025554498407</v>
      </c>
      <c r="AS209" s="168" t="str">
        <f t="shared" si="132"/>
        <v>1.97711055628924+6.18070162245512i</v>
      </c>
      <c r="AT209" s="190">
        <f t="shared" si="133"/>
        <v>16.243856405214437</v>
      </c>
      <c r="AU209" s="169">
        <f t="shared" si="134"/>
        <v>72.261332308167368</v>
      </c>
      <c r="AV209" s="225"/>
      <c r="AX209">
        <f t="shared" si="135"/>
        <v>0</v>
      </c>
      <c r="AY209">
        <f t="shared" si="136"/>
        <v>0</v>
      </c>
    </row>
    <row r="210" spans="14:51" x14ac:dyDescent="0.2">
      <c r="N210" s="170">
        <v>92</v>
      </c>
      <c r="O210" s="199">
        <f t="shared" si="137"/>
        <v>831.7637711026714</v>
      </c>
      <c r="P210" s="189" t="str">
        <f t="shared" si="103"/>
        <v>771.276595744681</v>
      </c>
      <c r="Q210" s="160" t="str">
        <f t="shared" si="104"/>
        <v>1+46.1989530058276i</v>
      </c>
      <c r="R210" s="160">
        <f t="shared" si="112"/>
        <v>46.209774494522982</v>
      </c>
      <c r="S210" s="160">
        <f t="shared" si="113"/>
        <v>1.5491541941756342</v>
      </c>
      <c r="T210" s="160" t="str">
        <f t="shared" si="105"/>
        <v>1+0.000869627350697929i</v>
      </c>
      <c r="U210" s="160">
        <f t="shared" si="114"/>
        <v>1.0000003781257931</v>
      </c>
      <c r="V210" s="160">
        <f t="shared" si="115"/>
        <v>8.6962713147896594E-4</v>
      </c>
      <c r="W210" s="98" t="str">
        <f t="shared" si="106"/>
        <v>1-0.00355376561583288i</v>
      </c>
      <c r="X210" s="160">
        <f t="shared" si="116"/>
        <v>1.000006314605089</v>
      </c>
      <c r="Y210" s="160">
        <f t="shared" si="117"/>
        <v>-3.5537506554813793E-3</v>
      </c>
      <c r="Z210" s="98" t="str">
        <f t="shared" si="107"/>
        <v>0.999723267611632-0.0243319657449652i</v>
      </c>
      <c r="AA210" s="160">
        <f t="shared" si="118"/>
        <v>1.0000193279937608</v>
      </c>
      <c r="AB210" s="160">
        <f t="shared" si="119"/>
        <v>-2.4333896901229866E-2</v>
      </c>
      <c r="AC210" s="171" t="str">
        <f t="shared" si="120"/>
        <v>0.722340318640746-16.6749182826146i</v>
      </c>
      <c r="AD210" s="190">
        <f t="shared" si="121"/>
        <v>24.44941632937358</v>
      </c>
      <c r="AE210" s="169">
        <f t="shared" si="122"/>
        <v>-87.519556499324011</v>
      </c>
      <c r="AF210" s="98" t="str">
        <f t="shared" si="108"/>
        <v>-0.0000119284294234592</v>
      </c>
      <c r="AG210" s="98" t="str">
        <f t="shared" si="109"/>
        <v>0.0000942427284563446i</v>
      </c>
      <c r="AH210" s="98">
        <f t="shared" si="123"/>
        <v>9.4242728456344599E-5</v>
      </c>
      <c r="AI210" s="98">
        <f t="shared" si="124"/>
        <v>1.5707963267948966</v>
      </c>
      <c r="AJ210" s="98" t="str">
        <f t="shared" si="110"/>
        <v>1+0.00516439658617225i</v>
      </c>
      <c r="AK210" s="98">
        <f t="shared" si="125"/>
        <v>1.000013335407133</v>
      </c>
      <c r="AL210" s="98">
        <f t="shared" si="126"/>
        <v>5.1643506737134512E-3</v>
      </c>
      <c r="AM210" s="98" t="str">
        <f t="shared" si="111"/>
        <v>1+2.82210798904376i</v>
      </c>
      <c r="AN210" s="98">
        <f t="shared" si="127"/>
        <v>2.9940430026679006</v>
      </c>
      <c r="AO210" s="98">
        <f t="shared" si="128"/>
        <v>1.230255894131737</v>
      </c>
      <c r="AP210" s="168" t="str">
        <f t="shared" si="129"/>
        <v>-0.356534845878797+0.128412637925104i</v>
      </c>
      <c r="AQ210" s="98">
        <f t="shared" si="130"/>
        <v>-8.4282468692453527</v>
      </c>
      <c r="AR210" s="169">
        <f t="shared" si="131"/>
        <v>160.19257495731264</v>
      </c>
      <c r="AS210" s="168" t="str">
        <f t="shared" si="132"/>
        <v>1.88373074967747+6.03794704572985i</v>
      </c>
      <c r="AT210" s="190">
        <f t="shared" si="133"/>
        <v>16.021169460128235</v>
      </c>
      <c r="AU210" s="169">
        <f t="shared" si="134"/>
        <v>72.673018457988604</v>
      </c>
      <c r="AV210" s="225"/>
      <c r="AX210">
        <f t="shared" si="135"/>
        <v>0</v>
      </c>
      <c r="AY210">
        <f t="shared" si="136"/>
        <v>0</v>
      </c>
    </row>
    <row r="211" spans="14:51" x14ac:dyDescent="0.2">
      <c r="N211" s="170">
        <v>93</v>
      </c>
      <c r="O211" s="199">
        <f t="shared" si="137"/>
        <v>851.13803820237763</v>
      </c>
      <c r="P211" s="189" t="str">
        <f t="shared" ref="P211:P274" si="138">COMPLEX(Adc,0)</f>
        <v>771.276595744681</v>
      </c>
      <c r="Q211" s="160" t="str">
        <f t="shared" ref="Q211:Q274" si="139">IMSUM(COMPLEX(1,0),IMDIV(COMPLEX(0,2*PI()*O211),COMPLEX(wp_lf,0)))</f>
        <v>1+47.2750648615713i</v>
      </c>
      <c r="R211" s="160">
        <f t="shared" si="112"/>
        <v>47.285640078841837</v>
      </c>
      <c r="S211" s="160">
        <f t="shared" si="113"/>
        <v>1.5496466806554232</v>
      </c>
      <c r="T211" s="160" t="str">
        <f t="shared" ref="T211:T274" si="140">IMSUM(COMPLEX(1,0),IMDIV(COMPLEX(0,2*PI()*O211),COMPLEX(wz_esr,0)))</f>
        <v>1+0.00088988357386487i</v>
      </c>
      <c r="U211" s="160">
        <f t="shared" si="114"/>
        <v>1.0000003959463091</v>
      </c>
      <c r="V211" s="160">
        <f t="shared" si="115"/>
        <v>8.8988333896752403E-4</v>
      </c>
      <c r="W211" s="98" t="str">
        <f t="shared" ref="W211:W274" si="141">IMSUB(COMPLEX(1,0),IMDIV(COMPLEX(0,2*PI()*O211),COMPLEX(wz_rhp,0)))</f>
        <v>1-0.00363654345089009i</v>
      </c>
      <c r="X211" s="160">
        <f t="shared" si="116"/>
        <v>1.0000066122022746</v>
      </c>
      <c r="Y211" s="160">
        <f t="shared" si="117"/>
        <v>-3.6365274205903686E-3</v>
      </c>
      <c r="Z211" s="98" t="str">
        <f t="shared" ref="Z211:Z274" si="142">IF(Dc_Mode_Loop="CCM",IMSUM(COMPLEX(1,0),IMDIV(COMPLEX(0,2*PI()*O211),COMPLEX(Q*(wsl/2),0)),IMDIV(IMPOWER(COMPLEX(0,2*PI()*O211),2),IMPOWER(COMPLEX(wsl/2,0),2))),COMPLEX(1,0))</f>
        <v>0.99971022561597-0.0248987300352383i</v>
      </c>
      <c r="AA211" s="160">
        <f t="shared" si="118"/>
        <v>1.0000202407744061</v>
      </c>
      <c r="AB211" s="160">
        <f t="shared" si="119"/>
        <v>-2.4900799285374402E-2</v>
      </c>
      <c r="AC211" s="171" t="str">
        <f t="shared" si="120"/>
        <v>0.70609870397938-16.295504404217i</v>
      </c>
      <c r="AD211" s="190">
        <f t="shared" si="121"/>
        <v>24.249502679692462</v>
      </c>
      <c r="AE211" s="169">
        <f t="shared" si="122"/>
        <v>-87.518874946160267</v>
      </c>
      <c r="AF211" s="98" t="str">
        <f t="shared" ref="AF211:AF274" si="143">COMPLEX(Adc_ea,0)</f>
        <v>-0.0000119284294234592</v>
      </c>
      <c r="AG211" s="98" t="str">
        <f t="shared" ref="AG211:AG274" si="144">COMPLEX(0,2*PI()*O211*wp0_ea)</f>
        <v>0.0000964379236027956i</v>
      </c>
      <c r="AH211" s="98">
        <f t="shared" si="123"/>
        <v>9.6437923602795601E-5</v>
      </c>
      <c r="AI211" s="98">
        <f t="shared" si="124"/>
        <v>1.5707963267948966</v>
      </c>
      <c r="AJ211" s="98" t="str">
        <f t="shared" ref="AJ211:AJ274" si="145">IMSUM(COMPLEX(1,0),IMDIV(COMPLEX(0,2*PI()*O211),COMPLEX(wp1_ea,0)))</f>
        <v>1+0.00528469083598872i</v>
      </c>
      <c r="AK211" s="98">
        <f t="shared" si="125"/>
        <v>1.000013963881121</v>
      </c>
      <c r="AL211" s="98">
        <f t="shared" si="126"/>
        <v>5.2846416399398672E-3</v>
      </c>
      <c r="AM211" s="98" t="str">
        <f t="shared" ref="AM211:AM274" si="146">IMSUM(COMPLEX(1,0),IMDIV(COMPLEX(0,2*PI()*O211),COMPLEX(wz_ea,0)))</f>
        <v>1+2.88784332864802i</v>
      </c>
      <c r="AN211" s="98">
        <f t="shared" si="127"/>
        <v>3.0560823108707127</v>
      </c>
      <c r="AO211" s="98">
        <f t="shared" si="128"/>
        <v>1.2374401131868027</v>
      </c>
      <c r="AP211" s="168" t="str">
        <f t="shared" si="129"/>
        <v>-0.356534397739443+0.125574408961971i</v>
      </c>
      <c r="AQ211" s="98">
        <f t="shared" si="130"/>
        <v>-8.4501120599723762</v>
      </c>
      <c r="AR211" s="169">
        <f t="shared" si="131"/>
        <v>160.59730822358711</v>
      </c>
      <c r="AS211" s="168" t="str">
        <f t="shared" si="132"/>
        <v>1.79454985812886+5.89857577603897i</v>
      </c>
      <c r="AT211" s="190">
        <f t="shared" si="133"/>
        <v>15.799390619720086</v>
      </c>
      <c r="AU211" s="169">
        <f t="shared" si="134"/>
        <v>73.078433277426811</v>
      </c>
      <c r="AV211" s="225"/>
      <c r="AX211">
        <f t="shared" si="135"/>
        <v>0</v>
      </c>
      <c r="AY211">
        <f t="shared" si="136"/>
        <v>0</v>
      </c>
    </row>
    <row r="212" spans="14:51" x14ac:dyDescent="0.2">
      <c r="N212" s="170">
        <v>94</v>
      </c>
      <c r="O212" s="199">
        <f t="shared" si="137"/>
        <v>870.96358995608091</v>
      </c>
      <c r="P212" s="189" t="str">
        <f t="shared" si="138"/>
        <v>771.276595744681</v>
      </c>
      <c r="Q212" s="160" t="str">
        <f t="shared" si="139"/>
        <v>1+48.376242582464i</v>
      </c>
      <c r="R212" s="160">
        <f t="shared" ref="R212:R275" si="147">IMABS(Q212)</f>
        <v>48.386577130412974</v>
      </c>
      <c r="S212" s="160">
        <f t="shared" ref="S212:S275" si="148">IMARGUMENT(Q212)</f>
        <v>1.5501279666894772</v>
      </c>
      <c r="T212" s="160" t="str">
        <f t="shared" si="140"/>
        <v>1+0.000910611625081672i</v>
      </c>
      <c r="U212" s="160">
        <f t="shared" ref="U212:U275" si="149">IMABS(T212)</f>
        <v>1.0000004146066799</v>
      </c>
      <c r="V212" s="160">
        <f t="shared" ref="V212:V275" si="150">IMARGUMENT(T212)</f>
        <v>9.1061137338463677E-4</v>
      </c>
      <c r="W212" s="98" t="str">
        <f t="shared" si="141"/>
        <v>1-0.00372124942942029i</v>
      </c>
      <c r="X212" s="160">
        <f t="shared" ref="X212:X275" si="151">IMABS(W212)</f>
        <v>1.0000069238246883</v>
      </c>
      <c r="Y212" s="160">
        <f t="shared" ref="Y212:Y275" si="152">IMARGUMENT(W212)</f>
        <v>-3.7212322526510929E-3</v>
      </c>
      <c r="Z212" s="98" t="str">
        <f t="shared" si="142"/>
        <v>0.999696568969988-0.0254786959617496i</v>
      </c>
      <c r="AA212" s="160">
        <f t="shared" ref="AA212:AA275" si="153">IMABS(Z212)</f>
        <v>1.0000211967544874</v>
      </c>
      <c r="AB212" s="160">
        <f t="shared" ref="AB212:AB275" si="154">IMARGUMENT(Z212)</f>
        <v>-2.5480913179562109E-2</v>
      </c>
      <c r="AC212" s="171" t="str">
        <f t="shared" ref="AC212:AC275" si="155">(IMDIV(IMPRODUCT(P212,T212,W212),IMPRODUCT(Q212,Z212)))</f>
        <v>0.690587441505247-15.9246996927499i</v>
      </c>
      <c r="AD212" s="190">
        <f t="shared" ref="AD212:AD275" si="156">20*LOG(IMABS(AC212))</f>
        <v>24.049584665792025</v>
      </c>
      <c r="AE212" s="169">
        <f t="shared" ref="AE212:AE275" si="157">(180/PI())*IMARGUMENT(AC212)</f>
        <v>-87.516878127368031</v>
      </c>
      <c r="AF212" s="98" t="str">
        <f t="shared" si="143"/>
        <v>-0.0000119284294234592</v>
      </c>
      <c r="AG212" s="98" t="str">
        <f t="shared" si="144"/>
        <v>0.0000986842514128473i</v>
      </c>
      <c r="AH212" s="98">
        <f t="shared" ref="AH212:AH275" si="158">IMABS(AG212)</f>
        <v>9.8684251412847307E-5</v>
      </c>
      <c r="AI212" s="98">
        <f t="shared" ref="AI212:AI275" si="159">IMARGUMENT(AG212)</f>
        <v>1.5707963267948966</v>
      </c>
      <c r="AJ212" s="98" t="str">
        <f t="shared" si="145"/>
        <v>1+0.00540778709883757i</v>
      </c>
      <c r="AK212" s="98">
        <f t="shared" ref="AK212:AK275" si="160">IMABS(AJ212)</f>
        <v>1.000014621973752</v>
      </c>
      <c r="AL212" s="98">
        <f t="shared" ref="AL212:AL275" si="161">IMARGUMENT(AJ212)</f>
        <v>5.4077343843631116E-3</v>
      </c>
      <c r="AM212" s="98" t="str">
        <f t="shared" si="146"/>
        <v>1+2.95510984101024i</v>
      </c>
      <c r="AN212" s="98">
        <f t="shared" ref="AN212:AN275" si="162">IMABS(AM212)</f>
        <v>3.119723412810111</v>
      </c>
      <c r="AO212" s="98">
        <f t="shared" ref="AO212:AO275" si="163">IMARGUMENT(AM212)</f>
        <v>1.244495508864822</v>
      </c>
      <c r="AP212" s="168" t="str">
        <f t="shared" ref="AP212:AP275" si="164">IMPRODUCT(AF212,IMDIV(AM212,IMPRODUCT(AG212,AJ212)))</f>
        <v>-0.356533928481139+0.122802760989366i</v>
      </c>
      <c r="AQ212" s="98">
        <f t="shared" ref="AQ212:AQ275" si="165">20*LOG(IMABS(AP212))</f>
        <v>-8.4710968739198869</v>
      </c>
      <c r="AR212" s="169">
        <f t="shared" ref="AR212:AR275" si="166">(180/PI())*IMARGUMENT(AP212)</f>
        <v>160.99449992398814</v>
      </c>
      <c r="AS212" s="168" t="str">
        <f t="shared" ref="AS212:AS275" si="167">IMPRODUCT(AC212,AP212)</f>
        <v>1.70937923671659+5.76250178585994i</v>
      </c>
      <c r="AT212" s="190">
        <f t="shared" ref="AT212:AT275" si="168">20*LOG(IMABS(AS212))</f>
        <v>15.578487791872144</v>
      </c>
      <c r="AU212" s="169">
        <f t="shared" ref="AU212:AU275" si="169">(180/PI())*IMARGUMENT(AS212)</f>
        <v>73.47762179662017</v>
      </c>
      <c r="AV212" s="225"/>
      <c r="AX212">
        <f t="shared" ref="AX212:AX275" si="170">SUM((AT213&lt;0)*(AT212&gt;0))*O212</f>
        <v>0</v>
      </c>
      <c r="AY212">
        <f t="shared" ref="AY212:AY275" si="171">IF(AX212&gt;0,AU212,0)</f>
        <v>0</v>
      </c>
    </row>
    <row r="213" spans="14:51" x14ac:dyDescent="0.2">
      <c r="N213" s="170">
        <v>95</v>
      </c>
      <c r="O213" s="199">
        <f t="shared" si="137"/>
        <v>891.25093813374656</v>
      </c>
      <c r="P213" s="189" t="str">
        <f t="shared" si="138"/>
        <v>771.276595744681</v>
      </c>
      <c r="Q213" s="160" t="str">
        <f t="shared" si="139"/>
        <v>1+49.5030700275093i</v>
      </c>
      <c r="R213" s="160">
        <f t="shared" si="147"/>
        <v>49.513169380968634</v>
      </c>
      <c r="S213" s="160">
        <f t="shared" si="148"/>
        <v>1.5505983065696445</v>
      </c>
      <c r="T213" s="160" t="str">
        <f t="shared" si="140"/>
        <v>1+0.000931822494635466i</v>
      </c>
      <c r="U213" s="160">
        <f t="shared" si="149"/>
        <v>1.0000004341464865</v>
      </c>
      <c r="V213" s="160">
        <f t="shared" si="150"/>
        <v>9.3182222493723985E-4</v>
      </c>
      <c r="W213" s="98" t="str">
        <f t="shared" si="141"/>
        <v>1-0.00380792846365454i</v>
      </c>
      <c r="X213" s="160">
        <f t="shared" si="151"/>
        <v>1.0000072501333099</v>
      </c>
      <c r="Y213" s="160">
        <f t="shared" si="152"/>
        <v>-3.8079100584219507E-3</v>
      </c>
      <c r="Z213" s="98" t="str">
        <f t="shared" si="142"/>
        <v>0.99968226870611-0.0260721710301104i</v>
      </c>
      <c r="AA213" s="160">
        <f t="shared" si="153"/>
        <v>1.0000221979874337</v>
      </c>
      <c r="AB213" s="160">
        <f t="shared" si="154"/>
        <v>-2.6074546795257964E-2</v>
      </c>
      <c r="AC213" s="171" t="str">
        <f t="shared" si="155"/>
        <v>0.675773716058686-15.5623096043159i</v>
      </c>
      <c r="AD213" s="190">
        <f t="shared" si="156"/>
        <v>23.849662461110348</v>
      </c>
      <c r="AE213" s="169">
        <f t="shared" si="157"/>
        <v>-87.513564896856124</v>
      </c>
      <c r="AF213" s="98" t="str">
        <f t="shared" si="143"/>
        <v>-0.0000119284294234592</v>
      </c>
      <c r="AG213" s="98" t="str">
        <f t="shared" si="144"/>
        <v>0.000100982902919239i</v>
      </c>
      <c r="AH213" s="98">
        <f t="shared" si="158"/>
        <v>1.00982902919239E-4</v>
      </c>
      <c r="AI213" s="98">
        <f t="shared" si="159"/>
        <v>1.5707963267948966</v>
      </c>
      <c r="AJ213" s="98" t="str">
        <f t="shared" si="145"/>
        <v>1+0.00553375064198676i</v>
      </c>
      <c r="AK213" s="98">
        <f t="shared" si="160"/>
        <v>1.0000153110808692</v>
      </c>
      <c r="AL213" s="98">
        <f t="shared" si="161"/>
        <v>5.5336941574564208E-3</v>
      </c>
      <c r="AM213" s="98" t="str">
        <f t="shared" si="146"/>
        <v>1+3.02394319172567i</v>
      </c>
      <c r="AN213" s="98">
        <f t="shared" si="162"/>
        <v>3.1850011658999491</v>
      </c>
      <c r="AO213" s="98">
        <f t="shared" si="163"/>
        <v>1.2514230114533662</v>
      </c>
      <c r="AP213" s="168" t="str">
        <f t="shared" si="164"/>
        <v>-0.356533437108695+0.120096224426874i</v>
      </c>
      <c r="AQ213" s="98">
        <f t="shared" si="165"/>
        <v>-8.491232790733779</v>
      </c>
      <c r="AR213" s="169">
        <f t="shared" si="166"/>
        <v>161.38419962149115</v>
      </c>
      <c r="AS213" s="168" t="str">
        <f t="shared" si="167"/>
        <v>1.6280387011463+5.62964160444197i</v>
      </c>
      <c r="AT213" s="190">
        <f t="shared" si="168"/>
        <v>15.358429670376569</v>
      </c>
      <c r="AU213" s="169">
        <f t="shared" si="169"/>
        <v>73.870634724635039</v>
      </c>
      <c r="AV213" s="225"/>
      <c r="AX213">
        <f t="shared" si="170"/>
        <v>0</v>
      </c>
      <c r="AY213">
        <f t="shared" si="171"/>
        <v>0</v>
      </c>
    </row>
    <row r="214" spans="14:51" x14ac:dyDescent="0.2">
      <c r="N214" s="170">
        <v>96</v>
      </c>
      <c r="O214" s="199">
        <f t="shared" si="137"/>
        <v>912.01083935590987</v>
      </c>
      <c r="P214" s="189" t="str">
        <f t="shared" si="138"/>
        <v>771.276595744681</v>
      </c>
      <c r="Q214" s="160" t="str">
        <f t="shared" si="139"/>
        <v>1+50.6561446555336i</v>
      </c>
      <c r="R214" s="160">
        <f t="shared" si="147"/>
        <v>50.666014164944393</v>
      </c>
      <c r="S214" s="160">
        <f t="shared" si="148"/>
        <v>1.5510579488434904</v>
      </c>
      <c r="T214" s="160" t="str">
        <f t="shared" si="140"/>
        <v>1+0.000953527428810041i</v>
      </c>
      <c r="U214" s="160">
        <f t="shared" si="149"/>
        <v>1.0000004546071755</v>
      </c>
      <c r="V214" s="160">
        <f t="shared" si="150"/>
        <v>9.5352713982319222E-4</v>
      </c>
      <c r="W214" s="98" t="str">
        <f t="shared" si="141"/>
        <v>1-0.0038966265119641i</v>
      </c>
      <c r="X214" s="160">
        <f t="shared" si="151"/>
        <v>1.0000075918202689</v>
      </c>
      <c r="Y214" s="160">
        <f t="shared" si="152"/>
        <v>-3.8966067904101496E-3</v>
      </c>
      <c r="Z214" s="98" t="str">
        <f t="shared" si="142"/>
        <v>0.999667294491559-0.0266794699086572i</v>
      </c>
      <c r="AA214" s="160">
        <f t="shared" si="153"/>
        <v>1.0000232466251375</v>
      </c>
      <c r="AB214" s="160">
        <f t="shared" si="154"/>
        <v>-2.6682015557095998E-2</v>
      </c>
      <c r="AC214" s="171" t="str">
        <f t="shared" si="155"/>
        <v>0.66162618445823-15.2081439190935i</v>
      </c>
      <c r="AD214" s="190">
        <f t="shared" si="156"/>
        <v>23.649736230196417</v>
      </c>
      <c r="AE214" s="169">
        <f t="shared" si="157"/>
        <v>-87.508933411375821</v>
      </c>
      <c r="AF214" s="98" t="str">
        <f t="shared" si="143"/>
        <v>-0.0000119284294234592</v>
      </c>
      <c r="AG214" s="98" t="str">
        <f t="shared" si="144"/>
        <v>0.000103335096897425i</v>
      </c>
      <c r="AH214" s="98">
        <f t="shared" si="158"/>
        <v>1.0333509689742501E-4</v>
      </c>
      <c r="AI214" s="98">
        <f t="shared" si="159"/>
        <v>1.5707963267948966</v>
      </c>
      <c r="AJ214" s="98" t="str">
        <f t="shared" si="145"/>
        <v>1+0.00566264825297417i</v>
      </c>
      <c r="AK214" s="98">
        <f t="shared" si="160"/>
        <v>1.0000160326640952</v>
      </c>
      <c r="AL214" s="98">
        <f t="shared" si="161"/>
        <v>5.6625877287618722E-3</v>
      </c>
      <c r="AM214" s="98" t="str">
        <f t="shared" si="146"/>
        <v>1+3.09437987714797i</v>
      </c>
      <c r="AN214" s="98">
        <f t="shared" si="162"/>
        <v>3.2519512333517984</v>
      </c>
      <c r="AO214" s="98">
        <f t="shared" si="163"/>
        <v>1.2582236334936678</v>
      </c>
      <c r="AP214" s="168" t="str">
        <f t="shared" si="164"/>
        <v>-0.356532922580035+0.117453364215879i</v>
      </c>
      <c r="AQ214" s="98">
        <f t="shared" si="165"/>
        <v>-8.5105504864269914</v>
      </c>
      <c r="AR214" s="169">
        <f t="shared" si="166"/>
        <v>161.76646150482193</v>
      </c>
      <c r="AS214" s="168" t="str">
        <f t="shared" si="167"/>
        <v>1.55035614957642+5.49991421971013i</v>
      </c>
      <c r="AT214" s="190">
        <f t="shared" si="168"/>
        <v>15.139185743769426</v>
      </c>
      <c r="AU214" s="169">
        <f t="shared" si="169"/>
        <v>74.257528093446155</v>
      </c>
      <c r="AV214" s="225"/>
      <c r="AX214">
        <f t="shared" si="170"/>
        <v>0</v>
      </c>
      <c r="AY214">
        <f t="shared" si="171"/>
        <v>0</v>
      </c>
    </row>
    <row r="215" spans="14:51" x14ac:dyDescent="0.2">
      <c r="N215" s="170">
        <v>97</v>
      </c>
      <c r="O215" s="199">
        <f t="shared" si="137"/>
        <v>933.25430079699106</v>
      </c>
      <c r="P215" s="189" t="str">
        <f t="shared" si="138"/>
        <v>771.276595744681</v>
      </c>
      <c r="Q215" s="160" t="str">
        <f t="shared" si="139"/>
        <v>1+51.8360778419677i</v>
      </c>
      <c r="R215" s="160">
        <f t="shared" si="147"/>
        <v>51.84572273619623</v>
      </c>
      <c r="S215" s="160">
        <f t="shared" si="148"/>
        <v>1.5515071364421149</v>
      </c>
      <c r="T215" s="160" t="str">
        <f t="shared" si="140"/>
        <v>1+0.000975737935848801i</v>
      </c>
      <c r="U215" s="160">
        <f t="shared" si="149"/>
        <v>1.0000004760321464</v>
      </c>
      <c r="V215" s="160">
        <f t="shared" si="150"/>
        <v>9.7573762619382147E-4</v>
      </c>
      <c r="W215" s="98" t="str">
        <f t="shared" si="141"/>
        <v>1-0.00398739060322826i</v>
      </c>
      <c r="X215" s="160">
        <f t="shared" si="151"/>
        <v>1.0000079496103131</v>
      </c>
      <c r="Y215" s="160">
        <f t="shared" si="152"/>
        <v>-3.9873694712115456E-3</v>
      </c>
      <c r="Z215" s="98" t="str">
        <f t="shared" si="142"/>
        <v>0.999651614564018-0.0273009145952942i</v>
      </c>
      <c r="AA215" s="160">
        <f t="shared" si="153"/>
        <v>1.0000243449227562</v>
      </c>
      <c r="AB215" s="160">
        <f t="shared" si="154"/>
        <v>-2.7303642273324838E-2</v>
      </c>
      <c r="AC215" s="171" t="str">
        <f t="shared" si="155"/>
        <v>0.64811490968433-14.8620166496308i</v>
      </c>
      <c r="AD215" s="190">
        <f t="shared" si="156"/>
        <v>23.449806129054917</v>
      </c>
      <c r="AE215" s="169">
        <f t="shared" si="157"/>
        <v>-87.502981129131356</v>
      </c>
      <c r="AF215" s="98" t="str">
        <f t="shared" si="143"/>
        <v>-0.0000119284294234592</v>
      </c>
      <c r="AG215" s="98" t="str">
        <f t="shared" si="144"/>
        <v>0.000105742080511787i</v>
      </c>
      <c r="AH215" s="98">
        <f t="shared" si="158"/>
        <v>1.0574208051178699E-4</v>
      </c>
      <c r="AI215" s="98">
        <f t="shared" si="159"/>
        <v>1.5707963267948966</v>
      </c>
      <c r="AJ215" s="98" t="str">
        <f t="shared" si="145"/>
        <v>1+0.00579454827501932i</v>
      </c>
      <c r="AK215" s="98">
        <f t="shared" si="160"/>
        <v>1.000016788253933</v>
      </c>
      <c r="AL215" s="98">
        <f t="shared" si="161"/>
        <v>5.7944834222162095E-3</v>
      </c>
      <c r="AM215" s="98" t="str">
        <f t="shared" si="146"/>
        <v>1+3.1664572437401i</v>
      </c>
      <c r="AN215" s="98">
        <f t="shared" si="162"/>
        <v>3.3206101060549322</v>
      </c>
      <c r="AO215" s="98">
        <f t="shared" si="163"/>
        <v>1.2648984637558736</v>
      </c>
      <c r="AP215" s="168" t="str">
        <f t="shared" si="164"/>
        <v>-0.35653238380398+0.11487277905858i</v>
      </c>
      <c r="AQ215" s="98">
        <f t="shared" si="165"/>
        <v>-8.5290798277604303</v>
      </c>
      <c r="AR215" s="169">
        <f t="shared" si="166"/>
        <v>162.14134404124167</v>
      </c>
      <c r="AS215" s="168" t="str">
        <f t="shared" si="167"/>
        <v>1.47616720122932+5.37324098505205i</v>
      </c>
      <c r="AT215" s="190">
        <f t="shared" si="168"/>
        <v>14.920726301294492</v>
      </c>
      <c r="AU215" s="169">
        <f t="shared" si="169"/>
        <v>74.63836291211031</v>
      </c>
      <c r="AV215" s="225"/>
      <c r="AX215">
        <f t="shared" si="170"/>
        <v>0</v>
      </c>
      <c r="AY215">
        <f t="shared" si="171"/>
        <v>0</v>
      </c>
    </row>
    <row r="216" spans="14:51" x14ac:dyDescent="0.2">
      <c r="N216" s="170">
        <v>98</v>
      </c>
      <c r="O216" s="199">
        <f t="shared" si="137"/>
        <v>954.99258602143675</v>
      </c>
      <c r="P216" s="189" t="str">
        <f t="shared" si="138"/>
        <v>771.276595744681</v>
      </c>
      <c r="Q216" s="160" t="str">
        <f t="shared" si="139"/>
        <v>1+53.0434952030053i</v>
      </c>
      <c r="R216" s="160">
        <f t="shared" si="147"/>
        <v>53.052920592096022</v>
      </c>
      <c r="S216" s="160">
        <f t="shared" si="148"/>
        <v>1.5519461068052534</v>
      </c>
      <c r="T216" s="160" t="str">
        <f t="shared" si="140"/>
        <v>1+0.000998465792056568i</v>
      </c>
      <c r="U216" s="160">
        <f t="shared" si="149"/>
        <v>1.0000004984668447</v>
      </c>
      <c r="V216" s="160">
        <f t="shared" si="150"/>
        <v>9.9846546025528834E-4</v>
      </c>
      <c r="W216" s="98" t="str">
        <f t="shared" si="141"/>
        <v>1-0.00408026886176962i</v>
      </c>
      <c r="X216" s="160">
        <f t="shared" si="151"/>
        <v>1.0000083242623454</v>
      </c>
      <c r="Y216" s="160">
        <f t="shared" si="152"/>
        <v>-4.0802462184159321E-3</v>
      </c>
      <c r="Z216" s="98" t="str">
        <f t="shared" si="142"/>
        <v>0.999635195664258-0.0279368345882199i</v>
      </c>
      <c r="AA216" s="160">
        <f t="shared" si="153"/>
        <v>1.0000254952437608</v>
      </c>
      <c r="AB216" s="160">
        <f t="shared" si="154"/>
        <v>-2.7939757310394438E-2</v>
      </c>
      <c r="AC216" s="171" t="str">
        <f t="shared" si="155"/>
        <v>0.635211297987138-14.5237459507753i</v>
      </c>
      <c r="AD216" s="190">
        <f t="shared" si="156"/>
        <v>23.249872305473414</v>
      </c>
      <c r="AE216" s="169">
        <f t="shared" si="157"/>
        <v>-87.49570480802214</v>
      </c>
      <c r="AF216" s="98" t="str">
        <f t="shared" si="143"/>
        <v>-0.0000119284294234592</v>
      </c>
      <c r="AG216" s="98" t="str">
        <f t="shared" si="144"/>
        <v>0.000108205129976899i</v>
      </c>
      <c r="AH216" s="98">
        <f t="shared" si="158"/>
        <v>1.0820512997689901E-4</v>
      </c>
      <c r="AI216" s="98">
        <f t="shared" si="159"/>
        <v>1.5707963267948966</v>
      </c>
      <c r="AJ216" s="98" t="str">
        <f t="shared" si="145"/>
        <v>1+0.00592952064325981i</v>
      </c>
      <c r="AK216" s="98">
        <f t="shared" si="160"/>
        <v>1.0000175794530108</v>
      </c>
      <c r="AL216" s="98">
        <f t="shared" si="161"/>
        <v>5.929451152295255E-3</v>
      </c>
      <c r="AM216" s="98" t="str">
        <f t="shared" si="146"/>
        <v>1+3.24021350787588i</v>
      </c>
      <c r="AN216" s="98">
        <f t="shared" si="162"/>
        <v>3.3910151247998455</v>
      </c>
      <c r="AO216" s="98">
        <f t="shared" si="163"/>
        <v>1.2714486613980212</v>
      </c>
      <c r="AP216" s="168" t="str">
        <f t="shared" si="164"/>
        <v>-0.356531819637934+0.112353100674924i</v>
      </c>
      <c r="AQ216" s="98">
        <f t="shared" si="165"/>
        <v>-8.5468498692697121</v>
      </c>
      <c r="AR216" s="169">
        <f t="shared" si="166"/>
        <v>162.50890963980913</v>
      </c>
      <c r="AS216" s="168" t="str">
        <f t="shared" si="167"/>
        <v>1.40531485105855+5.24954553070159i</v>
      </c>
      <c r="AT216" s="190">
        <f t="shared" si="168"/>
        <v>14.703022436203701</v>
      </c>
      <c r="AU216" s="169">
        <f t="shared" si="169"/>
        <v>75.013204831786993</v>
      </c>
      <c r="AV216" s="225"/>
      <c r="AX216">
        <f t="shared" si="170"/>
        <v>0</v>
      </c>
      <c r="AY216">
        <f t="shared" si="171"/>
        <v>0</v>
      </c>
    </row>
    <row r="217" spans="14:51" x14ac:dyDescent="0.2">
      <c r="N217" s="170">
        <v>99</v>
      </c>
      <c r="O217" s="199">
        <f t="shared" si="137"/>
        <v>977.23722095581138</v>
      </c>
      <c r="P217" s="189" t="str">
        <f t="shared" si="138"/>
        <v>771.276595744681</v>
      </c>
      <c r="Q217" s="160" t="str">
        <f t="shared" si="139"/>
        <v>1+54.2790369273131i</v>
      </c>
      <c r="R217" s="160">
        <f t="shared" si="147"/>
        <v>54.288247805179893</v>
      </c>
      <c r="S217" s="160">
        <f t="shared" si="148"/>
        <v>1.5523750920037156</v>
      </c>
      <c r="T217" s="160" t="str">
        <f t="shared" si="140"/>
        <v>1+0.00102172304804354i</v>
      </c>
      <c r="U217" s="160">
        <f t="shared" si="149"/>
        <v>1.0000005219588572</v>
      </c>
      <c r="V217" s="160">
        <f t="shared" si="150"/>
        <v>1.0217226925120736E-3</v>
      </c>
      <c r="W217" s="98" t="str">
        <f t="shared" si="141"/>
        <v>1-0.00417531053287022i</v>
      </c>
      <c r="X217" s="160">
        <f t="shared" si="151"/>
        <v>1.0000087165710336</v>
      </c>
      <c r="Y217" s="160">
        <f t="shared" si="152"/>
        <v>-4.1752862700910305E-3</v>
      </c>
      <c r="Z217" s="98" t="str">
        <f t="shared" si="142"/>
        <v>0.999618002965591-0.0285875670606321i</v>
      </c>
      <c r="AA217" s="160">
        <f t="shared" si="153"/>
        <v>1.0000267000652345</v>
      </c>
      <c r="AB217" s="160">
        <f t="shared" si="154"/>
        <v>-2.8590698771796659E-2</v>
      </c>
      <c r="AC217" s="171" t="str">
        <f t="shared" si="155"/>
        <v>0.622888038790121-14.1931540312309i</v>
      </c>
      <c r="AD217" s="190">
        <f t="shared" si="156"/>
        <v>23.049934899331625</v>
      </c>
      <c r="AE217" s="169">
        <f t="shared" si="157"/>
        <v>-87.487100503513403</v>
      </c>
      <c r="AF217" s="98" t="str">
        <f t="shared" si="143"/>
        <v>-0.0000119284294234592</v>
      </c>
      <c r="AG217" s="98" t="str">
        <f t="shared" si="144"/>
        <v>0.000110725551234189i</v>
      </c>
      <c r="AH217" s="98">
        <f t="shared" si="158"/>
        <v>1.10725551234189E-4</v>
      </c>
      <c r="AI217" s="98">
        <f t="shared" si="159"/>
        <v>1.5707963267948966</v>
      </c>
      <c r="AJ217" s="98" t="str">
        <f t="shared" si="145"/>
        <v>1+0.00606763692183184i</v>
      </c>
      <c r="AK217" s="98">
        <f t="shared" si="160"/>
        <v>1.0000184079394816</v>
      </c>
      <c r="AL217" s="98">
        <f t="shared" si="161"/>
        <v>6.0675624609958078E-3</v>
      </c>
      <c r="AM217" s="98" t="str">
        <f t="shared" si="146"/>
        <v>1+3.31568777610283i</v>
      </c>
      <c r="AN217" s="98">
        <f t="shared" si="162"/>
        <v>3.4632045028553726</v>
      </c>
      <c r="AO217" s="98">
        <f t="shared" si="163"/>
        <v>1.2778754503180945</v>
      </c>
      <c r="AP217" s="168" t="str">
        <f t="shared" si="164"/>
        <v>-0.356531228885475+0.10989299307703i</v>
      </c>
      <c r="AQ217" s="98">
        <f t="shared" si="165"/>
        <v>-8.5638888527375556</v>
      </c>
      <c r="AR217" s="169">
        <f t="shared" si="166"/>
        <v>162.86922432565922</v>
      </c>
      <c r="AS217" s="168" t="str">
        <f t="shared" si="167"/>
        <v>1.33764913976737+5.12875367945011i</v>
      </c>
      <c r="AT217" s="190">
        <f t="shared" si="168"/>
        <v>14.486046046594064</v>
      </c>
      <c r="AU217" s="169">
        <f t="shared" si="169"/>
        <v>75.382123822145829</v>
      </c>
      <c r="AV217" s="225"/>
      <c r="AX217">
        <f t="shared" si="170"/>
        <v>0</v>
      </c>
      <c r="AY217">
        <f t="shared" si="171"/>
        <v>0</v>
      </c>
    </row>
    <row r="218" spans="14:51" x14ac:dyDescent="0.2">
      <c r="N218" s="170">
        <v>100</v>
      </c>
      <c r="O218" s="199">
        <f t="shared" si="137"/>
        <v>1000</v>
      </c>
      <c r="P218" s="189" t="str">
        <f t="shared" si="138"/>
        <v>771.276595744681</v>
      </c>
      <c r="Q218" s="160" t="str">
        <f t="shared" si="139"/>
        <v>1+55.5433581154678i</v>
      </c>
      <c r="R218" s="160">
        <f t="shared" si="147"/>
        <v>55.552359362524847</v>
      </c>
      <c r="S218" s="160">
        <f t="shared" si="148"/>
        <v>1.5527943188592068</v>
      </c>
      <c r="T218" s="160" t="str">
        <f t="shared" si="140"/>
        <v>1+0.00104552203511468i</v>
      </c>
      <c r="U218" s="160">
        <f t="shared" si="149"/>
        <v>1.0000005465580135</v>
      </c>
      <c r="V218" s="160">
        <f t="shared" si="150"/>
        <v>1.0455216541558612E-3</v>
      </c>
      <c r="W218" s="98" t="str">
        <f t="shared" si="141"/>
        <v>1-0.00427256600888211i</v>
      </c>
      <c r="X218" s="160">
        <f t="shared" si="151"/>
        <v>1.0000091273684957</v>
      </c>
      <c r="Y218" s="160">
        <f t="shared" si="152"/>
        <v>-4.2725400108586248E-3</v>
      </c>
      <c r="Z218" s="98" t="str">
        <f t="shared" si="142"/>
        <v>0.9996-0.0292534570395009i</v>
      </c>
      <c r="AA218" s="160">
        <f t="shared" si="153"/>
        <v>1.0000279619834449</v>
      </c>
      <c r="AB218" s="160">
        <f t="shared" si="154"/>
        <v>-2.9256812681268823E-2</v>
      </c>
      <c r="AC218" s="171" t="str">
        <f t="shared" si="155"/>
        <v>0.611119047266622-13.870067066734i</v>
      </c>
      <c r="AD218" s="190">
        <f t="shared" si="156"/>
        <v>22.849994042894089</v>
      </c>
      <c r="AE218" s="169">
        <f t="shared" si="157"/>
        <v>-87.477163566132745</v>
      </c>
      <c r="AF218" s="98" t="str">
        <f t="shared" si="143"/>
        <v>-0.0000119284294234592</v>
      </c>
      <c r="AG218" s="98" t="str">
        <f t="shared" si="144"/>
        <v>0.000113304680644369i</v>
      </c>
      <c r="AH218" s="98">
        <f t="shared" si="158"/>
        <v>1.13304680644369E-4</v>
      </c>
      <c r="AI218" s="98">
        <f t="shared" si="159"/>
        <v>1.5707963267948966</v>
      </c>
      <c r="AJ218" s="98" t="str">
        <f t="shared" si="145"/>
        <v>1+0.00620897034181448i</v>
      </c>
      <c r="AK218" s="98">
        <f t="shared" si="160"/>
        <v>1.0000192754705808</v>
      </c>
      <c r="AL218" s="98">
        <f t="shared" si="161"/>
        <v>6.2088905556742461E-3</v>
      </c>
      <c r="AM218" s="98" t="str">
        <f t="shared" si="146"/>
        <v>1+3.39292006587698i</v>
      </c>
      <c r="AN218" s="98">
        <f t="shared" si="162"/>
        <v>3.537217348910108</v>
      </c>
      <c r="AO218" s="98">
        <f t="shared" si="163"/>
        <v>1.2841801137065425</v>
      </c>
      <c r="AP218" s="168" t="str">
        <f t="shared" si="164"/>
        <v>-0.356530610293809+0.107491151860733i</v>
      </c>
      <c r="AQ218" s="98">
        <f t="shared" si="165"/>
        <v>-8.5802242089169116</v>
      </c>
      <c r="AR218" s="169">
        <f t="shared" si="166"/>
        <v>163.22235742571627</v>
      </c>
      <c r="AS218" s="168" t="str">
        <f t="shared" si="167"/>
        <v>1.27302683850472+5.01079336643346i</v>
      </c>
      <c r="AT218" s="190">
        <f t="shared" si="168"/>
        <v>14.269769833977183</v>
      </c>
      <c r="AU218" s="169">
        <f t="shared" si="169"/>
        <v>75.74519385958348</v>
      </c>
      <c r="AV218" s="225"/>
      <c r="AX218">
        <f t="shared" si="170"/>
        <v>0</v>
      </c>
      <c r="AY218">
        <f t="shared" si="171"/>
        <v>0</v>
      </c>
    </row>
    <row r="219" spans="14:51" x14ac:dyDescent="0.2">
      <c r="N219" s="170">
        <v>1</v>
      </c>
      <c r="O219" s="199">
        <f>10^(3+(N219/100))</f>
        <v>1023.2929922807547</v>
      </c>
      <c r="P219" s="189" t="str">
        <f t="shared" si="138"/>
        <v>771.276595744681</v>
      </c>
      <c r="Q219" s="160" t="str">
        <f t="shared" si="139"/>
        <v>1+56.8371291272985i</v>
      </c>
      <c r="R219" s="160">
        <f t="shared" si="147"/>
        <v>56.845925513032192</v>
      </c>
      <c r="S219" s="160">
        <f t="shared" si="148"/>
        <v>1.5532040090615797</v>
      </c>
      <c r="T219" s="160" t="str">
        <f t="shared" si="140"/>
        <v>1+0.00106987537180797i</v>
      </c>
      <c r="U219" s="160">
        <f t="shared" si="149"/>
        <v>1.0000005723164918</v>
      </c>
      <c r="V219" s="160">
        <f t="shared" si="150"/>
        <v>1.0698749636032538E-3</v>
      </c>
      <c r="W219" s="98" t="str">
        <f t="shared" si="141"/>
        <v>1-0.00437208685594602i</v>
      </c>
      <c r="X219" s="160">
        <f t="shared" si="151"/>
        <v>1.0000095575260648</v>
      </c>
      <c r="Y219" s="160">
        <f t="shared" si="152"/>
        <v>-4.3720589985763369E-3</v>
      </c>
      <c r="Z219" s="98" t="str">
        <f t="shared" si="142"/>
        <v>0.99958114858078-0.0299348575885073i</v>
      </c>
      <c r="AA219" s="160">
        <f t="shared" si="153"/>
        <v>1.0000292837196896</v>
      </c>
      <c r="AB219" s="160">
        <f t="shared" si="154"/>
        <v>-2.9938453170479221E-2</v>
      </c>
      <c r="AC219" s="171" t="str">
        <f t="shared" si="155"/>
        <v>0.599879409471965-13.5543151148369i</v>
      </c>
      <c r="AD219" s="190">
        <f t="shared" si="156"/>
        <v>22.65004986108622</v>
      </c>
      <c r="AE219" s="169">
        <f t="shared" si="157"/>
        <v>-87.465888638588709</v>
      </c>
      <c r="AF219" s="98" t="str">
        <f t="shared" si="143"/>
        <v>-0.0000119284294234592</v>
      </c>
      <c r="AG219" s="98" t="str">
        <f t="shared" si="144"/>
        <v>0.000115943885695992i</v>
      </c>
      <c r="AH219" s="98">
        <f t="shared" si="158"/>
        <v>1.15943885695992E-4</v>
      </c>
      <c r="AI219" s="98">
        <f t="shared" si="159"/>
        <v>1.5707963267948966</v>
      </c>
      <c r="AJ219" s="98" t="str">
        <f t="shared" si="145"/>
        <v>1+0.00635359584005779i</v>
      </c>
      <c r="AK219" s="98">
        <f t="shared" si="160"/>
        <v>1.0000201838863547</v>
      </c>
      <c r="AL219" s="98">
        <f t="shared" si="161"/>
        <v>6.3535103477614322E-3</v>
      </c>
      <c r="AM219" s="98" t="str">
        <f t="shared" si="146"/>
        <v>1+3.47195132678067i</v>
      </c>
      <c r="AN219" s="98">
        <f t="shared" si="162"/>
        <v>3.6130936903897264</v>
      </c>
      <c r="AO219" s="98">
        <f t="shared" si="163"/>
        <v>1.2903639888048573</v>
      </c>
      <c r="AP219" s="168" t="str">
        <f t="shared" si="164"/>
        <v>-0.356529962551116+0.10514630351386i</v>
      </c>
      <c r="AQ219" s="98">
        <f t="shared" si="165"/>
        <v>-8.5958825613143635</v>
      </c>
      <c r="AR219" s="169">
        <f t="shared" si="166"/>
        <v>163.56838126616515</v>
      </c>
      <c r="AS219" s="168" t="str">
        <f t="shared" si="167"/>
        <v>1.21131114759292+4.89559456275888i</v>
      </c>
      <c r="AT219" s="190">
        <f t="shared" si="168"/>
        <v>14.05416729977186</v>
      </c>
      <c r="AU219" s="169">
        <f t="shared" si="169"/>
        <v>76.102492627576396</v>
      </c>
      <c r="AV219" s="225"/>
      <c r="AX219">
        <f t="shared" si="170"/>
        <v>0</v>
      </c>
      <c r="AY219">
        <f t="shared" si="171"/>
        <v>0</v>
      </c>
    </row>
    <row r="220" spans="14:51" x14ac:dyDescent="0.2">
      <c r="N220" s="170">
        <v>2</v>
      </c>
      <c r="O220" s="199">
        <f t="shared" ref="O220:O283" si="172">10^(3+(N220/100))</f>
        <v>1047.1285480509</v>
      </c>
      <c r="P220" s="189" t="str">
        <f t="shared" si="138"/>
        <v>771.276595744681</v>
      </c>
      <c r="Q220" s="160" t="str">
        <f t="shared" si="139"/>
        <v>1+58.1610359373209i</v>
      </c>
      <c r="R220" s="160">
        <f t="shared" si="147"/>
        <v>58.169632122803847</v>
      </c>
      <c r="S220" s="160">
        <f t="shared" si="148"/>
        <v>1.5536043792835679</v>
      </c>
      <c r="T220" s="160" t="str">
        <f t="shared" si="140"/>
        <v>1+0.00109479597058486i</v>
      </c>
      <c r="U220" s="160">
        <f t="shared" si="149"/>
        <v>1.0000005992889289</v>
      </c>
      <c r="V220" s="160">
        <f t="shared" si="150"/>
        <v>1.0947955331856404E-3</v>
      </c>
      <c r="W220" s="98" t="str">
        <f t="shared" si="141"/>
        <v>1-0.00447392584133236i</v>
      </c>
      <c r="X220" s="160">
        <f t="shared" si="151"/>
        <v>1.0000100079561374</v>
      </c>
      <c r="Y220" s="160">
        <f t="shared" si="152"/>
        <v>-4.4738959916390863E-3</v>
      </c>
      <c r="Z220" s="98" t="str">
        <f t="shared" si="142"/>
        <v>0.999561408721543-0.0306321299952419i</v>
      </c>
      <c r="AA220" s="160">
        <f t="shared" si="153"/>
        <v>1.0000306681264535</v>
      </c>
      <c r="AB220" s="160">
        <f t="shared" si="154"/>
        <v>-3.0635982671310926E-2</v>
      </c>
      <c r="AC220" s="171" t="str">
        <f t="shared" si="155"/>
        <v>0.589145329918523-13.2457320312876i</v>
      </c>
      <c r="AD220" s="190">
        <f t="shared" si="156"/>
        <v>22.450102471755148</v>
      </c>
      <c r="AE220" s="169">
        <f t="shared" si="157"/>
        <v>-87.453269652508496</v>
      </c>
      <c r="AF220" s="98" t="str">
        <f t="shared" si="143"/>
        <v>-0.0000119284294234592</v>
      </c>
      <c r="AG220" s="98" t="str">
        <f t="shared" si="144"/>
        <v>0.00011864456573051i</v>
      </c>
      <c r="AH220" s="98">
        <f t="shared" si="158"/>
        <v>1.1864456573051E-4</v>
      </c>
      <c r="AI220" s="98">
        <f t="shared" si="159"/>
        <v>1.5707963267948966</v>
      </c>
      <c r="AJ220" s="98" t="str">
        <f t="shared" si="145"/>
        <v>1+0.00650159009891529i</v>
      </c>
      <c r="AK220" s="98">
        <f t="shared" si="160"/>
        <v>1.0000211351135606</v>
      </c>
      <c r="AL220" s="98">
        <f t="shared" si="161"/>
        <v>6.5014984923738592E-3</v>
      </c>
      <c r="AM220" s="98" t="str">
        <f t="shared" si="146"/>
        <v>1+3.55282346223453i</v>
      </c>
      <c r="AN220" s="98">
        <f t="shared" si="162"/>
        <v>3.6908744971624481</v>
      </c>
      <c r="AO220" s="98">
        <f t="shared" si="163"/>
        <v>1.2964284618741411</v>
      </c>
      <c r="AP220" s="168" t="str">
        <f t="shared" si="164"/>
        <v>-0.356529284283773+0.102857204740885i</v>
      </c>
      <c r="AQ220" s="98">
        <f t="shared" si="165"/>
        <v>-8.6108897318504471</v>
      </c>
      <c r="AR220" s="169">
        <f t="shared" si="166"/>
        <v>163.90737088190158</v>
      </c>
      <c r="AS220" s="168" t="str">
        <f t="shared" si="167"/>
        <v>1.15237140867007+4.78308920275118i</v>
      </c>
      <c r="AT220" s="190">
        <f t="shared" si="168"/>
        <v>13.839212739904701</v>
      </c>
      <c r="AU220" s="169">
        <f t="shared" si="169"/>
        <v>76.454101229393075</v>
      </c>
      <c r="AV220" s="225"/>
      <c r="AX220">
        <f t="shared" si="170"/>
        <v>0</v>
      </c>
      <c r="AY220">
        <f t="shared" si="171"/>
        <v>0</v>
      </c>
    </row>
    <row r="221" spans="14:51" x14ac:dyDescent="0.2">
      <c r="N221" s="170">
        <v>3</v>
      </c>
      <c r="O221" s="199">
        <f t="shared" si="172"/>
        <v>1071.5193052376069</v>
      </c>
      <c r="P221" s="189" t="str">
        <f t="shared" si="138"/>
        <v>771.276595744681</v>
      </c>
      <c r="Q221" s="160" t="str">
        <f t="shared" si="139"/>
        <v>1+59.5157804984496i</v>
      </c>
      <c r="R221" s="160">
        <f t="shared" si="147"/>
        <v>59.524181038798289</v>
      </c>
      <c r="S221" s="160">
        <f t="shared" si="148"/>
        <v>1.5539956412930451</v>
      </c>
      <c r="T221" s="160" t="str">
        <f t="shared" si="140"/>
        <v>1+0.00112029704467669i</v>
      </c>
      <c r="U221" s="160">
        <f t="shared" si="149"/>
        <v>1.0000006275325373</v>
      </c>
      <c r="V221" s="160">
        <f t="shared" si="150"/>
        <v>1.120296575994998E-3</v>
      </c>
      <c r="W221" s="98" t="str">
        <f t="shared" si="141"/>
        <v>1-0.00457813696141918i</v>
      </c>
      <c r="X221" s="160">
        <f t="shared" si="151"/>
        <v>1.0000104796141076</v>
      </c>
      <c r="Y221" s="160">
        <f t="shared" si="152"/>
        <v>-4.5781049769146849E-3</v>
      </c>
      <c r="Z221" s="98" t="str">
        <f t="shared" si="142"/>
        <v>0.999540738551401-0.0313456439627641i</v>
      </c>
      <c r="AA221" s="160">
        <f t="shared" si="153"/>
        <v>1.0000321181938712</v>
      </c>
      <c r="AB221" s="160">
        <f t="shared" si="154"/>
        <v>-3.1349772112868983E-2</v>
      </c>
      <c r="AC221" s="171" t="str">
        <f t="shared" si="155"/>
        <v>0.578894081486177-12.9441553879904i</v>
      </c>
      <c r="AD221" s="190">
        <f t="shared" si="156"/>
        <v>22.250151985914655</v>
      </c>
      <c r="AE221" s="169">
        <f t="shared" si="157"/>
        <v>-87.439299824790538</v>
      </c>
      <c r="AF221" s="98" t="str">
        <f t="shared" si="143"/>
        <v>-0.0000119284294234592</v>
      </c>
      <c r="AG221" s="98" t="str">
        <f t="shared" si="144"/>
        <v>0.000121408152684224i</v>
      </c>
      <c r="AH221" s="98">
        <f t="shared" si="158"/>
        <v>1.21408152684224E-4</v>
      </c>
      <c r="AI221" s="98">
        <f t="shared" si="159"/>
        <v>1.5707963267948966</v>
      </c>
      <c r="AJ221" s="98" t="str">
        <f t="shared" si="145"/>
        <v>1+0.00665303158690195i</v>
      </c>
      <c r="AK221" s="98">
        <f t="shared" si="160"/>
        <v>1.0000221311697537</v>
      </c>
      <c r="AL221" s="98">
        <f t="shared" si="161"/>
        <v>6.6529334288416443E-3</v>
      </c>
      <c r="AM221" s="98" t="str">
        <f t="shared" si="146"/>
        <v>1+3.63557935171524i</v>
      </c>
      <c r="AN221" s="98">
        <f t="shared" si="162"/>
        <v>3.7706017056456922</v>
      </c>
      <c r="AO221" s="98">
        <f t="shared" si="163"/>
        <v>1.302374963376103</v>
      </c>
      <c r="AP221" s="168" t="str">
        <f t="shared" si="164"/>
        <v>-0.356528574053442+0.100622641803592i</v>
      </c>
      <c r="AQ221" s="98">
        <f t="shared" si="165"/>
        <v>-8.6252707482209097</v>
      </c>
      <c r="AR221" s="169">
        <f t="shared" si="166"/>
        <v>164.23940373810174</v>
      </c>
      <c r="AS221" s="168" t="str">
        <f t="shared" si="167"/>
        <v>1.09608282965555+4.67321111461i</v>
      </c>
      <c r="AT221" s="190">
        <f t="shared" si="168"/>
        <v>13.624881237693749</v>
      </c>
      <c r="AU221" s="169">
        <f t="shared" si="169"/>
        <v>76.800103913311219</v>
      </c>
      <c r="AV221" s="225"/>
      <c r="AX221">
        <f t="shared" si="170"/>
        <v>0</v>
      </c>
      <c r="AY221">
        <f t="shared" si="171"/>
        <v>0</v>
      </c>
    </row>
    <row r="222" spans="14:51" x14ac:dyDescent="0.2">
      <c r="N222" s="170">
        <v>4</v>
      </c>
      <c r="O222" s="199">
        <f t="shared" si="172"/>
        <v>1096.4781961431863</v>
      </c>
      <c r="P222" s="189" t="str">
        <f t="shared" si="138"/>
        <v>771.276595744681</v>
      </c>
      <c r="Q222" s="160" t="str">
        <f t="shared" si="139"/>
        <v>1+60.902081114183i</v>
      </c>
      <c r="R222" s="160">
        <f t="shared" si="147"/>
        <v>60.910290460960084</v>
      </c>
      <c r="S222" s="160">
        <f t="shared" si="148"/>
        <v>1.554378002062859</v>
      </c>
      <c r="T222" s="160" t="str">
        <f t="shared" si="140"/>
        <v>1+0.0011463921150905i</v>
      </c>
      <c r="U222" s="160">
        <f t="shared" si="149"/>
        <v>1.0000006571072249</v>
      </c>
      <c r="V222" s="160">
        <f t="shared" si="150"/>
        <v>1.1463916128890369E-3</v>
      </c>
      <c r="W222" s="98" t="str">
        <f t="shared" si="141"/>
        <v>1-0.00468477547032175i</v>
      </c>
      <c r="X222" s="160">
        <f t="shared" si="151"/>
        <v>1.0000109735003948</v>
      </c>
      <c r="Y222" s="160">
        <f t="shared" si="152"/>
        <v>-4.684741198328026E-3</v>
      </c>
      <c r="Z222" s="98" t="str">
        <f t="shared" si="142"/>
        <v>0.999519094226153-0.0320757778056241i</v>
      </c>
      <c r="AA222" s="160">
        <f t="shared" si="153"/>
        <v>1.0000336370565268</v>
      </c>
      <c r="AB222" s="160">
        <f t="shared" si="154"/>
        <v>-3.208020112333889E-2</v>
      </c>
      <c r="AC222" s="171" t="str">
        <f t="shared" si="155"/>
        <v>0.569103957565112-12.6494263925347i</v>
      </c>
      <c r="AD222" s="190">
        <f t="shared" si="156"/>
        <v>22.050198507976067</v>
      </c>
      <c r="AE222" s="169">
        <f t="shared" si="157"/>
        <v>-87.423971653568344</v>
      </c>
      <c r="AF222" s="98" t="str">
        <f t="shared" si="143"/>
        <v>-0.0000119284294234592</v>
      </c>
      <c r="AG222" s="98" t="str">
        <f t="shared" si="144"/>
        <v>0.000124236111847518i</v>
      </c>
      <c r="AH222" s="98">
        <f t="shared" si="158"/>
        <v>1.2423611184751799E-4</v>
      </c>
      <c r="AI222" s="98">
        <f t="shared" si="159"/>
        <v>1.5707963267948966</v>
      </c>
      <c r="AJ222" s="98" t="str">
        <f t="shared" si="145"/>
        <v>1+0.00680800060029928i</v>
      </c>
      <c r="AK222" s="98">
        <f t="shared" si="160"/>
        <v>1.0000231741675658</v>
      </c>
      <c r="AL222" s="98">
        <f t="shared" si="161"/>
        <v>6.8078954221743359E-3</v>
      </c>
      <c r="AM222" s="98" t="str">
        <f t="shared" si="146"/>
        <v>1+3.72026287349081i</v>
      </c>
      <c r="AN222" s="98">
        <f t="shared" si="162"/>
        <v>3.8523182433275291</v>
      </c>
      <c r="AO222" s="98">
        <f t="shared" si="163"/>
        <v>1.3082049633675552</v>
      </c>
      <c r="AP222" s="168" t="str">
        <f t="shared" si="164"/>
        <v>-0.356527830354019+0.0984414298774017i</v>
      </c>
      <c r="AQ222" s="98">
        <f t="shared" si="165"/>
        <v>-8.6390498527900839</v>
      </c>
      <c r="AR222" s="169">
        <f t="shared" si="166"/>
        <v>164.56455946397037</v>
      </c>
      <c r="AS222" s="168" t="str">
        <f t="shared" si="167"/>
        <v>1.04232622197348+4.56589595428486i</v>
      </c>
      <c r="AT222" s="190">
        <f t="shared" si="168"/>
        <v>13.411148655185983</v>
      </c>
      <c r="AU222" s="169">
        <f t="shared" si="169"/>
        <v>77.140587810402053</v>
      </c>
      <c r="AV222" s="225"/>
      <c r="AX222">
        <f t="shared" si="170"/>
        <v>0</v>
      </c>
      <c r="AY222">
        <f t="shared" si="171"/>
        <v>0</v>
      </c>
    </row>
    <row r="223" spans="14:51" x14ac:dyDescent="0.2">
      <c r="N223" s="170">
        <v>5</v>
      </c>
      <c r="O223" s="199">
        <f t="shared" si="172"/>
        <v>1122.0184543019636</v>
      </c>
      <c r="P223" s="189" t="str">
        <f t="shared" si="138"/>
        <v>771.276595744681</v>
      </c>
      <c r="Q223" s="160" t="str">
        <f t="shared" si="139"/>
        <v>1+62.3206728194575i</v>
      </c>
      <c r="R223" s="160">
        <f t="shared" si="147"/>
        <v>62.328695323020114</v>
      </c>
      <c r="S223" s="160">
        <f t="shared" si="148"/>
        <v>1.5547516638782859</v>
      </c>
      <c r="T223" s="160" t="str">
        <f t="shared" si="140"/>
        <v>1+0.00117309501777802i</v>
      </c>
      <c r="U223" s="160">
        <f t="shared" si="149"/>
        <v>1.0000006880757235</v>
      </c>
      <c r="V223" s="160">
        <f t="shared" si="150"/>
        <v>1.173094479659477E-3</v>
      </c>
      <c r="W223" s="98" t="str">
        <f t="shared" si="141"/>
        <v>1-0.00479389790918902i</v>
      </c>
      <c r="X223" s="160">
        <f t="shared" si="151"/>
        <v>1.0000114906625641</v>
      </c>
      <c r="Y223" s="160">
        <f t="shared" si="152"/>
        <v>-4.793861186108906E-3</v>
      </c>
      <c r="Z223" s="98" t="str">
        <f t="shared" si="142"/>
        <v>0.999496429835282-0.0328229186504497i</v>
      </c>
      <c r="AA223" s="160">
        <f t="shared" si="153"/>
        <v>1.0000352280005984</v>
      </c>
      <c r="AB223" s="160">
        <f t="shared" si="154"/>
        <v>-3.2827658236826013E-2</v>
      </c>
      <c r="AC223" s="171" t="str">
        <f t="shared" si="155"/>
        <v>0.559754226332461-12.361389809274i</v>
      </c>
      <c r="AD223" s="190">
        <f t="shared" si="156"/>
        <v>21.85024213596424</v>
      </c>
      <c r="AE223" s="169">
        <f t="shared" si="157"/>
        <v>-87.407276913781175</v>
      </c>
      <c r="AF223" s="98" t="str">
        <f t="shared" si="143"/>
        <v>-0.0000119284294234592</v>
      </c>
      <c r="AG223" s="98" t="str">
        <f t="shared" si="144"/>
        <v>0.000127129942641773i</v>
      </c>
      <c r="AH223" s="98">
        <f t="shared" si="158"/>
        <v>1.2712994264177301E-4</v>
      </c>
      <c r="AI223" s="98">
        <f t="shared" si="159"/>
        <v>1.5707963267948966</v>
      </c>
      <c r="AJ223" s="98" t="str">
        <f t="shared" si="145"/>
        <v>1+0.00696657930572942i</v>
      </c>
      <c r="AK223" s="98">
        <f t="shared" si="160"/>
        <v>1.0000242663191845</v>
      </c>
      <c r="AL223" s="98">
        <f t="shared" si="161"/>
        <v>6.9664666054857546E-3</v>
      </c>
      <c r="AM223" s="98" t="str">
        <f t="shared" si="146"/>
        <v>1+3.80691892788541i</v>
      </c>
      <c r="AN223" s="98">
        <f t="shared" si="162"/>
        <v>3.9360680537170851</v>
      </c>
      <c r="AO223" s="98">
        <f t="shared" si="163"/>
        <v>1.3139199671082533</v>
      </c>
      <c r="AP223" s="168" t="str">
        <f t="shared" si="164"/>
        <v>-0.356527051608448+0.0963124124230218i</v>
      </c>
      <c r="AQ223" s="98">
        <f t="shared" si="165"/>
        <v>-8.6522505128555434</v>
      </c>
      <c r="AR223" s="169">
        <f t="shared" si="166"/>
        <v>164.88291959865768</v>
      </c>
      <c r="AS223" s="168" t="str">
        <f t="shared" si="167"/>
        <v>0.990987749492856+4.46108114238524i</v>
      </c>
      <c r="AT223" s="190">
        <f t="shared" si="168"/>
        <v>13.197991623108706</v>
      </c>
      <c r="AU223" s="169">
        <f t="shared" si="169"/>
        <v>77.475642684876519</v>
      </c>
      <c r="AV223" s="225"/>
      <c r="AX223">
        <f t="shared" si="170"/>
        <v>0</v>
      </c>
      <c r="AY223">
        <f t="shared" si="171"/>
        <v>0</v>
      </c>
    </row>
    <row r="224" spans="14:51" x14ac:dyDescent="0.2">
      <c r="N224" s="170">
        <v>6</v>
      </c>
      <c r="O224" s="199">
        <f t="shared" si="172"/>
        <v>1148.1536214968839</v>
      </c>
      <c r="P224" s="189" t="str">
        <f t="shared" si="138"/>
        <v>771.276595744681</v>
      </c>
      <c r="Q224" s="160" t="str">
        <f t="shared" si="139"/>
        <v>1+63.7723077703726i</v>
      </c>
      <c r="R224" s="160">
        <f t="shared" si="147"/>
        <v>63.78014768216773</v>
      </c>
      <c r="S224" s="160">
        <f t="shared" si="148"/>
        <v>1.5551168244421523</v>
      </c>
      <c r="T224" s="160" t="str">
        <f t="shared" si="140"/>
        <v>1+0.00120041991097172i</v>
      </c>
      <c r="U224" s="160">
        <f t="shared" si="149"/>
        <v>1.0000007205037218</v>
      </c>
      <c r="V224" s="160">
        <f t="shared" si="150"/>
        <v>1.2004193343673351E-3</v>
      </c>
      <c r="W224" s="98" t="str">
        <f t="shared" si="141"/>
        <v>1-0.00490556213618248i</v>
      </c>
      <c r="X224" s="160">
        <f t="shared" si="151"/>
        <v>1.000012032197549</v>
      </c>
      <c r="Y224" s="160">
        <f t="shared" si="152"/>
        <v>-4.9055227867187612E-3</v>
      </c>
      <c r="Z224" s="98" t="str">
        <f t="shared" si="142"/>
        <v>0.999472697304577-0.0335874626412064i</v>
      </c>
      <c r="AA224" s="160">
        <f t="shared" si="153"/>
        <v>1.0000368944713796</v>
      </c>
      <c r="AB224" s="160">
        <f t="shared" si="154"/>
        <v>-3.3592541105313962E-2</v>
      </c>
      <c r="AC224" s="171" t="str">
        <f t="shared" si="155"/>
        <v>0.550825087068436-12.0798938819399i</v>
      </c>
      <c r="AD224" s="190">
        <f t="shared" si="156"/>
        <v>21.650282961720105</v>
      </c>
      <c r="AE224" s="169">
        <f t="shared" si="157"/>
        <v>-87.38920665234717</v>
      </c>
      <c r="AF224" s="98" t="str">
        <f t="shared" si="143"/>
        <v>-0.0000119284294234592</v>
      </c>
      <c r="AG224" s="98" t="str">
        <f t="shared" si="144"/>
        <v>0.000130091179414381i</v>
      </c>
      <c r="AH224" s="98">
        <f t="shared" si="158"/>
        <v>1.3009117941438099E-4</v>
      </c>
      <c r="AI224" s="98">
        <f t="shared" si="159"/>
        <v>1.5707963267948966</v>
      </c>
      <c r="AJ224" s="98" t="str">
        <f t="shared" si="145"/>
        <v>1+0.00712885178372103i</v>
      </c>
      <c r="AK224" s="98">
        <f t="shared" si="160"/>
        <v>1.0000254099410446</v>
      </c>
      <c r="AL224" s="98">
        <f t="shared" si="161"/>
        <v>7.1287310233999609E-3</v>
      </c>
      <c r="AM224" s="98" t="str">
        <f t="shared" si="146"/>
        <v>1+3.8955934610861i</v>
      </c>
      <c r="AN224" s="98">
        <f t="shared" si="162"/>
        <v>4.0218961217386981</v>
      </c>
      <c r="AO224" s="98">
        <f t="shared" si="163"/>
        <v>1.3195215108808447</v>
      </c>
      <c r="AP224" s="168" t="str">
        <f t="shared" si="164"/>
        <v>-0.356526236165374+0.0942344605730809i</v>
      </c>
      <c r="AQ224" s="98">
        <f t="shared" si="165"/>
        <v>-8.6648954321320062</v>
      </c>
      <c r="AR224" s="169">
        <f t="shared" si="166"/>
        <v>165.19456734927334</v>
      </c>
      <c r="AS224" s="168" t="str">
        <f t="shared" si="167"/>
        <v>0.941958688666693+4.35870580395518i</v>
      </c>
      <c r="AT224" s="190">
        <f t="shared" si="168"/>
        <v>12.985387529588106</v>
      </c>
      <c r="AU224" s="169">
        <f t="shared" si="169"/>
        <v>77.805360696926201</v>
      </c>
      <c r="AV224" s="225"/>
      <c r="AX224">
        <f t="shared" si="170"/>
        <v>0</v>
      </c>
      <c r="AY224">
        <f t="shared" si="171"/>
        <v>0</v>
      </c>
    </row>
    <row r="225" spans="14:51" x14ac:dyDescent="0.2">
      <c r="N225" s="170">
        <v>7</v>
      </c>
      <c r="O225" s="199">
        <f t="shared" si="172"/>
        <v>1174.8975549395295</v>
      </c>
      <c r="P225" s="189" t="str">
        <f t="shared" si="138"/>
        <v>771.276595744681</v>
      </c>
      <c r="Q225" s="160" t="str">
        <f t="shared" si="139"/>
        <v>1+65.2577556429937i</v>
      </c>
      <c r="R225" s="160">
        <f t="shared" si="147"/>
        <v>65.26541711780196</v>
      </c>
      <c r="S225" s="160">
        <f t="shared" si="148"/>
        <v>1.555473676977668</v>
      </c>
      <c r="T225" s="160" t="str">
        <f t="shared" si="140"/>
        <v>1+0.00122838128269164i</v>
      </c>
      <c r="U225" s="160">
        <f t="shared" si="149"/>
        <v>1.0000007544600031</v>
      </c>
      <c r="V225" s="160">
        <f t="shared" si="150"/>
        <v>1.2283806648489353E-3</v>
      </c>
      <c r="W225" s="98" t="str">
        <f t="shared" si="141"/>
        <v>1-0.00501982735715334i</v>
      </c>
      <c r="X225" s="160">
        <f t="shared" si="151"/>
        <v>1.0000125992539772</v>
      </c>
      <c r="Y225" s="160">
        <f t="shared" si="152"/>
        <v>-5.0197851934720055E-3</v>
      </c>
      <c r="Z225" s="98" t="str">
        <f t="shared" si="142"/>
        <v>0.999447846294159-0.0343698151492381i</v>
      </c>
      <c r="AA225" s="160">
        <f t="shared" si="153"/>
        <v>1.0000386400811847</v>
      </c>
      <c r="AB225" s="160">
        <f t="shared" si="154"/>
        <v>-3.4375256715881153E-2</v>
      </c>
      <c r="AC225" s="171" t="str">
        <f t="shared" si="155"/>
        <v>0.542297628421851-11.8047902577722i</v>
      </c>
      <c r="AD225" s="190">
        <f t="shared" si="156"/>
        <v>21.450321071089327</v>
      </c>
      <c r="AE225" s="169">
        <f t="shared" si="157"/>
        <v>-87.369751182934067</v>
      </c>
      <c r="AF225" s="98" t="str">
        <f t="shared" si="143"/>
        <v>-0.0000119284294234592</v>
      </c>
      <c r="AG225" s="98" t="str">
        <f t="shared" si="144"/>
        <v>0.000133121392252274i</v>
      </c>
      <c r="AH225" s="98">
        <f t="shared" si="158"/>
        <v>1.33121392252274E-4</v>
      </c>
      <c r="AI225" s="98">
        <f t="shared" si="159"/>
        <v>1.5707963267948966</v>
      </c>
      <c r="AJ225" s="98" t="str">
        <f t="shared" si="145"/>
        <v>1+0.00729490407328988i</v>
      </c>
      <c r="AK225" s="98">
        <f t="shared" si="160"/>
        <v>1.0000266074587407</v>
      </c>
      <c r="AL225" s="98">
        <f t="shared" si="161"/>
        <v>7.2947746764604896E-3</v>
      </c>
      <c r="AM225" s="98" t="str">
        <f t="shared" si="146"/>
        <v>1+3.98633348950413i</v>
      </c>
      <c r="AN225" s="98">
        <f t="shared" si="162"/>
        <v>4.1098484995851337</v>
      </c>
      <c r="AO225" s="98">
        <f t="shared" si="163"/>
        <v>1.32501115802072</v>
      </c>
      <c r="AP225" s="168" t="str">
        <f t="shared" si="164"/>
        <v>-0.356525382295651+0.0922064725334283i</v>
      </c>
      <c r="AQ225" s="98">
        <f t="shared" si="165"/>
        <v>-8.6770065633099343</v>
      </c>
      <c r="AR225" s="169">
        <f t="shared" si="166"/>
        <v>165.49958736086896</v>
      </c>
      <c r="AS225" s="168" t="str">
        <f t="shared" si="167"/>
        <v>0.895135199375029+4.25871071095223i</v>
      </c>
      <c r="AT225" s="190">
        <f t="shared" si="168"/>
        <v>12.773314507779387</v>
      </c>
      <c r="AU225" s="169">
        <f t="shared" si="169"/>
        <v>78.129836177934905</v>
      </c>
      <c r="AV225" s="225"/>
      <c r="AX225">
        <f t="shared" si="170"/>
        <v>0</v>
      </c>
      <c r="AY225">
        <f t="shared" si="171"/>
        <v>0</v>
      </c>
    </row>
    <row r="226" spans="14:51" x14ac:dyDescent="0.2">
      <c r="N226" s="170">
        <v>8</v>
      </c>
      <c r="O226" s="199">
        <f t="shared" si="172"/>
        <v>1202.2644346174138</v>
      </c>
      <c r="P226" s="189" t="str">
        <f t="shared" si="138"/>
        <v>771.276595744681</v>
      </c>
      <c r="Q226" s="160" t="str">
        <f t="shared" si="139"/>
        <v>1+66.7778040414454i</v>
      </c>
      <c r="R226" s="160">
        <f t="shared" si="147"/>
        <v>66.785291139574156</v>
      </c>
      <c r="S226" s="160">
        <f t="shared" si="148"/>
        <v>1.5558224103290192</v>
      </c>
      <c r="T226" s="160" t="str">
        <f t="shared" si="140"/>
        <v>1+0.0012569939584272i</v>
      </c>
      <c r="U226" s="160">
        <f t="shared" si="149"/>
        <v>1.0000007900165937</v>
      </c>
      <c r="V226" s="160">
        <f t="shared" si="150"/>
        <v>1.2569932963968427E-3</v>
      </c>
      <c r="W226" s="98" t="str">
        <f t="shared" si="141"/>
        <v>1-0.00513675415703423i</v>
      </c>
      <c r="X226" s="160">
        <f t="shared" si="151"/>
        <v>1.0000131930346068</v>
      </c>
      <c r="Y226" s="160">
        <f t="shared" si="152"/>
        <v>-5.1367089778678911E-3</v>
      </c>
      <c r="Z226" s="98" t="str">
        <f t="shared" si="142"/>
        <v>0.999421824091702-0.0351703909882003i</v>
      </c>
      <c r="AA226" s="160">
        <f t="shared" si="153"/>
        <v>1.0000404686176694</v>
      </c>
      <c r="AB226" s="160">
        <f t="shared" si="154"/>
        <v>-3.5176221613321186E-2</v>
      </c>
      <c r="AC226" s="171" t="str">
        <f t="shared" si="155"/>
        <v>0.53415378853864-11.5359339131478i</v>
      </c>
      <c r="AD226" s="190">
        <f t="shared" si="156"/>
        <v>21.250356544098313</v>
      </c>
      <c r="AE226" s="169">
        <f t="shared" si="157"/>
        <v>-87.348900080322608</v>
      </c>
      <c r="AF226" s="98" t="str">
        <f t="shared" si="143"/>
        <v>-0.0000119284294234592</v>
      </c>
      <c r="AG226" s="98" t="str">
        <f t="shared" si="144"/>
        <v>0.00013622218781441i</v>
      </c>
      <c r="AH226" s="98">
        <f t="shared" si="158"/>
        <v>1.3622218781440999E-4</v>
      </c>
      <c r="AI226" s="98">
        <f t="shared" si="159"/>
        <v>1.5707963267948966</v>
      </c>
      <c r="AJ226" s="98" t="str">
        <f t="shared" si="145"/>
        <v>1+0.00746482421755787i</v>
      </c>
      <c r="AK226" s="98">
        <f t="shared" si="160"/>
        <v>1.0000278614121705</v>
      </c>
      <c r="AL226" s="98">
        <f t="shared" si="161"/>
        <v>7.464685566565773E-3</v>
      </c>
      <c r="AM226" s="98" t="str">
        <f t="shared" si="146"/>
        <v>1+4.07918712470367i</v>
      </c>
      <c r="AN226" s="98">
        <f t="shared" si="162"/>
        <v>4.1999723330455643</v>
      </c>
      <c r="AO226" s="98">
        <f t="shared" si="163"/>
        <v>1.330390495152723</v>
      </c>
      <c r="AP226" s="168" t="str">
        <f t="shared" si="164"/>
        <v>-0.356524488188671+0.0902273729987684i</v>
      </c>
      <c r="AQ226" s="98">
        <f t="shared" si="165"/>
        <v>-8.6886051215538718</v>
      </c>
      <c r="AR226" s="169">
        <f t="shared" si="166"/>
        <v>165.79806549821441</v>
      </c>
      <c r="AS226" s="168" t="str">
        <f t="shared" si="167"/>
        <v>0.85041810599795+4.16103822728053i</v>
      </c>
      <c r="AT226" s="190">
        <f t="shared" si="168"/>
        <v>12.561751422544432</v>
      </c>
      <c r="AU226" s="169">
        <f t="shared" si="169"/>
        <v>78.44916541789182</v>
      </c>
      <c r="AV226" s="225"/>
      <c r="AX226">
        <f t="shared" si="170"/>
        <v>0</v>
      </c>
      <c r="AY226">
        <f t="shared" si="171"/>
        <v>0</v>
      </c>
    </row>
    <row r="227" spans="14:51" x14ac:dyDescent="0.2">
      <c r="N227" s="170">
        <v>9</v>
      </c>
      <c r="O227" s="199">
        <f t="shared" si="172"/>
        <v>1230.2687708123824</v>
      </c>
      <c r="P227" s="189" t="str">
        <f t="shared" si="138"/>
        <v>771.276595744681</v>
      </c>
      <c r="Q227" s="160" t="str">
        <f t="shared" si="139"/>
        <v>1+68.3332589155084i</v>
      </c>
      <c r="R227" s="160">
        <f t="shared" si="147"/>
        <v>68.340575604935523</v>
      </c>
      <c r="S227" s="160">
        <f t="shared" si="148"/>
        <v>1.5561632090597604</v>
      </c>
      <c r="T227" s="160" t="str">
        <f t="shared" si="140"/>
        <v>1+0.0012862731089978i</v>
      </c>
      <c r="U227" s="160">
        <f t="shared" si="149"/>
        <v>1.0000008272489134</v>
      </c>
      <c r="V227" s="160">
        <f t="shared" si="150"/>
        <v>1.286272399619523E-3</v>
      </c>
      <c r="W227" s="98" t="str">
        <f t="shared" si="141"/>
        <v>1-0.00525640453196216i</v>
      </c>
      <c r="X227" s="160">
        <f t="shared" si="151"/>
        <v>1.0000138147988775</v>
      </c>
      <c r="Y227" s="160">
        <f t="shared" si="152"/>
        <v>-5.2563561216493531E-3</v>
      </c>
      <c r="Z227" s="98" t="str">
        <f t="shared" si="142"/>
        <v>0.999394575500625-0.0359896146339996i</v>
      </c>
      <c r="AA227" s="160">
        <f t="shared" si="153"/>
        <v>1.0000423840525852</v>
      </c>
      <c r="AB227" s="160">
        <f t="shared" si="154"/>
        <v>-3.5995862128317305E-2</v>
      </c>
      <c r="AC227" s="171" t="str">
        <f t="shared" si="155"/>
        <v>0.526376316970959-11.2731830806882i</v>
      </c>
      <c r="AD227" s="190">
        <f t="shared" si="156"/>
        <v>21.050389455116971</v>
      </c>
      <c r="AE227" s="169">
        <f t="shared" si="157"/>
        <v>-87.32664217435719</v>
      </c>
      <c r="AF227" s="98" t="str">
        <f t="shared" si="143"/>
        <v>-0.0000119284294234592</v>
      </c>
      <c r="AG227" s="98" t="str">
        <f t="shared" si="144"/>
        <v>0.000139395210183638i</v>
      </c>
      <c r="AH227" s="98">
        <f t="shared" si="158"/>
        <v>1.3939521018363799E-4</v>
      </c>
      <c r="AI227" s="98">
        <f t="shared" si="159"/>
        <v>1.5707963267948966</v>
      </c>
      <c r="AJ227" s="98" t="str">
        <f t="shared" si="145"/>
        <v>1+0.00763870231043463i</v>
      </c>
      <c r="AK227" s="98">
        <f t="shared" si="160"/>
        <v>1.0000291744609191</v>
      </c>
      <c r="AL227" s="98">
        <f t="shared" si="161"/>
        <v>7.6385537434539947E-3</v>
      </c>
      <c r="AM227" s="98" t="str">
        <f t="shared" si="146"/>
        <v>1+4.17420359891114i</v>
      </c>
      <c r="AN227" s="98">
        <f t="shared" si="162"/>
        <v>4.292315888324473</v>
      </c>
      <c r="AO227" s="98">
        <f t="shared" si="163"/>
        <v>1.3356611286309299</v>
      </c>
      <c r="AP227" s="168" t="str">
        <f t="shared" si="164"/>
        <v>-0.356523551948533+0.0882961125823386i</v>
      </c>
      <c r="AQ227" s="98">
        <f t="shared" si="165"/>
        <v>-8.6997115988126499</v>
      </c>
      <c r="AR227" s="169">
        <f t="shared" si="166"/>
        <v>166.09008863914866</v>
      </c>
      <c r="AS227" s="168" t="str">
        <f t="shared" si="167"/>
        <v>0.807712688265687+4.06563225623701i</v>
      </c>
      <c r="AT227" s="190">
        <f t="shared" si="168"/>
        <v>12.350677856304324</v>
      </c>
      <c r="AU227" s="169">
        <f t="shared" si="169"/>
        <v>78.763446464791485</v>
      </c>
      <c r="AV227" s="225"/>
      <c r="AX227">
        <f t="shared" si="170"/>
        <v>0</v>
      </c>
      <c r="AY227">
        <f t="shared" si="171"/>
        <v>0</v>
      </c>
    </row>
    <row r="228" spans="14:51" x14ac:dyDescent="0.2">
      <c r="N228" s="170">
        <v>10</v>
      </c>
      <c r="O228" s="199">
        <f t="shared" si="172"/>
        <v>1258.925411794168</v>
      </c>
      <c r="P228" s="189" t="str">
        <f t="shared" si="138"/>
        <v>771.276595744681</v>
      </c>
      <c r="Q228" s="160" t="str">
        <f t="shared" si="139"/>
        <v>1+69.9249449879462i</v>
      </c>
      <c r="R228" s="160">
        <f t="shared" si="147"/>
        <v>69.932095146415449</v>
      </c>
      <c r="S228" s="160">
        <f t="shared" si="148"/>
        <v>1.5564962535490545</v>
      </c>
      <c r="T228" s="160" t="str">
        <f t="shared" si="140"/>
        <v>1+0.00131623425859663i</v>
      </c>
      <c r="U228" s="160">
        <f t="shared" si="149"/>
        <v>1.0000008662359365</v>
      </c>
      <c r="V228" s="160">
        <f t="shared" si="150"/>
        <v>1.316233498484147E-3</v>
      </c>
      <c r="W228" s="98" t="str">
        <f t="shared" si="141"/>
        <v>1-0.00537884192214968i</v>
      </c>
      <c r="X228" s="160">
        <f t="shared" si="151"/>
        <v>1.0000144658655812</v>
      </c>
      <c r="Y228" s="160">
        <f t="shared" si="152"/>
        <v>-5.3787900496054617E-3</v>
      </c>
      <c r="Z228" s="98" t="str">
        <f t="shared" si="142"/>
        <v>0.999366042723016-0.0368279204498566i</v>
      </c>
      <c r="AA228" s="160">
        <f t="shared" si="153"/>
        <v>1.0000443905510006</v>
      </c>
      <c r="AB228" s="160">
        <f t="shared" si="154"/>
        <v>-3.6834614611326776E-2</v>
      </c>
      <c r="AC228" s="171" t="str">
        <f t="shared" si="155"/>
        <v>0.518948738287847-11.0163991778262i</v>
      </c>
      <c r="AD228" s="190">
        <f t="shared" si="156"/>
        <v>20.850419873008811</v>
      </c>
      <c r="AE228" s="169">
        <f t="shared" si="157"/>
        <v>-87.302965543477853</v>
      </c>
      <c r="AF228" s="98" t="str">
        <f t="shared" si="143"/>
        <v>-0.0000119284294234592</v>
      </c>
      <c r="AG228" s="98" t="str">
        <f t="shared" si="144"/>
        <v>0.00014264214173842i</v>
      </c>
      <c r="AH228" s="98">
        <f t="shared" si="158"/>
        <v>1.4264214173842E-4</v>
      </c>
      <c r="AI228" s="98">
        <f t="shared" si="159"/>
        <v>1.5707963267948966</v>
      </c>
      <c r="AJ228" s="98" t="str">
        <f t="shared" si="145"/>
        <v>1+0.00781663054438657i</v>
      </c>
      <c r="AK228" s="98">
        <f t="shared" si="160"/>
        <v>1.0000305493899011</v>
      </c>
      <c r="AL228" s="98">
        <f t="shared" si="161"/>
        <v>7.816471352261347E-3</v>
      </c>
      <c r="AM228" s="98" t="str">
        <f t="shared" si="146"/>
        <v>1+4.27143329111887i</v>
      </c>
      <c r="AN228" s="98">
        <f t="shared" si="162"/>
        <v>4.3869285793683241</v>
      </c>
      <c r="AO228" s="98">
        <f t="shared" si="163"/>
        <v>1.3408246811771098</v>
      </c>
      <c r="AP228" s="168" t="str">
        <f t="shared" si="164"/>
        <v>-0.356522571590028+0.0864116672593044i</v>
      </c>
      <c r="AQ228" s="98">
        <f t="shared" si="165"/>
        <v>-8.7103457788231271</v>
      </c>
      <c r="AR228" s="169">
        <f t="shared" si="166"/>
        <v>166.37574447925311</v>
      </c>
      <c r="AS228" s="168" t="str">
        <f t="shared" si="167"/>
        <v>0.766928481452208+3.97243819023843i</v>
      </c>
      <c r="AT228" s="190">
        <f t="shared" si="168"/>
        <v>12.140074094185673</v>
      </c>
      <c r="AU228" s="169">
        <f t="shared" si="169"/>
        <v>79.072778935775275</v>
      </c>
      <c r="AV228" s="225"/>
      <c r="AX228">
        <f t="shared" si="170"/>
        <v>0</v>
      </c>
      <c r="AY228">
        <f t="shared" si="171"/>
        <v>0</v>
      </c>
    </row>
    <row r="229" spans="14:51" x14ac:dyDescent="0.2">
      <c r="N229" s="170">
        <v>11</v>
      </c>
      <c r="O229" s="199">
        <f t="shared" si="172"/>
        <v>1288.2495516931347</v>
      </c>
      <c r="P229" s="189" t="str">
        <f t="shared" si="138"/>
        <v>771.276595744681</v>
      </c>
      <c r="Q229" s="160" t="str">
        <f t="shared" si="139"/>
        <v>1+71.5537061917825i</v>
      </c>
      <c r="R229" s="160">
        <f t="shared" si="147"/>
        <v>71.560693608851579</v>
      </c>
      <c r="S229" s="160">
        <f t="shared" si="148"/>
        <v>1.5568217200858023</v>
      </c>
      <c r="T229" s="160" t="str">
        <f t="shared" si="140"/>
        <v>1+0.00134689329302178i</v>
      </c>
      <c r="U229" s="160">
        <f t="shared" si="149"/>
        <v>1.0000009070603599</v>
      </c>
      <c r="V229" s="160">
        <f t="shared" si="150"/>
        <v>1.3468924785466204E-3</v>
      </c>
      <c r="W229" s="98" t="str">
        <f t="shared" si="141"/>
        <v>1-0.0055041312455217i</v>
      </c>
      <c r="X229" s="160">
        <f t="shared" si="151"/>
        <v>1.0000151476156587</v>
      </c>
      <c r="Y229" s="160">
        <f t="shared" si="152"/>
        <v>-5.5040756631346294E-3</v>
      </c>
      <c r="Z229" s="98" t="str">
        <f t="shared" si="142"/>
        <v>0.999336165237025-0.0376857529166113i</v>
      </c>
      <c r="AA229" s="160">
        <f t="shared" si="153"/>
        <v>1.0000464924809918</v>
      </c>
      <c r="AB229" s="160">
        <f t="shared" si="154"/>
        <v>-3.7692925672336598E-2</v>
      </c>
      <c r="AC229" s="171" t="str">
        <f t="shared" si="155"/>
        <v>0.511855317312069-10.7654467368127i</v>
      </c>
      <c r="AD229" s="190">
        <f t="shared" si="156"/>
        <v>20.650447861269331</v>
      </c>
      <c r="AE229" s="169">
        <f t="shared" si="157"/>
        <v>-87.277857507828145</v>
      </c>
      <c r="AF229" s="98" t="str">
        <f t="shared" si="143"/>
        <v>-0.0000119284294234592</v>
      </c>
      <c r="AG229" s="98" t="str">
        <f t="shared" si="144"/>
        <v>0.000145964704044843i</v>
      </c>
      <c r="AH229" s="98">
        <f t="shared" si="158"/>
        <v>1.4596470404484299E-4</v>
      </c>
      <c r="AI229" s="98">
        <f t="shared" si="159"/>
        <v>1.5707963267948966</v>
      </c>
      <c r="AJ229" s="98" t="str">
        <f t="shared" si="145"/>
        <v>1+0.00799870325931847i</v>
      </c>
      <c r="AK229" s="98">
        <f t="shared" si="160"/>
        <v>1.0000319891152636</v>
      </c>
      <c r="AL229" s="98">
        <f t="shared" si="161"/>
        <v>7.9985326821777475E-3</v>
      </c>
      <c r="AM229" s="98" t="str">
        <f t="shared" si="146"/>
        <v>1+4.37092775379666i</v>
      </c>
      <c r="AN229" s="98">
        <f t="shared" si="162"/>
        <v>4.4838609957167401</v>
      </c>
      <c r="AO229" s="98">
        <f t="shared" si="163"/>
        <v>1.3458827887129097</v>
      </c>
      <c r="AP229" s="168" t="str">
        <f t="shared" si="164"/>
        <v>-0.356521545034428+0.0845730378235983i</v>
      </c>
      <c r="AQ229" s="98">
        <f t="shared" si="165"/>
        <v>-8.7205267526967987</v>
      </c>
      <c r="AR229" s="169">
        <f t="shared" si="166"/>
        <v>166.65512134756099</v>
      </c>
      <c r="AS229" s="168" t="str">
        <f t="shared" si="167"/>
        <v>0.727979085498207+3.88140286270555i</v>
      </c>
      <c r="AT229" s="190">
        <f t="shared" si="168"/>
        <v>11.929921108572536</v>
      </c>
      <c r="AU229" s="169">
        <f t="shared" si="169"/>
        <v>79.377263839732862</v>
      </c>
      <c r="AV229" s="225"/>
      <c r="AX229">
        <f t="shared" si="170"/>
        <v>0</v>
      </c>
      <c r="AY229">
        <f t="shared" si="171"/>
        <v>0</v>
      </c>
    </row>
    <row r="230" spans="14:51" x14ac:dyDescent="0.2">
      <c r="N230" s="170">
        <v>12</v>
      </c>
      <c r="O230" s="199">
        <f t="shared" si="172"/>
        <v>1318.2567385564089</v>
      </c>
      <c r="P230" s="189" t="str">
        <f t="shared" si="138"/>
        <v>771.276595744681</v>
      </c>
      <c r="Q230" s="160" t="str">
        <f t="shared" si="139"/>
        <v>1+73.2204061177671i</v>
      </c>
      <c r="R230" s="160">
        <f t="shared" si="147"/>
        <v>73.227234496809629</v>
      </c>
      <c r="S230" s="160">
        <f t="shared" si="148"/>
        <v>1.5571397809607015</v>
      </c>
      <c r="T230" s="160" t="str">
        <f t="shared" si="140"/>
        <v>1+0.00137826646809914i</v>
      </c>
      <c r="U230" s="160">
        <f t="shared" si="149"/>
        <v>1.0000009498087774</v>
      </c>
      <c r="V230" s="160">
        <f t="shared" si="150"/>
        <v>1.3782655953733275E-3</v>
      </c>
      <c r="W230" s="98" t="str">
        <f t="shared" si="141"/>
        <v>1-0.00563233893213591i</v>
      </c>
      <c r="X230" s="160">
        <f t="shared" si="151"/>
        <v>1.0000158614951298</v>
      </c>
      <c r="Y230" s="160">
        <f t="shared" si="152"/>
        <v>-5.6322793745861525E-3</v>
      </c>
      <c r="Z230" s="98" t="str">
        <f t="shared" si="142"/>
        <v>0.9993048796685-0.0385635668683924i</v>
      </c>
      <c r="AA230" s="160">
        <f t="shared" si="153"/>
        <v>1.0000486944238707</v>
      </c>
      <c r="AB230" s="160">
        <f t="shared" si="154"/>
        <v>-3.8571252426655468E-2</v>
      </c>
      <c r="AC230" s="171" t="str">
        <f t="shared" si="155"/>
        <v>0.505081025910834-10.5201933361416i</v>
      </c>
      <c r="AD230" s="190">
        <f t="shared" si="156"/>
        <v>20.450473478151942</v>
      </c>
      <c r="AE230" s="169">
        <f t="shared" si="157"/>
        <v>-87.251304621931951</v>
      </c>
      <c r="AF230" s="98" t="str">
        <f t="shared" si="143"/>
        <v>-0.0000119284294234592</v>
      </c>
      <c r="AG230" s="98" t="str">
        <f t="shared" si="144"/>
        <v>0.000149364658769422i</v>
      </c>
      <c r="AH230" s="98">
        <f t="shared" si="158"/>
        <v>1.4936465876942199E-4</v>
      </c>
      <c r="AI230" s="98">
        <f t="shared" si="159"/>
        <v>1.5707963267948966</v>
      </c>
      <c r="AJ230" s="98" t="str">
        <f t="shared" si="145"/>
        <v>1+0.00818501699259382i</v>
      </c>
      <c r="AK230" s="98">
        <f t="shared" si="160"/>
        <v>1.0000334966905704</v>
      </c>
      <c r="AL230" s="98">
        <f t="shared" si="161"/>
        <v>8.1848342162251543E-3</v>
      </c>
      <c r="AM230" s="98" t="str">
        <f t="shared" si="146"/>
        <v>1+4.47273974022558i</v>
      </c>
      <c r="AN230" s="98">
        <f t="shared" si="162"/>
        <v>4.5831649308958093</v>
      </c>
      <c r="AO230" s="98">
        <f t="shared" si="163"/>
        <v>1.3508370973804018</v>
      </c>
      <c r="AP230" s="168" t="str">
        <f t="shared" si="164"/>
        <v>-0.35652047010509+0.0827792493578936i</v>
      </c>
      <c r="AQ230" s="98">
        <f t="shared" si="165"/>
        <v>-8.7302729349862691</v>
      </c>
      <c r="AR230" s="169">
        <f t="shared" si="166"/>
        <v>166.92830803299566</v>
      </c>
      <c r="AS230" s="168" t="str">
        <f t="shared" si="167"/>
        <v>0.690781982666824+3.79247450198745i</v>
      </c>
      <c r="AT230" s="190">
        <f t="shared" si="168"/>
        <v>11.720200543165671</v>
      </c>
      <c r="AU230" s="169">
        <f t="shared" si="169"/>
        <v>79.677003411063708</v>
      </c>
      <c r="AV230" s="225"/>
      <c r="AX230">
        <f t="shared" si="170"/>
        <v>0</v>
      </c>
      <c r="AY230">
        <f t="shared" si="171"/>
        <v>0</v>
      </c>
    </row>
    <row r="231" spans="14:51" x14ac:dyDescent="0.2">
      <c r="N231" s="170">
        <v>13</v>
      </c>
      <c r="O231" s="199">
        <f t="shared" si="172"/>
        <v>1348.9628825916541</v>
      </c>
      <c r="P231" s="189" t="str">
        <f t="shared" si="138"/>
        <v>771.276595744681</v>
      </c>
      <c r="Q231" s="160" t="str">
        <f t="shared" si="139"/>
        <v>1+74.9259284722619i</v>
      </c>
      <c r="R231" s="160">
        <f t="shared" si="147"/>
        <v>74.932601432423979</v>
      </c>
      <c r="S231" s="160">
        <f t="shared" si="148"/>
        <v>1.5574506045562833</v>
      </c>
      <c r="T231" s="160" t="str">
        <f t="shared" si="140"/>
        <v>1+0.0014103704183014i</v>
      </c>
      <c r="U231" s="160">
        <f t="shared" si="149"/>
        <v>1.0000009945718638</v>
      </c>
      <c r="V231" s="160">
        <f t="shared" si="150"/>
        <v>1.410369483158894E-3</v>
      </c>
      <c r="W231" s="98" t="str">
        <f t="shared" si="141"/>
        <v>1-0.00576353295940473i</v>
      </c>
      <c r="X231" s="160">
        <f t="shared" si="151"/>
        <v>1.0000166090181573</v>
      </c>
      <c r="Y231" s="160">
        <f t="shared" si="152"/>
        <v>-5.7634691423976373E-3</v>
      </c>
      <c r="Z231" s="98" t="str">
        <f t="shared" si="142"/>
        <v>0.999272119656556-0.0394618277337762i</v>
      </c>
      <c r="AA231" s="160">
        <f t="shared" si="153"/>
        <v>1.0000510011849379</v>
      </c>
      <c r="AB231" s="160">
        <f t="shared" si="154"/>
        <v>-3.9470062746916584E-2</v>
      </c>
      <c r="AC231" s="171" t="str">
        <f t="shared" si="155"/>
        <v>0.498611511271473-10.2805095333725i</v>
      </c>
      <c r="AD231" s="190">
        <f t="shared" si="156"/>
        <v>20.250496776781965</v>
      </c>
      <c r="AE231" s="169">
        <f t="shared" si="157"/>
        <v>-87.223292666932934</v>
      </c>
      <c r="AF231" s="98" t="str">
        <f t="shared" si="143"/>
        <v>-0.0000119284294234592</v>
      </c>
      <c r="AG231" s="98" t="str">
        <f t="shared" si="144"/>
        <v>0.000152843808613155i</v>
      </c>
      <c r="AH231" s="98">
        <f t="shared" si="158"/>
        <v>1.52843808613155E-4</v>
      </c>
      <c r="AI231" s="98">
        <f t="shared" si="159"/>
        <v>1.5707963267948966</v>
      </c>
      <c r="AJ231" s="98" t="str">
        <f t="shared" si="145"/>
        <v>1+0.00837567053022014i</v>
      </c>
      <c r="AK231" s="98">
        <f t="shared" si="160"/>
        <v>1.0000350753132767</v>
      </c>
      <c r="AL231" s="98">
        <f t="shared" si="161"/>
        <v>8.3754746821835709E-3</v>
      </c>
      <c r="AM231" s="98" t="str">
        <f t="shared" si="146"/>
        <v>1+4.57692323246848i</v>
      </c>
      <c r="AN231" s="98">
        <f t="shared" si="162"/>
        <v>4.684893411371247</v>
      </c>
      <c r="AO231" s="98">
        <f t="shared" si="163"/>
        <v>1.3556892607452509</v>
      </c>
      <c r="AP231" s="168" t="str">
        <f t="shared" si="164"/>
        <v>-0.356519344522842+0.0810293507164464i</v>
      </c>
      <c r="AQ231" s="98">
        <f t="shared" si="165"/>
        <v>-8.7396020801372138</v>
      </c>
      <c r="AR231" s="169">
        <f t="shared" si="166"/>
        <v>167.19539362120568</v>
      </c>
      <c r="AS231" s="168" t="str">
        <f t="shared" si="167"/>
        <v>0.655258363353362+3.70560268721687i</v>
      </c>
      <c r="AT231" s="190">
        <f t="shared" si="168"/>
        <v>11.510894696644762</v>
      </c>
      <c r="AU231" s="169">
        <f t="shared" si="169"/>
        <v>79.972100954272761</v>
      </c>
      <c r="AV231" s="225"/>
      <c r="AX231">
        <f t="shared" si="170"/>
        <v>0</v>
      </c>
      <c r="AY231">
        <f t="shared" si="171"/>
        <v>0</v>
      </c>
    </row>
    <row r="232" spans="14:51" x14ac:dyDescent="0.2">
      <c r="N232" s="170">
        <v>14</v>
      </c>
      <c r="O232" s="199">
        <f t="shared" si="172"/>
        <v>1380.3842646028863</v>
      </c>
      <c r="P232" s="189" t="str">
        <f t="shared" si="138"/>
        <v>771.276595744681</v>
      </c>
      <c r="Q232" s="160" t="str">
        <f t="shared" si="139"/>
        <v>1+76.6711775457946i</v>
      </c>
      <c r="R232" s="160">
        <f t="shared" si="147"/>
        <v>76.677698623907318</v>
      </c>
      <c r="S232" s="160">
        <f t="shared" si="148"/>
        <v>1.5577543554349615</v>
      </c>
      <c r="T232" s="160" t="str">
        <f t="shared" si="140"/>
        <v>1+0.0014432221655679i</v>
      </c>
      <c r="U232" s="160">
        <f t="shared" si="149"/>
        <v>1.0000010414445673</v>
      </c>
      <c r="V232" s="160">
        <f t="shared" si="150"/>
        <v>1.4432211635447079E-3</v>
      </c>
      <c r="W232" s="98" t="str">
        <f t="shared" si="141"/>
        <v>1-0.00589778288813802i</v>
      </c>
      <c r="X232" s="160">
        <f t="shared" si="151"/>
        <v>1.0000173917702611</v>
      </c>
      <c r="Y232" s="160">
        <f t="shared" si="152"/>
        <v>-5.8977145070471474E-3</v>
      </c>
      <c r="Z232" s="98" t="str">
        <f t="shared" si="142"/>
        <v>0.999237815712815-0.0403810117825635i</v>
      </c>
      <c r="AA232" s="160">
        <f t="shared" si="153"/>
        <v>1.0000534178048197</v>
      </c>
      <c r="AB232" s="160">
        <f t="shared" si="154"/>
        <v>-4.0389835521470262E-2</v>
      </c>
      <c r="AC232" s="171" t="str">
        <f t="shared" si="155"/>
        <v>0.492433065596-10.04626879933i</v>
      </c>
      <c r="AD232" s="190">
        <f t="shared" si="156"/>
        <v>20.050517805258959</v>
      </c>
      <c r="AE232" s="169">
        <f t="shared" si="157"/>
        <v>-87.19380664238922</v>
      </c>
      <c r="AF232" s="98" t="str">
        <f t="shared" si="143"/>
        <v>-0.0000119284294234592</v>
      </c>
      <c r="AG232" s="98" t="str">
        <f t="shared" si="144"/>
        <v>0.000156403998267343i</v>
      </c>
      <c r="AH232" s="98">
        <f t="shared" si="158"/>
        <v>1.56403998267343E-4</v>
      </c>
      <c r="AI232" s="98">
        <f t="shared" si="159"/>
        <v>1.5707963267948966</v>
      </c>
      <c r="AJ232" s="98" t="str">
        <f t="shared" si="145"/>
        <v>1+0.0085707649592267i</v>
      </c>
      <c r="AK232" s="98">
        <f t="shared" si="160"/>
        <v>1.0000367283315079</v>
      </c>
      <c r="AL232" s="98">
        <f t="shared" si="161"/>
        <v>8.570555104690885E-3</v>
      </c>
      <c r="AM232" s="98" t="str">
        <f t="shared" si="146"/>
        <v>1+4.68353346999197i</v>
      </c>
      <c r="AN232" s="98">
        <f t="shared" si="162"/>
        <v>4.7891007260794822</v>
      </c>
      <c r="AO232" s="98">
        <f t="shared" si="163"/>
        <v>1.3604409371764812</v>
      </c>
      <c r="AP232" s="168" t="str">
        <f t="shared" si="164"/>
        <v>-0.356518165901151+0.0793224140205189i</v>
      </c>
      <c r="AQ232" s="98">
        <f t="shared" si="165"/>
        <v>-8.74853129923825</v>
      </c>
      <c r="AR232" s="169">
        <f t="shared" si="166"/>
        <v>167.45646734145168</v>
      </c>
      <c r="AS232" s="168" t="str">
        <f t="shared" si="167"/>
        <v>0.621332959686509+3.62073830599369i</v>
      </c>
      <c r="AT232" s="190">
        <f t="shared" si="168"/>
        <v>11.301986506020709</v>
      </c>
      <c r="AU232" s="169">
        <f t="shared" si="169"/>
        <v>80.262660699062465</v>
      </c>
      <c r="AV232" s="225"/>
      <c r="AX232">
        <f t="shared" si="170"/>
        <v>0</v>
      </c>
      <c r="AY232">
        <f t="shared" si="171"/>
        <v>0</v>
      </c>
    </row>
    <row r="233" spans="14:51" x14ac:dyDescent="0.2">
      <c r="N233" s="170">
        <v>15</v>
      </c>
      <c r="O233" s="199">
        <f t="shared" si="172"/>
        <v>1412.5375446227545</v>
      </c>
      <c r="P233" s="189" t="str">
        <f t="shared" si="138"/>
        <v>771.276595744681</v>
      </c>
      <c r="Q233" s="160" t="str">
        <f t="shared" si="139"/>
        <v>1+78.4570786925251i</v>
      </c>
      <c r="R233" s="160">
        <f t="shared" si="147"/>
        <v>78.463451344973848</v>
      </c>
      <c r="S233" s="160">
        <f t="shared" si="148"/>
        <v>1.5580511944251407</v>
      </c>
      <c r="T233" s="160" t="str">
        <f t="shared" si="140"/>
        <v>1+0.00147683912832988i</v>
      </c>
      <c r="U233" s="160">
        <f t="shared" si="149"/>
        <v>1.0000010905263108</v>
      </c>
      <c r="V233" s="160">
        <f t="shared" si="150"/>
        <v>1.4768380546427487E-3</v>
      </c>
      <c r="W233" s="98" t="str">
        <f t="shared" si="141"/>
        <v>1-0.00603515989942498i</v>
      </c>
      <c r="X233" s="160">
        <f t="shared" si="151"/>
        <v>1.000018211411678</v>
      </c>
      <c r="Y233" s="160">
        <f t="shared" si="152"/>
        <v>-6.0350866278380639E-3</v>
      </c>
      <c r="Z233" s="98" t="str">
        <f t="shared" si="142"/>
        <v>0.999201895074012-0.0413216063783038i</v>
      </c>
      <c r="AA233" s="160">
        <f t="shared" si="153"/>
        <v>1.0000559495714128</v>
      </c>
      <c r="AB233" s="160">
        <f t="shared" si="154"/>
        <v>-4.1331060919350522E-2</v>
      </c>
      <c r="AC233" s="171" t="str">
        <f t="shared" si="155"/>
        <v>0.486532597151503-9.8173474536587i</v>
      </c>
      <c r="AD233" s="190">
        <f t="shared" si="156"/>
        <v>19.850536606747934</v>
      </c>
      <c r="AE233" s="169">
        <f t="shared" si="157"/>
        <v>-87.162830757616163</v>
      </c>
      <c r="AF233" s="98" t="str">
        <f t="shared" si="143"/>
        <v>-0.0000119284294234592</v>
      </c>
      <c r="AG233" s="98" t="str">
        <f t="shared" si="144"/>
        <v>0.000160047115391663i</v>
      </c>
      <c r="AH233" s="98">
        <f t="shared" si="158"/>
        <v>1.6004711539166299E-4</v>
      </c>
      <c r="AI233" s="98">
        <f t="shared" si="159"/>
        <v>1.5707963267948966</v>
      </c>
      <c r="AJ233" s="98" t="str">
        <f t="shared" si="145"/>
        <v>1+0.00877040372126212i</v>
      </c>
      <c r="AK233" s="98">
        <f t="shared" si="160"/>
        <v>1.00003845925116</v>
      </c>
      <c r="AL233" s="98">
        <f t="shared" si="161"/>
        <v>8.770178858542756E-3</v>
      </c>
      <c r="AM233" s="98" t="str">
        <f t="shared" si="146"/>
        <v>1+4.79262697895514i</v>
      </c>
      <c r="AN233" s="98">
        <f t="shared" si="162"/>
        <v>4.8958424565552221</v>
      </c>
      <c r="AO233" s="98">
        <f t="shared" si="163"/>
        <v>1.3650937873966114</v>
      </c>
      <c r="AP233" s="168" t="str">
        <f t="shared" si="164"/>
        <v>-0.356516931741085+0.0776575341661269i</v>
      </c>
      <c r="AQ233" s="98">
        <f t="shared" si="165"/>
        <v>-8.7570770769880433</v>
      </c>
      <c r="AR233" s="169">
        <f t="shared" si="166"/>
        <v>167.71161842318537</v>
      </c>
      <c r="AS233" s="168" t="str">
        <f t="shared" si="167"/>
        <v>0.588933886574764+3.53783351380078i</v>
      </c>
      <c r="AT233" s="190">
        <f t="shared" si="168"/>
        <v>11.09345952975989</v>
      </c>
      <c r="AU233" s="169">
        <f t="shared" si="169"/>
        <v>80.548787665569236</v>
      </c>
      <c r="AV233" s="225"/>
      <c r="AX233">
        <f t="shared" si="170"/>
        <v>0</v>
      </c>
      <c r="AY233">
        <f t="shared" si="171"/>
        <v>0</v>
      </c>
    </row>
    <row r="234" spans="14:51" x14ac:dyDescent="0.2">
      <c r="N234" s="170">
        <v>16</v>
      </c>
      <c r="O234" s="199">
        <f t="shared" si="172"/>
        <v>1445.4397707459289</v>
      </c>
      <c r="P234" s="189" t="str">
        <f t="shared" si="138"/>
        <v>771.276595744681</v>
      </c>
      <c r="Q234" s="160" t="str">
        <f t="shared" si="139"/>
        <v>1+80.2845788208807i</v>
      </c>
      <c r="R234" s="160">
        <f t="shared" si="147"/>
        <v>80.290806425432081</v>
      </c>
      <c r="S234" s="160">
        <f t="shared" si="148"/>
        <v>1.5583412787054183</v>
      </c>
      <c r="T234" s="160" t="str">
        <f t="shared" si="140"/>
        <v>1+0.00151123913074599i</v>
      </c>
      <c r="U234" s="160">
        <f t="shared" si="149"/>
        <v>1.0000011419212032</v>
      </c>
      <c r="V234" s="160">
        <f t="shared" si="150"/>
        <v>1.511237980269572E-3</v>
      </c>
      <c r="W234" s="98" t="str">
        <f t="shared" si="141"/>
        <v>1-0.00617573683237541i</v>
      </c>
      <c r="X234" s="160">
        <f t="shared" si="151"/>
        <v>1.0000190696808851</v>
      </c>
      <c r="Y234" s="160">
        <f t="shared" si="152"/>
        <v>-6.1756583205363645E-3</v>
      </c>
      <c r="Z234" s="98" t="str">
        <f t="shared" si="142"/>
        <v>0.999164281547658-0.042284110236702i</v>
      </c>
      <c r="AA234" s="160">
        <f t="shared" si="153"/>
        <v>1.0000586020324795</v>
      </c>
      <c r="AB234" s="160">
        <f t="shared" si="154"/>
        <v>-4.2294240662009291E-2</v>
      </c>
      <c r="AC234" s="171" t="str">
        <f t="shared" si="155"/>
        <v>0.480897602615975-9.59362460171067i</v>
      </c>
      <c r="AD234" s="190">
        <f t="shared" si="156"/>
        <v>19.650553219558187</v>
      </c>
      <c r="AE234" s="169">
        <f t="shared" si="157"/>
        <v>-87.130348422568957</v>
      </c>
      <c r="AF234" s="98" t="str">
        <f t="shared" si="143"/>
        <v>-0.0000119284294234592</v>
      </c>
      <c r="AG234" s="98" t="str">
        <f t="shared" si="144"/>
        <v>0.000163775091615038i</v>
      </c>
      <c r="AH234" s="98">
        <f t="shared" si="158"/>
        <v>1.6377509161503799E-4</v>
      </c>
      <c r="AI234" s="98">
        <f t="shared" si="159"/>
        <v>1.5707963267948966</v>
      </c>
      <c r="AJ234" s="98" t="str">
        <f t="shared" si="145"/>
        <v>1+0.00897469266744059i</v>
      </c>
      <c r="AK234" s="98">
        <f t="shared" si="160"/>
        <v>1.000040271743331</v>
      </c>
      <c r="AL234" s="98">
        <f t="shared" si="161"/>
        <v>8.9744517232197996E-3</v>
      </c>
      <c r="AM234" s="98" t="str">
        <f t="shared" si="146"/>
        <v>1+4.90426160218048i</v>
      </c>
      <c r="AN234" s="98">
        <f t="shared" si="162"/>
        <v>5.0051755076742159</v>
      </c>
      <c r="AO234" s="98">
        <f t="shared" si="163"/>
        <v>1.3696494721957611</v>
      </c>
      <c r="AP234" s="168" t="str">
        <f t="shared" si="164"/>
        <v>-0.356515639426004+0.0760338283438337i</v>
      </c>
      <c r="AQ234" s="98">
        <f t="shared" si="165"/>
        <v>-8.7652552888076016</v>
      </c>
      <c r="AR234" s="169">
        <f t="shared" si="166"/>
        <v>167.96093596195348</v>
      </c>
      <c r="AS234" s="168" t="str">
        <f t="shared" si="167"/>
        <v>0.557992489866582+3.45684169506019i</v>
      </c>
      <c r="AT234" s="190">
        <f t="shared" si="168"/>
        <v>10.885297930750594</v>
      </c>
      <c r="AU234" s="169">
        <f t="shared" si="169"/>
        <v>80.830587539384553</v>
      </c>
      <c r="AV234" s="225"/>
      <c r="AX234">
        <f t="shared" si="170"/>
        <v>0</v>
      </c>
      <c r="AY234">
        <f t="shared" si="171"/>
        <v>0</v>
      </c>
    </row>
    <row r="235" spans="14:51" x14ac:dyDescent="0.2">
      <c r="N235" s="170">
        <v>17</v>
      </c>
      <c r="O235" s="199">
        <f t="shared" si="172"/>
        <v>1479.1083881682086</v>
      </c>
      <c r="P235" s="189" t="str">
        <f t="shared" si="138"/>
        <v>771.276595744681</v>
      </c>
      <c r="Q235" s="160" t="str">
        <f t="shared" si="139"/>
        <v>1+82.1546468956191i</v>
      </c>
      <c r="R235" s="160">
        <f t="shared" si="147"/>
        <v>82.16073275320673</v>
      </c>
      <c r="S235" s="160">
        <f t="shared" si="148"/>
        <v>1.5586247618869251</v>
      </c>
      <c r="T235" s="160" t="str">
        <f t="shared" si="140"/>
        <v>1+0.00154644041215283i</v>
      </c>
      <c r="U235" s="160">
        <f t="shared" si="149"/>
        <v>1.0000011957382593</v>
      </c>
      <c r="V235" s="160">
        <f t="shared" si="150"/>
        <v>1.5464391793952174E-3</v>
      </c>
      <c r="W235" s="98" t="str">
        <f t="shared" si="141"/>
        <v>1-0.0063195882227399i</v>
      </c>
      <c r="X235" s="160">
        <f t="shared" si="151"/>
        <v>1.000019968398284</v>
      </c>
      <c r="Y235" s="160">
        <f t="shared" si="152"/>
        <v>-6.3195040958793991E-3</v>
      </c>
      <c r="Z235" s="98" t="str">
        <f t="shared" si="142"/>
        <v>0.99912489535042-0.0432690336900441i</v>
      </c>
      <c r="AA235" s="160">
        <f t="shared" si="153"/>
        <v>1.0000613810089147</v>
      </c>
      <c r="AB235" s="160">
        <f t="shared" si="154"/>
        <v>-4.3279888302018218E-2</v>
      </c>
      <c r="AC235" s="171" t="str">
        <f t="shared" si="155"/>
        <v>0.475516140661968-9.37498207274582i</v>
      </c>
      <c r="AD235" s="190">
        <f t="shared" si="156"/>
        <v>19.450567677211655</v>
      </c>
      <c r="AE235" s="169">
        <f t="shared" si="157"/>
        <v>-87.096342238256952</v>
      </c>
      <c r="AF235" s="98" t="str">
        <f t="shared" si="143"/>
        <v>-0.0000119284294234592</v>
      </c>
      <c r="AG235" s="98" t="str">
        <f t="shared" si="144"/>
        <v>0.000167589903559807i</v>
      </c>
      <c r="AH235" s="98">
        <f t="shared" si="158"/>
        <v>1.67589903559807E-4</v>
      </c>
      <c r="AI235" s="98">
        <f t="shared" si="159"/>
        <v>1.5707963267948966</v>
      </c>
      <c r="AJ235" s="98" t="str">
        <f t="shared" si="145"/>
        <v>1+0.00918374011446542i</v>
      </c>
      <c r="AK235" s="98">
        <f t="shared" si="160"/>
        <v>1.0000421696521051</v>
      </c>
      <c r="AL235" s="98">
        <f t="shared" si="161"/>
        <v>9.183481938669337E-3</v>
      </c>
      <c r="AM235" s="98" t="str">
        <f t="shared" si="146"/>
        <v>1+5.01849652982287i</v>
      </c>
      <c r="AN235" s="98">
        <f t="shared" si="162"/>
        <v>5.1171581390303142</v>
      </c>
      <c r="AO235" s="98">
        <f t="shared" si="163"/>
        <v>1.374109650303236</v>
      </c>
      <c r="AP235" s="168" t="str">
        <f t="shared" si="164"/>
        <v>-0.356514286216032+0.0744504355703513i</v>
      </c>
      <c r="AQ235" s="98">
        <f t="shared" si="165"/>
        <v>-8.7730812180295921</v>
      </c>
      <c r="AR235" s="169">
        <f t="shared" si="166"/>
        <v>168.20450879425249</v>
      </c>
      <c r="AS235" s="168" t="str">
        <f t="shared" si="167"/>
        <v>0.528443201307857+3.37771742574609i</v>
      </c>
      <c r="AT235" s="190">
        <f t="shared" si="168"/>
        <v>10.67748645918207</v>
      </c>
      <c r="AU235" s="169">
        <f t="shared" si="169"/>
        <v>81.108166555995567</v>
      </c>
      <c r="AV235" s="225"/>
      <c r="AX235">
        <f t="shared" si="170"/>
        <v>0</v>
      </c>
      <c r="AY235">
        <f t="shared" si="171"/>
        <v>0</v>
      </c>
    </row>
    <row r="236" spans="14:51" x14ac:dyDescent="0.2">
      <c r="N236" s="170">
        <v>18</v>
      </c>
      <c r="O236" s="199">
        <f t="shared" si="172"/>
        <v>1513.5612484362093</v>
      </c>
      <c r="P236" s="189" t="str">
        <f t="shared" si="138"/>
        <v>771.276595744681</v>
      </c>
      <c r="Q236" s="160" t="str">
        <f t="shared" si="139"/>
        <v>1+84.0682744515868i</v>
      </c>
      <c r="R236" s="160">
        <f t="shared" si="147"/>
        <v>84.074221788056548</v>
      </c>
      <c r="S236" s="160">
        <f t="shared" si="148"/>
        <v>1.5589017940938401</v>
      </c>
      <c r="T236" s="160" t="str">
        <f t="shared" si="140"/>
        <v>1+0.00158246163673575i</v>
      </c>
      <c r="U236" s="160">
        <f t="shared" si="149"/>
        <v>1.0000012520916319</v>
      </c>
      <c r="V236" s="160">
        <f t="shared" si="150"/>
        <v>1.5824603158122587E-3</v>
      </c>
      <c r="W236" s="98" t="str">
        <f t="shared" si="141"/>
        <v>1-0.00646679034242972i</v>
      </c>
      <c r="X236" s="160">
        <f t="shared" si="151"/>
        <v>1.0000209094700636</v>
      </c>
      <c r="Y236" s="160">
        <f t="shared" si="152"/>
        <v>-6.466700198976401E-3</v>
      </c>
      <c r="Z236" s="98" t="str">
        <f t="shared" si="142"/>
        <v>0.999083652938893-0.0442768989577819i</v>
      </c>
      <c r="AA236" s="160">
        <f t="shared" si="153"/>
        <v>1.0000642926087502</v>
      </c>
      <c r="AB236" s="160">
        <f t="shared" si="154"/>
        <v>-4.4288529508944241E-2</v>
      </c>
      <c r="AC236" s="171" t="str">
        <f t="shared" si="155"/>
        <v>0.470376806722863-9.16130435942145i</v>
      </c>
      <c r="AD236" s="190">
        <f t="shared" si="156"/>
        <v>19.250580008499242</v>
      </c>
      <c r="AE236" s="169">
        <f t="shared" si="157"/>
        <v>-87.060793986680793</v>
      </c>
      <c r="AF236" s="98" t="str">
        <f t="shared" si="143"/>
        <v>-0.0000119284294234592</v>
      </c>
      <c r="AG236" s="98" t="str">
        <f t="shared" si="144"/>
        <v>0.000171493573889758i</v>
      </c>
      <c r="AH236" s="98">
        <f t="shared" si="158"/>
        <v>1.71493573889758E-4</v>
      </c>
      <c r="AI236" s="98">
        <f t="shared" si="159"/>
        <v>1.5707963267948966</v>
      </c>
      <c r="AJ236" s="98" t="str">
        <f t="shared" si="145"/>
        <v>1+0.00939765690206011i</v>
      </c>
      <c r="AK236" s="98">
        <f t="shared" si="160"/>
        <v>1.0000441570027041</v>
      </c>
      <c r="AL236" s="98">
        <f t="shared" si="161"/>
        <v>9.397380262370178E-3</v>
      </c>
      <c r="AM236" s="98" t="str">
        <f t="shared" si="146"/>
        <v>1+5.13539233075303i</v>
      </c>
      <c r="AN236" s="98">
        <f t="shared" si="162"/>
        <v>5.2318499969663721</v>
      </c>
      <c r="AO236" s="98">
        <f t="shared" si="163"/>
        <v>1.3784759764100565</v>
      </c>
      <c r="AP236" s="168" t="str">
        <f t="shared" si="164"/>
        <v>-0.356512869242248+0.0729065162316866i</v>
      </c>
      <c r="AQ236" s="98">
        <f t="shared" si="165"/>
        <v>-8.7805695731053302</v>
      </c>
      <c r="AR236" s="169">
        <f t="shared" si="166"/>
        <v>168.44242538095807</v>
      </c>
      <c r="AS236" s="168" t="str">
        <f t="shared" si="167"/>
        <v>0.500223399993807+3.30041643747321i</v>
      </c>
      <c r="AT236" s="190">
        <f t="shared" si="168"/>
        <v>10.470010435393922</v>
      </c>
      <c r="AU236" s="169">
        <f t="shared" si="169"/>
        <v>81.381631394277292</v>
      </c>
      <c r="AV236" s="225"/>
      <c r="AX236">
        <f t="shared" si="170"/>
        <v>0</v>
      </c>
      <c r="AY236">
        <f t="shared" si="171"/>
        <v>0</v>
      </c>
    </row>
    <row r="237" spans="14:51" x14ac:dyDescent="0.2">
      <c r="N237" s="170">
        <v>19</v>
      </c>
      <c r="O237" s="199">
        <f t="shared" si="172"/>
        <v>1548.8166189124822</v>
      </c>
      <c r="P237" s="189" t="str">
        <f t="shared" si="138"/>
        <v>771.276595744681</v>
      </c>
      <c r="Q237" s="160" t="str">
        <f t="shared" si="139"/>
        <v>1+86.0264761194439i</v>
      </c>
      <c r="R237" s="160">
        <f t="shared" si="147"/>
        <v>86.03228808725973</v>
      </c>
      <c r="S237" s="160">
        <f t="shared" si="148"/>
        <v>1.5591725220421178</v>
      </c>
      <c r="T237" s="160" t="str">
        <f t="shared" si="140"/>
        <v>1+0.00161932190342482i</v>
      </c>
      <c r="U237" s="160">
        <f t="shared" si="149"/>
        <v>1.0000013111008539</v>
      </c>
      <c r="V237" s="160">
        <f t="shared" si="150"/>
        <v>1.6193204880298987E-3</v>
      </c>
      <c r="W237" s="98" t="str">
        <f t="shared" si="141"/>
        <v>1-0.00661742123995719i</v>
      </c>
      <c r="X237" s="160">
        <f t="shared" si="151"/>
        <v>1.0000218948922404</v>
      </c>
      <c r="Y237" s="160">
        <f t="shared" si="152"/>
        <v>-6.6173246496209343E-3</v>
      </c>
      <c r="Z237" s="98" t="str">
        <f t="shared" si="142"/>
        <v>0.999040466832392-0.0453082404234213i</v>
      </c>
      <c r="AA237" s="160">
        <f t="shared" si="153"/>
        <v>1.0000673432419189</v>
      </c>
      <c r="AB237" s="160">
        <f t="shared" si="154"/>
        <v>-4.5320702362616233E-2</v>
      </c>
      <c r="AC237" s="171" t="str">
        <f t="shared" si="155"/>
        <v>0.465468708889089-8.95247855855021i</v>
      </c>
      <c r="AD237" s="190">
        <f t="shared" si="156"/>
        <v>19.050590237526002</v>
      </c>
      <c r="AE237" s="169">
        <f t="shared" si="157"/>
        <v>-87.023684620283163</v>
      </c>
      <c r="AF237" s="98" t="str">
        <f t="shared" si="143"/>
        <v>-0.0000119284294234592</v>
      </c>
      <c r="AG237" s="98" t="str">
        <f t="shared" si="144"/>
        <v>0.000175488172382571i</v>
      </c>
      <c r="AH237" s="98">
        <f t="shared" si="158"/>
        <v>1.7548817238257101E-4</v>
      </c>
      <c r="AI237" s="98">
        <f t="shared" si="159"/>
        <v>1.5707963267948966</v>
      </c>
      <c r="AJ237" s="98" t="str">
        <f t="shared" si="145"/>
        <v>1+0.00961655645173697i</v>
      </c>
      <c r="AK237" s="98">
        <f t="shared" si="160"/>
        <v>1.0000462380100179</v>
      </c>
      <c r="AL237" s="98">
        <f t="shared" si="161"/>
        <v>9.6162600277088263E-3</v>
      </c>
      <c r="AM237" s="98" t="str">
        <f t="shared" si="146"/>
        <v>1+5.2550109846719i</v>
      </c>
      <c r="AN237" s="98">
        <f t="shared" si="162"/>
        <v>5.3493121472785949</v>
      </c>
      <c r="AO237" s="98">
        <f t="shared" si="163"/>
        <v>1.3827500993358657</v>
      </c>
      <c r="AP237" s="168" t="str">
        <f t="shared" si="164"/>
        <v>-0.356511385500621+0.0714012516375936i</v>
      </c>
      <c r="AQ237" s="98">
        <f t="shared" si="165"/>
        <v>-8.7877345047739865</v>
      </c>
      <c r="AR237" s="169">
        <f t="shared" si="166"/>
        <v>168.67477369895235</v>
      </c>
      <c r="AS237" s="168" t="str">
        <f t="shared" si="167"/>
        <v>0.47327328002597+3.22489558298615i</v>
      </c>
      <c r="AT237" s="190">
        <f t="shared" si="168"/>
        <v>10.262855732752005</v>
      </c>
      <c r="AU237" s="169">
        <f t="shared" si="169"/>
        <v>81.651089078669202</v>
      </c>
      <c r="AV237" s="225"/>
      <c r="AX237">
        <f t="shared" si="170"/>
        <v>0</v>
      </c>
      <c r="AY237">
        <f t="shared" si="171"/>
        <v>0</v>
      </c>
    </row>
    <row r="238" spans="14:51" x14ac:dyDescent="0.2">
      <c r="N238" s="170">
        <v>20</v>
      </c>
      <c r="O238" s="199">
        <f t="shared" si="172"/>
        <v>1584.8931924611156</v>
      </c>
      <c r="P238" s="189" t="str">
        <f t="shared" si="138"/>
        <v>771.276595744681</v>
      </c>
      <c r="Q238" s="160" t="str">
        <f t="shared" si="139"/>
        <v>1+88.0302901636346i</v>
      </c>
      <c r="R238" s="160">
        <f t="shared" si="147"/>
        <v>88.035969843545786</v>
      </c>
      <c r="S238" s="160">
        <f t="shared" si="148"/>
        <v>1.5594370891164675</v>
      </c>
      <c r="T238" s="160" t="str">
        <f t="shared" si="140"/>
        <v>1+0.00165704075602135i</v>
      </c>
      <c r="U238" s="160">
        <f t="shared" si="149"/>
        <v>1.0000013728910913</v>
      </c>
      <c r="V238" s="160">
        <f t="shared" si="150"/>
        <v>1.6570392393984797E-3</v>
      </c>
      <c r="W238" s="98" t="str">
        <f t="shared" si="141"/>
        <v>1-0.00677156078181802i</v>
      </c>
      <c r="X238" s="160">
        <f t="shared" si="151"/>
        <v>1.0000229267548928</v>
      </c>
      <c r="Y238" s="160">
        <f t="shared" si="152"/>
        <v>-6.771457283536177E-3</v>
      </c>
      <c r="Z238" s="98" t="str">
        <f t="shared" si="142"/>
        <v>0.998995245427396-0.0463636049178586i</v>
      </c>
      <c r="AA238" s="160">
        <f t="shared" si="153"/>
        <v>1.0000705396358411</v>
      </c>
      <c r="AB238" s="160">
        <f t="shared" si="154"/>
        <v>-4.6376957654003598E-2</v>
      </c>
      <c r="AC238" s="171" t="str">
        <f t="shared" si="155"/>
        <v>0.460781444883854-8.74839431310415i</v>
      </c>
      <c r="AD238" s="190">
        <f t="shared" si="156"/>
        <v>18.850598383744888</v>
      </c>
      <c r="AE238" s="169">
        <f t="shared" si="157"/>
        <v>-86.984994250903327</v>
      </c>
      <c r="AF238" s="98" t="str">
        <f t="shared" si="143"/>
        <v>-0.0000119284294234592</v>
      </c>
      <c r="AG238" s="98" t="str">
        <f t="shared" si="144"/>
        <v>0.000179575817027242i</v>
      </c>
      <c r="AH238" s="98">
        <f t="shared" si="158"/>
        <v>1.7957581702724199E-4</v>
      </c>
      <c r="AI238" s="98">
        <f t="shared" si="159"/>
        <v>1.5707963267948966</v>
      </c>
      <c r="AJ238" s="98" t="str">
        <f t="shared" si="145"/>
        <v>1+0.00984055482693473i</v>
      </c>
      <c r="AK238" s="98">
        <f t="shared" si="160"/>
        <v>1.0000484170875439</v>
      </c>
      <c r="AL238" s="98">
        <f t="shared" si="161"/>
        <v>9.840237203696563E-3</v>
      </c>
      <c r="AM238" s="98" t="str">
        <f t="shared" si="146"/>
        <v>1+5.37741591497315i</v>
      </c>
      <c r="AN238" s="98">
        <f t="shared" si="162"/>
        <v>5.4696071086145217</v>
      </c>
      <c r="AO238" s="98">
        <f t="shared" si="163"/>
        <v>1.386933660333703</v>
      </c>
      <c r="AP238" s="168" t="str">
        <f t="shared" si="164"/>
        <v>-0.356509831845642+0.0699338435870938i</v>
      </c>
      <c r="AQ238" s="98">
        <f t="shared" si="165"/>
        <v>-8.7945896231457521</v>
      </c>
      <c r="AR238" s="169">
        <f t="shared" si="166"/>
        <v>168.90164114057262</v>
      </c>
      <c r="AS238" s="168" t="str">
        <f t="shared" si="167"/>
        <v>0.447535724097712+3.15111280297847i</v>
      </c>
      <c r="AT238" s="190">
        <f t="shared" si="168"/>
        <v>10.056008760599127</v>
      </c>
      <c r="AU238" s="169">
        <f t="shared" si="169"/>
        <v>81.916646889669295</v>
      </c>
      <c r="AV238" s="225"/>
      <c r="AX238">
        <f t="shared" si="170"/>
        <v>0</v>
      </c>
      <c r="AY238">
        <f t="shared" si="171"/>
        <v>0</v>
      </c>
    </row>
    <row r="239" spans="14:51" x14ac:dyDescent="0.2">
      <c r="N239" s="170">
        <v>21</v>
      </c>
      <c r="O239" s="199">
        <f t="shared" si="172"/>
        <v>1621.8100973589308</v>
      </c>
      <c r="P239" s="189" t="str">
        <f t="shared" si="138"/>
        <v>771.276595744681</v>
      </c>
      <c r="Q239" s="160" t="str">
        <f t="shared" si="139"/>
        <v>1+90.0807790328884i</v>
      </c>
      <c r="R239" s="160">
        <f t="shared" si="147"/>
        <v>90.086329435559023</v>
      </c>
      <c r="S239" s="160">
        <f t="shared" si="148"/>
        <v>1.5596956354456206</v>
      </c>
      <c r="T239" s="160" t="str">
        <f t="shared" si="140"/>
        <v>1+0.00169563819356025i</v>
      </c>
      <c r="U239" s="160">
        <f t="shared" si="149"/>
        <v>1.0000014375934083</v>
      </c>
      <c r="V239" s="160">
        <f t="shared" si="150"/>
        <v>1.695636568469692E-3</v>
      </c>
      <c r="W239" s="98" t="str">
        <f t="shared" si="141"/>
        <v>1-0.00692929069483754i</v>
      </c>
      <c r="X239" s="160">
        <f t="shared" si="151"/>
        <v>1.0000240072465929</v>
      </c>
      <c r="Y239" s="160">
        <f t="shared" si="152"/>
        <v>-6.9291797945742759E-3</v>
      </c>
      <c r="Z239" s="98" t="str">
        <f t="shared" si="142"/>
        <v>0.998947892803242-0.0474435520093181i</v>
      </c>
      <c r="AA239" s="160">
        <f t="shared" si="153"/>
        <v>1.0000738888518679</v>
      </c>
      <c r="AB239" s="160">
        <f t="shared" si="154"/>
        <v>-4.7457859193942964E-2</v>
      </c>
      <c r="AC239" s="171" t="str">
        <f t="shared" si="155"/>
        <v>0.456305080070288-8.54894375544322i</v>
      </c>
      <c r="AD239" s="190">
        <f t="shared" si="156"/>
        <v>18.65060446197905</v>
      </c>
      <c r="AE239" s="169">
        <f t="shared" si="157"/>
        <v>-86.944702138225111</v>
      </c>
      <c r="AF239" s="98" t="str">
        <f t="shared" si="143"/>
        <v>-0.0000119284294234592</v>
      </c>
      <c r="AG239" s="98" t="str">
        <f t="shared" si="144"/>
        <v>0.000183758675147067i</v>
      </c>
      <c r="AH239" s="98">
        <f t="shared" si="158"/>
        <v>1.8375867514706701E-4</v>
      </c>
      <c r="AI239" s="98">
        <f t="shared" si="159"/>
        <v>1.5707963267948966</v>
      </c>
      <c r="AJ239" s="98" t="str">
        <f t="shared" si="145"/>
        <v>1+0.0100697707945568i</v>
      </c>
      <c r="AK239" s="98">
        <f t="shared" si="160"/>
        <v>1.0000506988567404</v>
      </c>
      <c r="AL239" s="98">
        <f t="shared" si="161"/>
        <v>1.006943045605717E-2</v>
      </c>
      <c r="AM239" s="98" t="str">
        <f t="shared" si="146"/>
        <v>1+5.502672022371i</v>
      </c>
      <c r="AN239" s="98">
        <f t="shared" si="162"/>
        <v>5.5927988865848333</v>
      </c>
      <c r="AO239" s="98">
        <f t="shared" si="163"/>
        <v>1.3910282915261731</v>
      </c>
      <c r="AP239" s="168" t="str">
        <f t="shared" si="164"/>
        <v>-0.356508204983673+0.0685035139448318i</v>
      </c>
      <c r="AQ239" s="98">
        <f t="shared" si="165"/>
        <v>-8.8011480146542684</v>
      </c>
      <c r="AR239" s="169">
        <f t="shared" si="166"/>
        <v>169.12311442051063</v>
      </c>
      <c r="AS239" s="168" t="str">
        <f t="shared" si="167"/>
        <v>0.422956182743798+3.07902709417514i</v>
      </c>
      <c r="AT239" s="190">
        <f t="shared" si="168"/>
        <v>9.8494564473247959</v>
      </c>
      <c r="AU239" s="169">
        <f t="shared" si="169"/>
        <v>82.178412282285535</v>
      </c>
      <c r="AV239" s="225"/>
      <c r="AX239">
        <f t="shared" si="170"/>
        <v>0</v>
      </c>
      <c r="AY239">
        <f t="shared" si="171"/>
        <v>0</v>
      </c>
    </row>
    <row r="240" spans="14:51" x14ac:dyDescent="0.2">
      <c r="N240" s="170">
        <v>22</v>
      </c>
      <c r="O240" s="199">
        <f t="shared" si="172"/>
        <v>1659.5869074375626</v>
      </c>
      <c r="P240" s="189" t="str">
        <f t="shared" si="138"/>
        <v>771.276595744681</v>
      </c>
      <c r="Q240" s="160" t="str">
        <f t="shared" si="139"/>
        <v>1+92.1790299235461i</v>
      </c>
      <c r="R240" s="160">
        <f t="shared" si="147"/>
        <v>92.184453991147578</v>
      </c>
      <c r="S240" s="160">
        <f t="shared" si="148"/>
        <v>1.5599482979759212</v>
      </c>
      <c r="T240" s="160" t="str">
        <f t="shared" si="140"/>
        <v>1+0.0017351346809138i</v>
      </c>
      <c r="U240" s="160">
        <f t="shared" si="149"/>
        <v>1.0000015053450475</v>
      </c>
      <c r="V240" s="160">
        <f t="shared" si="150"/>
        <v>1.7351329395980358E-3</v>
      </c>
      <c r="W240" s="98" t="str">
        <f t="shared" si="141"/>
        <v>1-0.00709069460950351i</v>
      </c>
      <c r="X240" s="160">
        <f t="shared" si="151"/>
        <v>1.0000251386590466</v>
      </c>
      <c r="Y240" s="160">
        <f t="shared" si="152"/>
        <v>-7.0905757778918013E-3</v>
      </c>
      <c r="Z240" s="98" t="str">
        <f t="shared" si="142"/>
        <v>0.998898308518665-0.0485486543000428i</v>
      </c>
      <c r="AA240" s="160">
        <f t="shared" si="153"/>
        <v>1.0000773983026487</v>
      </c>
      <c r="AB240" s="160">
        <f t="shared" si="154"/>
        <v>-4.8563984129952421E-2</v>
      </c>
      <c r="AC240" s="171" t="str">
        <f t="shared" si="155"/>
        <v>0.452030126443858-8.35402145174592i</v>
      </c>
      <c r="AD240" s="190">
        <f t="shared" si="156"/>
        <v>18.45060848243223</v>
      </c>
      <c r="AE240" s="169">
        <f t="shared" si="157"/>
        <v>-86.902786677707624</v>
      </c>
      <c r="AF240" s="98" t="str">
        <f t="shared" si="143"/>
        <v>-0.0000119284294234592</v>
      </c>
      <c r="AG240" s="98" t="str">
        <f t="shared" si="144"/>
        <v>0.00018803896454879i</v>
      </c>
      <c r="AH240" s="98">
        <f t="shared" si="158"/>
        <v>1.8803896454879001E-4</v>
      </c>
      <c r="AI240" s="98">
        <f t="shared" si="159"/>
        <v>1.5707963267948966</v>
      </c>
      <c r="AJ240" s="98" t="str">
        <f t="shared" si="145"/>
        <v>1+0.0103043258879434i</v>
      </c>
      <c r="AK240" s="98">
        <f t="shared" si="160"/>
        <v>1.0000530881568264</v>
      </c>
      <c r="AL240" s="98">
        <f t="shared" si="161"/>
        <v>1.030396120971629E-2</v>
      </c>
      <c r="AM240" s="98" t="str">
        <f t="shared" si="146"/>
        <v>1+5.63084571931163i</v>
      </c>
      <c r="AN240" s="98">
        <f t="shared" si="162"/>
        <v>5.7189530086100646</v>
      </c>
      <c r="AO240" s="98">
        <f t="shared" si="163"/>
        <v>1.3950356144666514</v>
      </c>
      <c r="AP240" s="168" t="str">
        <f t="shared" si="164"/>
        <v>-0.356506501465974+0.0671095042280368i</v>
      </c>
      <c r="AQ240" s="98">
        <f t="shared" si="165"/>
        <v>-8.8074222588400506</v>
      </c>
      <c r="AR240" s="169">
        <f t="shared" si="166"/>
        <v>169.3392794897953</v>
      </c>
      <c r="AS240" s="168" t="str">
        <f t="shared" si="167"/>
        <v>0.399482559001331+3.00859847861542i</v>
      </c>
      <c r="AT240" s="190">
        <f t="shared" si="168"/>
        <v>9.6431862235921848</v>
      </c>
      <c r="AU240" s="169">
        <f t="shared" si="169"/>
        <v>82.436492812087678</v>
      </c>
      <c r="AV240" s="225"/>
      <c r="AX240">
        <f t="shared" si="170"/>
        <v>0</v>
      </c>
      <c r="AY240">
        <f t="shared" si="171"/>
        <v>0</v>
      </c>
    </row>
    <row r="241" spans="14:51" x14ac:dyDescent="0.2">
      <c r="N241" s="170">
        <v>23</v>
      </c>
      <c r="O241" s="199">
        <f t="shared" si="172"/>
        <v>1698.2436524617447</v>
      </c>
      <c r="P241" s="189" t="str">
        <f t="shared" si="138"/>
        <v>771.276595744681</v>
      </c>
      <c r="Q241" s="160" t="str">
        <f t="shared" si="139"/>
        <v>1+94.3261553560023i</v>
      </c>
      <c r="R241" s="160">
        <f t="shared" si="147"/>
        <v>94.331455963770011</v>
      </c>
      <c r="S241" s="160">
        <f t="shared" si="148"/>
        <v>1.5601952105432761</v>
      </c>
      <c r="T241" s="160" t="str">
        <f t="shared" si="140"/>
        <v>1+0.00177555115964239i</v>
      </c>
      <c r="U241" s="160">
        <f t="shared" si="149"/>
        <v>1.0000015762897179</v>
      </c>
      <c r="V241" s="160">
        <f t="shared" si="150"/>
        <v>1.7755492937890911E-3</v>
      </c>
      <c r="W241" s="98" t="str">
        <f t="shared" si="141"/>
        <v>1-0.00725585810430784i</v>
      </c>
      <c r="X241" s="160">
        <f t="shared" si="151"/>
        <v>1.0000263233919544</v>
      </c>
      <c r="Y241" s="160">
        <f t="shared" si="152"/>
        <v>-7.2557307741228406E-3</v>
      </c>
      <c r="Z241" s="98" t="str">
        <f t="shared" si="142"/>
        <v>0.998846387398749-0.0496794977298945i</v>
      </c>
      <c r="AA241" s="160">
        <f t="shared" si="153"/>
        <v>1.000081075770473</v>
      </c>
      <c r="AB241" s="160">
        <f t="shared" si="154"/>
        <v>-4.9695923271384369E-2</v>
      </c>
      <c r="AC241" s="171" t="str">
        <f t="shared" si="155"/>
        <v>0.447947522566153-8.16352434762127i</v>
      </c>
      <c r="AD241" s="190">
        <f t="shared" si="156"/>
        <v>18.250610450687944</v>
      </c>
      <c r="AE241" s="169">
        <f t="shared" si="157"/>
        <v>-86.859225387987181</v>
      </c>
      <c r="AF241" s="98" t="str">
        <f t="shared" si="143"/>
        <v>-0.0000119284294234592</v>
      </c>
      <c r="AG241" s="98" t="str">
        <f t="shared" si="144"/>
        <v>0.000192418954698506i</v>
      </c>
      <c r="AH241" s="98">
        <f t="shared" si="158"/>
        <v>1.9241895469850599E-4</v>
      </c>
      <c r="AI241" s="98">
        <f t="shared" si="159"/>
        <v>1.5707963267948966</v>
      </c>
      <c r="AJ241" s="98" t="str">
        <f t="shared" si="145"/>
        <v>1+0.0105443444713096i</v>
      </c>
      <c r="AK241" s="98">
        <f t="shared" si="160"/>
        <v>1.0000555900550376</v>
      </c>
      <c r="AL241" s="98">
        <f t="shared" si="161"/>
        <v>1.0543953712722176E-2</v>
      </c>
      <c r="AM241" s="98" t="str">
        <f t="shared" si="146"/>
        <v>1+5.76200496518565i</v>
      </c>
      <c r="AN241" s="98">
        <f t="shared" si="162"/>
        <v>5.8481365595225352</v>
      </c>
      <c r="AO241" s="98">
        <f t="shared" si="163"/>
        <v>1.3989572388192488</v>
      </c>
      <c r="AP241" s="168" t="str">
        <f t="shared" si="164"/>
        <v>-0.356504717681408+0.065751075203877i</v>
      </c>
      <c r="AQ241" s="98">
        <f t="shared" si="165"/>
        <v>-8.8134244449299874</v>
      </c>
      <c r="AR241" s="169">
        <f t="shared" si="166"/>
        <v>169.55022145649784</v>
      </c>
      <c r="AS241" s="168" t="str">
        <f t="shared" si="167"/>
        <v>0.377065098240595+2.93978797407766i</v>
      </c>
      <c r="AT241" s="190">
        <f t="shared" si="168"/>
        <v>9.43718600575796</v>
      </c>
      <c r="AU241" s="169">
        <f t="shared" si="169"/>
        <v>82.690996068510657</v>
      </c>
      <c r="AV241" s="225"/>
      <c r="AX241">
        <f t="shared" si="170"/>
        <v>0</v>
      </c>
      <c r="AY241">
        <f t="shared" si="171"/>
        <v>0</v>
      </c>
    </row>
    <row r="242" spans="14:51" x14ac:dyDescent="0.2">
      <c r="N242" s="170">
        <v>24</v>
      </c>
      <c r="O242" s="199">
        <f t="shared" si="172"/>
        <v>1737.8008287493772</v>
      </c>
      <c r="P242" s="189" t="str">
        <f t="shared" si="138"/>
        <v>771.276595744681</v>
      </c>
      <c r="Q242" s="160" t="str">
        <f t="shared" si="139"/>
        <v>1+96.5232937645833i</v>
      </c>
      <c r="R242" s="160">
        <f t="shared" si="147"/>
        <v>96.528473722337722</v>
      </c>
      <c r="S242" s="160">
        <f t="shared" si="148"/>
        <v>1.5604365039435022</v>
      </c>
      <c r="T242" s="160" t="str">
        <f t="shared" si="140"/>
        <v>1+0.00181690905909803i</v>
      </c>
      <c r="U242" s="160">
        <f t="shared" si="149"/>
        <v>1.0000016505779024</v>
      </c>
      <c r="V242" s="160">
        <f t="shared" si="150"/>
        <v>1.8169070598003777E-3</v>
      </c>
      <c r="W242" s="98" t="str">
        <f t="shared" si="141"/>
        <v>1-0.00742486875112176i</v>
      </c>
      <c r="X242" s="160">
        <f t="shared" si="151"/>
        <v>1.0000275639580998</v>
      </c>
      <c r="Y242" s="160">
        <f t="shared" si="152"/>
        <v>-7.4247323145735008E-3</v>
      </c>
      <c r="Z242" s="98" t="str">
        <f t="shared" si="142"/>
        <v>0.998792019311839-0.0508366818870289i</v>
      </c>
      <c r="AA242" s="160">
        <f t="shared" si="153"/>
        <v>1.0000849294266483</v>
      </c>
      <c r="AB242" s="160">
        <f t="shared" si="154"/>
        <v>-5.0854281423183149E-2</v>
      </c>
      <c r="AC242" s="171" t="str">
        <f t="shared" si="155"/>
        <v>0.444048614397885-7.97735171487913i</v>
      </c>
      <c r="AD242" s="190">
        <f t="shared" si="156"/>
        <v>18.05061036769586</v>
      </c>
      <c r="AE242" s="169">
        <f t="shared" si="157"/>
        <v>-86.813994897738368</v>
      </c>
      <c r="AF242" s="98" t="str">
        <f t="shared" si="143"/>
        <v>-0.0000119284294234592</v>
      </c>
      <c r="AG242" s="98" t="str">
        <f t="shared" si="144"/>
        <v>0.000196900967924969i</v>
      </c>
      <c r="AH242" s="98">
        <f t="shared" si="158"/>
        <v>1.96900967924969E-4</v>
      </c>
      <c r="AI242" s="98">
        <f t="shared" si="159"/>
        <v>1.5707963267948966</v>
      </c>
      <c r="AJ242" s="98" t="str">
        <f t="shared" si="145"/>
        <v>1+0.0107899538056855i</v>
      </c>
      <c r="AK242" s="98">
        <f t="shared" si="160"/>
        <v>1.0000582098573707</v>
      </c>
      <c r="AL242" s="98">
        <f t="shared" si="161"/>
        <v>1.0789535101631649E-2</v>
      </c>
      <c r="AM242" s="98" t="str">
        <f t="shared" si="146"/>
        <v>1+5.89621930236141i</v>
      </c>
      <c r="AN242" s="98">
        <f t="shared" si="162"/>
        <v>5.9804182179459051</v>
      </c>
      <c r="AO242" s="98">
        <f t="shared" si="163"/>
        <v>1.4027947611514473</v>
      </c>
      <c r="AP242" s="168" t="str">
        <f t="shared" si="164"/>
        <v>-0.356502849848801+0.0644275064969785i</v>
      </c>
      <c r="AQ242" s="98">
        <f t="shared" si="165"/>
        <v>-8.8191661881830115</v>
      </c>
      <c r="AR242" s="169">
        <f t="shared" si="166"/>
        <v>169.75602451280858</v>
      </c>
      <c r="AS242" s="168" t="str">
        <f t="shared" si="167"/>
        <v>0.3556562829348+2.87255756558972i</v>
      </c>
      <c r="AT242" s="190">
        <f t="shared" si="168"/>
        <v>9.2314441795128381</v>
      </c>
      <c r="AU242" s="169">
        <f t="shared" si="169"/>
        <v>82.942029615070226</v>
      </c>
      <c r="AV242" s="225"/>
      <c r="AX242">
        <f t="shared" si="170"/>
        <v>0</v>
      </c>
      <c r="AY242">
        <f t="shared" si="171"/>
        <v>0</v>
      </c>
    </row>
    <row r="243" spans="14:51" x14ac:dyDescent="0.2">
      <c r="N243" s="170">
        <v>25</v>
      </c>
      <c r="O243" s="199">
        <f t="shared" si="172"/>
        <v>1778.2794100389244</v>
      </c>
      <c r="P243" s="189" t="str">
        <f t="shared" si="138"/>
        <v>771.276595744681</v>
      </c>
      <c r="Q243" s="160" t="str">
        <f t="shared" si="139"/>
        <v>1+98.7716101011551i</v>
      </c>
      <c r="R243" s="160">
        <f t="shared" si="147"/>
        <v>98.77667215478867</v>
      </c>
      <c r="S243" s="160">
        <f t="shared" si="148"/>
        <v>1.5606723060011001</v>
      </c>
      <c r="T243" s="160" t="str">
        <f t="shared" si="140"/>
        <v>1+0.00185923030778644i</v>
      </c>
      <c r="U243" s="160">
        <f t="shared" si="149"/>
        <v>1.0000017283671752</v>
      </c>
      <c r="V243" s="160">
        <f t="shared" si="150"/>
        <v>1.8592281655006085E-3</v>
      </c>
      <c r="W243" s="98" t="str">
        <f t="shared" si="141"/>
        <v>1-0.00759781616162728i</v>
      </c>
      <c r="X243" s="160">
        <f t="shared" si="151"/>
        <v>1.0000288629886769</v>
      </c>
      <c r="Y243" s="160">
        <f t="shared" si="152"/>
        <v>-7.5976699674597699E-3</v>
      </c>
      <c r="Z243" s="98" t="str">
        <f t="shared" si="142"/>
        <v>0.998735088935933-0.0520208203258028i</v>
      </c>
      <c r="AA243" s="160">
        <f t="shared" si="153"/>
        <v>1.0000889678519784</v>
      </c>
      <c r="AB243" s="160">
        <f t="shared" si="154"/>
        <v>-5.2039677728513145E-2</v>
      </c>
      <c r="AC243" s="171" t="str">
        <f t="shared" si="155"/>
        <v>0.440325136990984-7.79540509943907i</v>
      </c>
      <c r="AD243" s="190">
        <f t="shared" si="156"/>
        <v>17.850608229746989</v>
      </c>
      <c r="AE243" s="169">
        <f t="shared" si="157"/>
        <v>-86.767070931981735</v>
      </c>
      <c r="AF243" s="98" t="str">
        <f t="shared" si="143"/>
        <v>-0.0000119284294234592</v>
      </c>
      <c r="AG243" s="98" t="str">
        <f t="shared" si="144"/>
        <v>0.000201487380650918i</v>
      </c>
      <c r="AH243" s="98">
        <f t="shared" si="158"/>
        <v>2.0148738065091799E-4</v>
      </c>
      <c r="AI243" s="98">
        <f t="shared" si="159"/>
        <v>1.5707963267948966</v>
      </c>
      <c r="AJ243" s="98" t="str">
        <f t="shared" si="145"/>
        <v>1+0.0110412841163911i</v>
      </c>
      <c r="AK243" s="98">
        <f t="shared" si="160"/>
        <v>1.0000609531198279</v>
      </c>
      <c r="AL243" s="98">
        <f t="shared" si="161"/>
        <v>1.1040835468391071E-2</v>
      </c>
      <c r="AM243" s="98" t="str">
        <f t="shared" si="146"/>
        <v>1+6.03355989305697i</v>
      </c>
      <c r="AN243" s="98">
        <f t="shared" si="162"/>
        <v>6.1158682934727793</v>
      </c>
      <c r="AO243" s="98">
        <f t="shared" si="163"/>
        <v>1.4065497638333979</v>
      </c>
      <c r="AP243" s="168" t="str">
        <f t="shared" si="164"/>
        <v>-0.356500894008931+0.0631380962069105i</v>
      </c>
      <c r="AQ243" s="98">
        <f t="shared" si="165"/>
        <v>-8.8246586459758465</v>
      </c>
      <c r="AR243" s="169">
        <f t="shared" si="166"/>
        <v>169.95677186813921</v>
      </c>
      <c r="AS243" s="168" t="str">
        <f t="shared" si="167"/>
        <v>0.335210732148334+2.80687017797347i</v>
      </c>
      <c r="AT243" s="190">
        <f t="shared" si="168"/>
        <v>9.0259495837711547</v>
      </c>
      <c r="AU243" s="169">
        <f t="shared" si="169"/>
        <v>83.189700936157493</v>
      </c>
      <c r="AV243" s="225"/>
      <c r="AX243">
        <f t="shared" si="170"/>
        <v>0</v>
      </c>
      <c r="AY243">
        <f t="shared" si="171"/>
        <v>0</v>
      </c>
    </row>
    <row r="244" spans="14:51" x14ac:dyDescent="0.2">
      <c r="N244" s="170">
        <v>26</v>
      </c>
      <c r="O244" s="199">
        <f t="shared" si="172"/>
        <v>1819.7008586099832</v>
      </c>
      <c r="P244" s="189" t="str">
        <f t="shared" si="138"/>
        <v>771.276595744681</v>
      </c>
      <c r="Q244" s="160" t="str">
        <f t="shared" si="139"/>
        <v>1+101.072296452798i</v>
      </c>
      <c r="R244" s="160">
        <f t="shared" si="147"/>
        <v>101.07724328572819</v>
      </c>
      <c r="S244" s="160">
        <f t="shared" si="148"/>
        <v>1.5609027416364916</v>
      </c>
      <c r="T244" s="160" t="str">
        <f t="shared" si="140"/>
        <v>1+0.00190253734499384i</v>
      </c>
      <c r="U244" s="160">
        <f t="shared" si="149"/>
        <v>1.0000018098225367</v>
      </c>
      <c r="V244" s="160">
        <f t="shared" si="150"/>
        <v>1.9025350494934388E-3</v>
      </c>
      <c r="W244" s="98" t="str">
        <f t="shared" si="141"/>
        <v>1-0.00777479203483059i</v>
      </c>
      <c r="X244" s="160">
        <f t="shared" si="151"/>
        <v>1.0000302232388705</v>
      </c>
      <c r="Y244" s="160">
        <f t="shared" si="152"/>
        <v>-7.7746353852134837E-3</v>
      </c>
      <c r="Z244" s="98" t="str">
        <f t="shared" si="142"/>
        <v>0.99867547551407-0.0532325408920899i</v>
      </c>
      <c r="AA244" s="160">
        <f t="shared" si="153"/>
        <v>1.0000932000584155</v>
      </c>
      <c r="AB244" s="160">
        <f t="shared" si="154"/>
        <v>-5.3252746020548865E-2</v>
      </c>
      <c r="AC244" s="171" t="str">
        <f t="shared" si="155"/>
        <v>0.436769197001291-7.6175882703548i</v>
      </c>
      <c r="AD244" s="190">
        <f t="shared" si="156"/>
        <v>17.650604028435595</v>
      </c>
      <c r="AE244" s="169">
        <f t="shared" si="157"/>
        <v>-86.718428297824687</v>
      </c>
      <c r="AF244" s="98" t="str">
        <f t="shared" si="143"/>
        <v>-0.0000119284294234592</v>
      </c>
      <c r="AG244" s="98" t="str">
        <f t="shared" si="144"/>
        <v>0.000206180624653089i</v>
      </c>
      <c r="AH244" s="98">
        <f t="shared" si="158"/>
        <v>2.06180624653089E-4</v>
      </c>
      <c r="AI244" s="98">
        <f t="shared" si="159"/>
        <v>1.5707963267948966</v>
      </c>
      <c r="AJ244" s="98" t="str">
        <f t="shared" si="145"/>
        <v>1+0.0112984686620837i</v>
      </c>
      <c r="AK244" s="98">
        <f t="shared" si="160"/>
        <v>1.0000638256601966</v>
      </c>
      <c r="AL244" s="98">
        <f t="shared" si="161"/>
        <v>1.129798792874746E-2</v>
      </c>
      <c r="AM244" s="98" t="str">
        <f t="shared" si="146"/>
        <v>1+6.17409955707137i</v>
      </c>
      <c r="AN244" s="98">
        <f t="shared" si="162"/>
        <v>6.2545587646634901</v>
      </c>
      <c r="AO244" s="98">
        <f t="shared" si="163"/>
        <v>1.4102238140381134</v>
      </c>
      <c r="AP244" s="168" t="str">
        <f t="shared" si="164"/>
        <v>-0.356498846016167+0.0618821605354226i</v>
      </c>
      <c r="AQ244" s="98">
        <f t="shared" si="165"/>
        <v>-8.8299125336053415</v>
      </c>
      <c r="AR244" s="169">
        <f t="shared" si="166"/>
        <v>170.15254568791877</v>
      </c>
      <c r="AS244" s="168" t="str">
        <f t="shared" si="167"/>
        <v>0.31568510553248+2.74268964937354i</v>
      </c>
      <c r="AT244" s="190">
        <f t="shared" si="168"/>
        <v>8.8206914948302622</v>
      </c>
      <c r="AU244" s="169">
        <f t="shared" si="169"/>
        <v>83.434117390094087</v>
      </c>
      <c r="AV244" s="225"/>
      <c r="AX244">
        <f t="shared" si="170"/>
        <v>0</v>
      </c>
      <c r="AY244">
        <f t="shared" si="171"/>
        <v>0</v>
      </c>
    </row>
    <row r="245" spans="14:51" x14ac:dyDescent="0.2">
      <c r="N245" s="170">
        <v>27</v>
      </c>
      <c r="O245" s="199">
        <f t="shared" si="172"/>
        <v>1862.0871366628687</v>
      </c>
      <c r="P245" s="189" t="str">
        <f t="shared" si="138"/>
        <v>771.276595744681</v>
      </c>
      <c r="Q245" s="160" t="str">
        <f t="shared" si="139"/>
        <v>1+103.426572673871i</v>
      </c>
      <c r="R245" s="160">
        <f t="shared" si="147"/>
        <v>103.43140690846045</v>
      </c>
      <c r="S245" s="160">
        <f t="shared" si="148"/>
        <v>1.5611279329317547</v>
      </c>
      <c r="T245" s="160" t="str">
        <f t="shared" si="140"/>
        <v>1+0.00194685313268463i</v>
      </c>
      <c r="U245" s="160">
        <f t="shared" si="149"/>
        <v>1.0000018951167644</v>
      </c>
      <c r="V245" s="160">
        <f t="shared" si="150"/>
        <v>1.9468506730118864E-3</v>
      </c>
      <c r="W245" s="98" t="str">
        <f t="shared" si="141"/>
        <v>1-0.00795589020568236i</v>
      </c>
      <c r="X245" s="160">
        <f t="shared" si="151"/>
        <v>1.0000316475936972</v>
      </c>
      <c r="Y245" s="160">
        <f t="shared" si="152"/>
        <v>-7.9557223528803657E-3</v>
      </c>
      <c r="Z245" s="98" t="str">
        <f t="shared" si="142"/>
        <v>0.99861305259819-0.0544724860561742i</v>
      </c>
      <c r="AA245" s="160">
        <f t="shared" si="153"/>
        <v>1.0000976355119611</v>
      </c>
      <c r="AB245" s="160">
        <f t="shared" si="154"/>
        <v>-5.4494135183719788E-2</v>
      </c>
      <c r="AC245" s="171" t="str">
        <f t="shared" si="155"/>
        <v>0.433373255985173-7.44380716993363i</v>
      </c>
      <c r="AD245" s="190">
        <f t="shared" si="156"/>
        <v>17.450597750608235</v>
      </c>
      <c r="AE245" s="169">
        <f t="shared" si="157"/>
        <v>-86.668040869621436</v>
      </c>
      <c r="AF245" s="98" t="str">
        <f t="shared" si="143"/>
        <v>-0.0000119284294234592</v>
      </c>
      <c r="AG245" s="98" t="str">
        <f t="shared" si="144"/>
        <v>0.000210983188351575i</v>
      </c>
      <c r="AH245" s="98">
        <f t="shared" si="158"/>
        <v>2.1098318835157499E-4</v>
      </c>
      <c r="AI245" s="98">
        <f t="shared" si="159"/>
        <v>1.5707963267948966</v>
      </c>
      <c r="AJ245" s="98" t="str">
        <f t="shared" si="145"/>
        <v>1+0.0115616438054139i</v>
      </c>
      <c r="AK245" s="98">
        <f t="shared" si="160"/>
        <v>1.0000668335703786</v>
      </c>
      <c r="AL245" s="98">
        <f t="shared" si="161"/>
        <v>1.1561128692222668E-2</v>
      </c>
      <c r="AM245" s="98" t="str">
        <f t="shared" si="146"/>
        <v>1+6.31791281039483i</v>
      </c>
      <c r="AN245" s="98">
        <f t="shared" si="162"/>
        <v>6.3965633178880585</v>
      </c>
      <c r="AO245" s="98">
        <f t="shared" si="163"/>
        <v>1.4138184628369175</v>
      </c>
      <c r="AP245" s="168" t="str">
        <f t="shared" si="164"/>
        <v>-0.356496701529696+0.0606590334232389i</v>
      </c>
      <c r="AQ245" s="98">
        <f t="shared" si="165"/>
        <v>-8.8349381397891236</v>
      </c>
      <c r="AR245" s="169">
        <f t="shared" si="166"/>
        <v>170.34342703775701</v>
      </c>
      <c r="AS245" s="168" t="str">
        <f t="shared" si="167"/>
        <v>0.297038011627251+2.67998070572398i</v>
      </c>
      <c r="AT245" s="190">
        <f t="shared" si="168"/>
        <v>8.6156596108191046</v>
      </c>
      <c r="AU245" s="169">
        <f t="shared" si="169"/>
        <v>83.675386168135574</v>
      </c>
      <c r="AV245" s="225"/>
      <c r="AX245">
        <f t="shared" si="170"/>
        <v>0</v>
      </c>
      <c r="AY245">
        <f t="shared" si="171"/>
        <v>0</v>
      </c>
    </row>
    <row r="246" spans="14:51" x14ac:dyDescent="0.2">
      <c r="N246" s="170">
        <v>28</v>
      </c>
      <c r="O246" s="199">
        <f t="shared" si="172"/>
        <v>1905.4607179632501</v>
      </c>
      <c r="P246" s="189" t="str">
        <f t="shared" si="138"/>
        <v>771.276595744681</v>
      </c>
      <c r="Q246" s="160" t="str">
        <f t="shared" si="139"/>
        <v>1+105.835687032789i</v>
      </c>
      <c r="R246" s="160">
        <f t="shared" si="147"/>
        <v>105.84041123173351</v>
      </c>
      <c r="S246" s="160">
        <f t="shared" si="148"/>
        <v>1.5613479991948851</v>
      </c>
      <c r="T246" s="160" t="str">
        <f t="shared" si="140"/>
        <v>1+0.00199220116767603i</v>
      </c>
      <c r="U246" s="160">
        <f t="shared" si="149"/>
        <v>1.0000019844307773</v>
      </c>
      <c r="V246" s="160">
        <f t="shared" si="150"/>
        <v>1.9921985320894833E-3</v>
      </c>
      <c r="W246" s="98" t="str">
        <f t="shared" si="141"/>
        <v>1-0.00814120669482992i</v>
      </c>
      <c r="X246" s="160">
        <f t="shared" si="151"/>
        <v>1.0000331390741248</v>
      </c>
      <c r="Y246" s="160">
        <f t="shared" si="152"/>
        <v>-8.1410268376340428E-3</v>
      </c>
      <c r="Z246" s="98" t="str">
        <f t="shared" si="142"/>
        <v>0.99854768778092-0.0557413132533946i</v>
      </c>
      <c r="AA246" s="160">
        <f t="shared" si="153"/>
        <v>1.0001022841568927</v>
      </c>
      <c r="AB246" s="160">
        <f t="shared" si="154"/>
        <v>-5.5764509524716142E-2</v>
      </c>
      <c r="AC246" s="171" t="str">
        <f t="shared" si="155"/>
        <v>0.430130114444982-7.27396986493086i</v>
      </c>
      <c r="AD246" s="190">
        <f t="shared" si="156"/>
        <v>17.250589378300511</v>
      </c>
      <c r="AE246" s="169">
        <f t="shared" si="157"/>
        <v>-86.615881573537337</v>
      </c>
      <c r="AF246" s="98" t="str">
        <f t="shared" si="143"/>
        <v>-0.0000119284294234592</v>
      </c>
      <c r="AG246" s="98" t="str">
        <f t="shared" si="144"/>
        <v>0.000215897618129217i</v>
      </c>
      <c r="AH246" s="98">
        <f t="shared" si="158"/>
        <v>2.15897618129217E-4</v>
      </c>
      <c r="AI246" s="98">
        <f t="shared" si="159"/>
        <v>1.5707963267948966</v>
      </c>
      <c r="AJ246" s="98" t="str">
        <f t="shared" si="145"/>
        <v>1+0.0118309490853264i</v>
      </c>
      <c r="AK246" s="98">
        <f t="shared" si="160"/>
        <v>1.0000699832293036</v>
      </c>
      <c r="AL246" s="98">
        <f t="shared" si="161"/>
        <v>1.1830397133683675E-2</v>
      </c>
      <c r="AM246" s="98" t="str">
        <f t="shared" si="146"/>
        <v>1+6.46507590471789i</v>
      </c>
      <c r="AN246" s="98">
        <f t="shared" si="162"/>
        <v>6.5419573870336265</v>
      </c>
      <c r="AO246" s="98">
        <f t="shared" si="163"/>
        <v>1.4173352443847007</v>
      </c>
      <c r="AP246" s="168" t="str">
        <f t="shared" si="164"/>
        <v>-0.35649445600435+0.0594680661962108i</v>
      </c>
      <c r="AQ246" s="98">
        <f t="shared" si="165"/>
        <v>-8.8397453418476672</v>
      </c>
      <c r="AR246" s="169">
        <f t="shared" si="166"/>
        <v>170.52949583266272</v>
      </c>
      <c r="AS246" s="168" t="str">
        <f t="shared" si="167"/>
        <v>0.279229920276798+2.61870893610936i</v>
      </c>
      <c r="AT246" s="190">
        <f t="shared" si="168"/>
        <v>8.4108440364528434</v>
      </c>
      <c r="AU246" s="169">
        <f t="shared" si="169"/>
        <v>83.913614259125382</v>
      </c>
      <c r="AV246" s="225"/>
      <c r="AX246">
        <f t="shared" si="170"/>
        <v>0</v>
      </c>
      <c r="AY246">
        <f t="shared" si="171"/>
        <v>0</v>
      </c>
    </row>
    <row r="247" spans="14:51" x14ac:dyDescent="0.2">
      <c r="N247" s="170">
        <v>29</v>
      </c>
      <c r="O247" s="199">
        <f t="shared" si="172"/>
        <v>1949.8445997580463</v>
      </c>
      <c r="P247" s="189" t="str">
        <f t="shared" si="138"/>
        <v>771.276595744681</v>
      </c>
      <c r="Q247" s="160" t="str">
        <f t="shared" si="139"/>
        <v>1+108.300916873872i</v>
      </c>
      <c r="R247" s="160">
        <f t="shared" si="147"/>
        <v>108.30553354155701</v>
      </c>
      <c r="S247" s="160">
        <f t="shared" si="148"/>
        <v>1.561563057022618</v>
      </c>
      <c r="T247" s="160" t="str">
        <f t="shared" si="140"/>
        <v>1+0.00203860549409641i</v>
      </c>
      <c r="U247" s="160">
        <f t="shared" si="149"/>
        <v>1.0000020779540213</v>
      </c>
      <c r="V247" s="160">
        <f t="shared" si="150"/>
        <v>2.0386026700148613E-3</v>
      </c>
      <c r="W247" s="98" t="str">
        <f t="shared" si="141"/>
        <v>1-0.00833083975952856i</v>
      </c>
      <c r="X247" s="160">
        <f t="shared" si="151"/>
        <v>1.0000347008434753</v>
      </c>
      <c r="Y247" s="160">
        <f t="shared" si="152"/>
        <v>-8.3306470394321642E-3</v>
      </c>
      <c r="Z247" s="98" t="str">
        <f t="shared" si="142"/>
        <v>0.998479242414718-0.0570396952327247i</v>
      </c>
      <c r="AA247" s="160">
        <f t="shared" si="153"/>
        <v>1.0001071564414041</v>
      </c>
      <c r="AB247" s="160">
        <f t="shared" si="154"/>
        <v>-5.7064549153581022E-2</v>
      </c>
      <c r="AC247" s="171" t="str">
        <f t="shared" si="155"/>
        <v>0.427032896589728-7.10798649879646i</v>
      </c>
      <c r="AD247" s="190">
        <f t="shared" si="156"/>
        <v>17.050578888659093</v>
      </c>
      <c r="AE247" s="169">
        <f t="shared" si="157"/>
        <v>-86.561922371502334</v>
      </c>
      <c r="AF247" s="98" t="str">
        <f t="shared" si="143"/>
        <v>-0.0000119284294234592</v>
      </c>
      <c r="AG247" s="98" t="str">
        <f t="shared" si="144"/>
        <v>0.000220926519681734i</v>
      </c>
      <c r="AH247" s="98">
        <f t="shared" si="158"/>
        <v>2.2092651968173401E-4</v>
      </c>
      <c r="AI247" s="98">
        <f t="shared" si="159"/>
        <v>1.5707963267948966</v>
      </c>
      <c r="AJ247" s="98" t="str">
        <f t="shared" si="145"/>
        <v>1+0.0121065272910448i</v>
      </c>
      <c r="AK247" s="98">
        <f t="shared" si="160"/>
        <v>1.0000732813164488</v>
      </c>
      <c r="AL247" s="98">
        <f t="shared" si="161"/>
        <v>1.2105935866544638E-2</v>
      </c>
      <c r="AM247" s="98" t="str">
        <f t="shared" si="146"/>
        <v>1+6.61566686786094i</v>
      </c>
      <c r="AN247" s="98">
        <f t="shared" si="162"/>
        <v>6.6908181941010012</v>
      </c>
      <c r="AO247" s="98">
        <f t="shared" si="163"/>
        <v>1.4207756751897507</v>
      </c>
      <c r="AP247" s="168" t="str">
        <f t="shared" si="164"/>
        <v>-0.356492104680968+0.0583086272206362i</v>
      </c>
      <c r="AQ247" s="98">
        <f t="shared" si="165"/>
        <v>-8.8443436205554988</v>
      </c>
      <c r="AR247" s="169">
        <f t="shared" si="166"/>
        <v>170.71083079101356</v>
      </c>
      <c r="AS247" s="168" t="str">
        <f t="shared" si="167"/>
        <v>0.262223078974356+2.55884076897805i</v>
      </c>
      <c r="AT247" s="190">
        <f t="shared" si="168"/>
        <v>8.2062352681035851</v>
      </c>
      <c r="AU247" s="169">
        <f t="shared" si="169"/>
        <v>84.148908419511201</v>
      </c>
      <c r="AV247" s="225"/>
      <c r="AX247">
        <f t="shared" si="170"/>
        <v>0</v>
      </c>
      <c r="AY247">
        <f t="shared" si="171"/>
        <v>0</v>
      </c>
    </row>
    <row r="248" spans="14:51" x14ac:dyDescent="0.2">
      <c r="N248" s="170">
        <v>30</v>
      </c>
      <c r="O248" s="199">
        <f t="shared" si="172"/>
        <v>1995.2623149688804</v>
      </c>
      <c r="P248" s="189" t="str">
        <f t="shared" si="138"/>
        <v>771.276595744681</v>
      </c>
      <c r="Q248" s="160" t="str">
        <f t="shared" si="139"/>
        <v>1+110.823569294614i</v>
      </c>
      <c r="R248" s="160">
        <f t="shared" si="147"/>
        <v>110.82808087844035</v>
      </c>
      <c r="S248" s="160">
        <f t="shared" si="148"/>
        <v>1.5617732203618435</v>
      </c>
      <c r="T248" s="160" t="str">
        <f t="shared" si="140"/>
        <v>1+0.0020860907161339i</v>
      </c>
      <c r="U248" s="160">
        <f t="shared" si="149"/>
        <v>1.0000021758848707</v>
      </c>
      <c r="V248" s="160">
        <f t="shared" si="150"/>
        <v>2.0860876900763571E-3</v>
      </c>
      <c r="W248" s="98" t="str">
        <f t="shared" si="141"/>
        <v>1-0.00852488994573948i</v>
      </c>
      <c r="X248" s="160">
        <f t="shared" si="151"/>
        <v>1.0000363362141333</v>
      </c>
      <c r="Y248" s="160">
        <f t="shared" si="152"/>
        <v>-8.524683442840927E-3</v>
      </c>
      <c r="Z248" s="98" t="str">
        <f t="shared" si="142"/>
        <v>0.998407571317786-0.0583683204134772i</v>
      </c>
      <c r="AA248" s="160">
        <f t="shared" si="153"/>
        <v>1.0001122633447557</v>
      </c>
      <c r="AB248" s="160">
        <f t="shared" si="154"/>
        <v>-5.8394950375229168E-2</v>
      </c>
      <c r="AC248" s="171" t="str">
        <f t="shared" si="155"/>
        <v>0.424075035779035-6.94576924495493i</v>
      </c>
      <c r="AD248" s="190">
        <f t="shared" si="156"/>
        <v>16.85056625385015</v>
      </c>
      <c r="AE248" s="169">
        <f t="shared" si="157"/>
        <v>-86.506134244536455</v>
      </c>
      <c r="AF248" s="98" t="str">
        <f t="shared" si="143"/>
        <v>-0.0000119284294234592</v>
      </c>
      <c r="AG248" s="98" t="str">
        <f t="shared" si="144"/>
        <v>0.000226072559399294i</v>
      </c>
      <c r="AH248" s="98">
        <f t="shared" si="158"/>
        <v>2.2607255939929399E-4</v>
      </c>
      <c r="AI248" s="98">
        <f t="shared" si="159"/>
        <v>1.5707963267948966</v>
      </c>
      <c r="AJ248" s="98" t="str">
        <f t="shared" si="145"/>
        <v>1+0.0123885245377819i</v>
      </c>
      <c r="AK248" s="98">
        <f t="shared" si="160"/>
        <v>1.0000767348259949</v>
      </c>
      <c r="AL248" s="98">
        <f t="shared" si="161"/>
        <v>1.2387890817638534E-2</v>
      </c>
      <c r="AM248" s="98" t="str">
        <f t="shared" si="146"/>
        <v>1+6.76976554514607i</v>
      </c>
      <c r="AN248" s="98">
        <f t="shared" si="162"/>
        <v>6.8432247907143067</v>
      </c>
      <c r="AO248" s="98">
        <f t="shared" si="163"/>
        <v>1.4241412534631186</v>
      </c>
      <c r="AP248" s="168" t="str">
        <f t="shared" si="164"/>
        <v>-0.356489642576377+0.0571801015675642i</v>
      </c>
      <c r="AQ248" s="98">
        <f t="shared" si="165"/>
        <v>-8.8487420746482233</v>
      </c>
      <c r="AR248" s="169">
        <f t="shared" si="166"/>
        <v>170.88750939298797</v>
      </c>
      <c r="AS248" s="168" t="str">
        <f t="shared" si="167"/>
        <v>0.245981432960954+2.50034344917009i</v>
      </c>
      <c r="AT248" s="190">
        <f t="shared" si="168"/>
        <v>8.0018241792019289</v>
      </c>
      <c r="AU248" s="169">
        <f t="shared" si="169"/>
        <v>84.381375148451525</v>
      </c>
      <c r="AV248" s="225"/>
      <c r="AX248">
        <f t="shared" si="170"/>
        <v>0</v>
      </c>
      <c r="AY248">
        <f t="shared" si="171"/>
        <v>0</v>
      </c>
    </row>
    <row r="249" spans="14:51" x14ac:dyDescent="0.2">
      <c r="N249" s="170">
        <v>31</v>
      </c>
      <c r="O249" s="199">
        <f t="shared" si="172"/>
        <v>2041.7379446695318</v>
      </c>
      <c r="P249" s="189" t="str">
        <f t="shared" si="138"/>
        <v>771.276595744681</v>
      </c>
      <c r="Q249" s="160" t="str">
        <f t="shared" si="139"/>
        <v>1+113.404981838718i</v>
      </c>
      <c r="R249" s="160">
        <f t="shared" si="147"/>
        <v>113.40939073039746</v>
      </c>
      <c r="S249" s="160">
        <f t="shared" si="148"/>
        <v>1.5619786005696426</v>
      </c>
      <c r="T249" s="160" t="str">
        <f t="shared" si="140"/>
        <v>1+0.00213468201108175i</v>
      </c>
      <c r="U249" s="160">
        <f t="shared" si="149"/>
        <v>1.0000022784310485</v>
      </c>
      <c r="V249" s="160">
        <f t="shared" si="150"/>
        <v>2.1346787686030728E-3</v>
      </c>
      <c r="W249" s="98" t="str">
        <f t="shared" si="141"/>
        <v>1-0.00872346014143983i</v>
      </c>
      <c r="X249" s="160">
        <f t="shared" si="151"/>
        <v>1.0000380486545697</v>
      </c>
      <c r="Y249" s="160">
        <f t="shared" si="152"/>
        <v>-8.723238870052127E-3</v>
      </c>
      <c r="Z249" s="98" t="str">
        <f t="shared" si="142"/>
        <v>0.998332522466119-0.0597278932503087i</v>
      </c>
      <c r="AA249" s="160">
        <f t="shared" si="153"/>
        <v>1.0001176164060328</v>
      </c>
      <c r="AB249" s="160">
        <f t="shared" si="154"/>
        <v>-5.9756426091730694E-2</v>
      </c>
      <c r="AC249" s="171" t="str">
        <f t="shared" si="155"/>
        <v>0.421250260619644-6.78723226109748i</v>
      </c>
      <c r="AD249" s="190">
        <f t="shared" si="156"/>
        <v>16.650551440953091</v>
      </c>
      <c r="AE249" s="169">
        <f t="shared" si="157"/>
        <v>-86.448487175430827</v>
      </c>
      <c r="AF249" s="98" t="str">
        <f t="shared" si="143"/>
        <v>-0.0000119284294234592</v>
      </c>
      <c r="AG249" s="98" t="str">
        <f t="shared" si="144"/>
        <v>0.000231338465780273i</v>
      </c>
      <c r="AH249" s="98">
        <f t="shared" si="158"/>
        <v>2.3133846578027301E-4</v>
      </c>
      <c r="AI249" s="98">
        <f t="shared" si="159"/>
        <v>1.5707963267948966</v>
      </c>
      <c r="AJ249" s="98" t="str">
        <f t="shared" si="145"/>
        <v>1+0.0126770903442103i</v>
      </c>
      <c r="AK249" s="98">
        <f t="shared" si="160"/>
        <v>1.0000803510816494</v>
      </c>
      <c r="AL249" s="98">
        <f t="shared" si="161"/>
        <v>1.2676411303789119E-2</v>
      </c>
      <c r="AM249" s="98" t="str">
        <f t="shared" si="146"/>
        <v>1+6.92745364173165i</v>
      </c>
      <c r="AN249" s="98">
        <f t="shared" si="162"/>
        <v>6.9992581005661654</v>
      </c>
      <c r="AO249" s="98">
        <f t="shared" si="163"/>
        <v>1.4274334585426347</v>
      </c>
      <c r="AP249" s="168" t="str">
        <f t="shared" si="164"/>
        <v>-0.356487064472817+0.0560818906858957i</v>
      </c>
      <c r="AQ249" s="98">
        <f t="shared" si="165"/>
        <v>-8.8529494349806885</v>
      </c>
      <c r="AR249" s="169">
        <f t="shared" si="166"/>
        <v>171.05960784317628</v>
      </c>
      <c r="AS249" s="168" t="str">
        <f t="shared" si="167"/>
        <v>0.230470548909948+2.44318501572132i</v>
      </c>
      <c r="AT249" s="190">
        <f t="shared" si="168"/>
        <v>7.7976020059724149</v>
      </c>
      <c r="AU249" s="169">
        <f t="shared" si="169"/>
        <v>84.611120667745453</v>
      </c>
      <c r="AV249" s="225"/>
      <c r="AX249">
        <f t="shared" si="170"/>
        <v>0</v>
      </c>
      <c r="AY249">
        <f t="shared" si="171"/>
        <v>0</v>
      </c>
    </row>
    <row r="250" spans="14:51" x14ac:dyDescent="0.2">
      <c r="N250" s="170">
        <v>32</v>
      </c>
      <c r="O250" s="199">
        <f t="shared" si="172"/>
        <v>2089.2961308540398</v>
      </c>
      <c r="P250" s="189" t="str">
        <f t="shared" si="138"/>
        <v>771.276595744681</v>
      </c>
      <c r="Q250" s="160" t="str">
        <f t="shared" si="139"/>
        <v>1+116.046523205287i</v>
      </c>
      <c r="R250" s="160">
        <f t="shared" si="147"/>
        <v>116.05083174210866</v>
      </c>
      <c r="S250" s="160">
        <f t="shared" si="148"/>
        <v>1.5621793064719747</v>
      </c>
      <c r="T250" s="160" t="str">
        <f t="shared" si="140"/>
        <v>1+0.00218440514268776i</v>
      </c>
      <c r="U250" s="160">
        <f t="shared" si="149"/>
        <v>1.0000023858100677</v>
      </c>
      <c r="V250" s="160">
        <f t="shared" si="150"/>
        <v>2.1844016683097082E-3</v>
      </c>
      <c r="W250" s="98" t="str">
        <f t="shared" si="141"/>
        <v>1-0.00892665563117591i</v>
      </c>
      <c r="X250" s="160">
        <f t="shared" si="151"/>
        <v>1.0000398417966945</v>
      </c>
      <c r="Y250" s="160">
        <f t="shared" si="152"/>
        <v>-8.9264185351224552E-3</v>
      </c>
      <c r="Z250" s="98" t="str">
        <f t="shared" si="142"/>
        <v>0.998253936671039-0.0611191346067342i</v>
      </c>
      <c r="AA250" s="160">
        <f t="shared" si="153"/>
        <v>1.0001232277546117</v>
      </c>
      <c r="AB250" s="160">
        <f t="shared" si="154"/>
        <v>-6.1149706215741957E-2</v>
      </c>
      <c r="AC250" s="171" t="str">
        <f t="shared" si="155"/>
        <v>0.418552581685224-6.63229164446591i</v>
      </c>
      <c r="AD250" s="190">
        <f t="shared" si="156"/>
        <v>16.450534411838408</v>
      </c>
      <c r="AE250" s="169">
        <f t="shared" si="157"/>
        <v>-86.388950130765579</v>
      </c>
      <c r="AF250" s="98" t="str">
        <f t="shared" si="143"/>
        <v>-0.0000119284294234592</v>
      </c>
      <c r="AG250" s="98" t="str">
        <f t="shared" si="144"/>
        <v>0.000236727030877934i</v>
      </c>
      <c r="AH250" s="98">
        <f t="shared" si="158"/>
        <v>2.36727030877934E-4</v>
      </c>
      <c r="AI250" s="98">
        <f t="shared" si="159"/>
        <v>1.5707963267948966</v>
      </c>
      <c r="AJ250" s="98" t="str">
        <f t="shared" si="145"/>
        <v>1+0.0129723777117405i</v>
      </c>
      <c r="AK250" s="98">
        <f t="shared" si="160"/>
        <v>1.0000841377521674</v>
      </c>
      <c r="AL250" s="98">
        <f t="shared" si="161"/>
        <v>1.2971650110126222E-2</v>
      </c>
      <c r="AM250" s="98" t="str">
        <f t="shared" si="146"/>
        <v>1+7.08881476593383i</v>
      </c>
      <c r="AN250" s="98">
        <f t="shared" si="162"/>
        <v>7.1590009628244582</v>
      </c>
      <c r="AO250" s="98">
        <f t="shared" si="163"/>
        <v>1.4306537503869683</v>
      </c>
      <c r="AP250" s="168" t="str">
        <f t="shared" si="164"/>
        <v>-0.356484364906953+0.055013412084112i</v>
      </c>
      <c r="AQ250" s="98">
        <f t="shared" si="165"/>
        <v>-8.8569740783259423</v>
      </c>
      <c r="AR250" s="169">
        <f t="shared" si="166"/>
        <v>171.2272010371054</v>
      </c>
      <c r="AS250" s="168" t="str">
        <f t="shared" si="167"/>
        <v>0.215657542036793+2.38733428041024i</v>
      </c>
      <c r="AT250" s="190">
        <f t="shared" si="168"/>
        <v>7.5935603335124702</v>
      </c>
      <c r="AU250" s="169">
        <f t="shared" si="169"/>
        <v>84.838250906339837</v>
      </c>
      <c r="AV250" s="225"/>
      <c r="AX250">
        <f t="shared" si="170"/>
        <v>0</v>
      </c>
      <c r="AY250">
        <f t="shared" si="171"/>
        <v>0</v>
      </c>
    </row>
    <row r="251" spans="14:51" x14ac:dyDescent="0.2">
      <c r="N251" s="170">
        <v>33</v>
      </c>
      <c r="O251" s="199">
        <f t="shared" si="172"/>
        <v>2137.9620895022344</v>
      </c>
      <c r="P251" s="189" t="str">
        <f t="shared" si="138"/>
        <v>771.276595744681</v>
      </c>
      <c r="Q251" s="160" t="str">
        <f t="shared" si="139"/>
        <v>1+118.749593974516i</v>
      </c>
      <c r="R251" s="160">
        <f t="shared" si="147"/>
        <v>118.75380444058374</v>
      </c>
      <c r="S251" s="160">
        <f t="shared" si="148"/>
        <v>1.5623754444210487</v>
      </c>
      <c r="T251" s="160" t="str">
        <f t="shared" si="140"/>
        <v>1+0.00223528647481442i</v>
      </c>
      <c r="U251" s="160">
        <f t="shared" si="149"/>
        <v>1.0000024982496916</v>
      </c>
      <c r="V251" s="160">
        <f t="shared" si="150"/>
        <v>2.2352827519517659E-3</v>
      </c>
      <c r="W251" s="98" t="str">
        <f t="shared" si="141"/>
        <v>1-0.00913458415188582i</v>
      </c>
      <c r="X251" s="160">
        <f t="shared" si="151"/>
        <v>1.0000417194435578</v>
      </c>
      <c r="Y251" s="160">
        <f t="shared" si="152"/>
        <v>-9.1343300994597559E-3</v>
      </c>
      <c r="Z251" s="98" t="str">
        <f t="shared" si="142"/>
        <v>0.998171647241541-0.0625427821373351i</v>
      </c>
      <c r="AA251" s="160">
        <f t="shared" si="153"/>
        <v>1.0001291101424703</v>
      </c>
      <c r="AB251" s="160">
        <f t="shared" si="154"/>
        <v>-6.2575538095451896E-2</v>
      </c>
      <c r="AC251" s="171" t="str">
        <f t="shared" si="155"/>
        <v>0.415976278831547-6.4808653881097i</v>
      </c>
      <c r="AD251" s="190">
        <f t="shared" si="156"/>
        <v>16.25051512303067</v>
      </c>
      <c r="AE251" s="169">
        <f t="shared" si="157"/>
        <v>-86.327491042246024</v>
      </c>
      <c r="AF251" s="98" t="str">
        <f t="shared" si="143"/>
        <v>-0.0000119284294234592</v>
      </c>
      <c r="AG251" s="98" t="str">
        <f t="shared" si="144"/>
        <v>0.00024224111178082i</v>
      </c>
      <c r="AH251" s="98">
        <f t="shared" si="158"/>
        <v>2.4224111178082001E-4</v>
      </c>
      <c r="AI251" s="98">
        <f t="shared" si="159"/>
        <v>1.5707963267948966</v>
      </c>
      <c r="AJ251" s="98" t="str">
        <f t="shared" si="145"/>
        <v>1+0.0132745432056431i</v>
      </c>
      <c r="AK251" s="98">
        <f t="shared" si="160"/>
        <v>1.0000881028676016</v>
      </c>
      <c r="AL251" s="98">
        <f t="shared" si="161"/>
        <v>1.3273763570176291E-2</v>
      </c>
      <c r="AM251" s="98" t="str">
        <f t="shared" si="146"/>
        <v>1+7.2539344735564i</v>
      </c>
      <c r="AN251" s="98">
        <f t="shared" si="162"/>
        <v>7.322538176523901</v>
      </c>
      <c r="AO251" s="98">
        <f t="shared" si="163"/>
        <v>1.433803569135244</v>
      </c>
      <c r="AP251" s="168" t="str">
        <f t="shared" si="164"/>
        <v>-0.356481538158285+0.0539740990204466i</v>
      </c>
      <c r="AQ251" s="98">
        <f t="shared" si="165"/>
        <v>-8.8608240408147179</v>
      </c>
      <c r="AR251" s="169">
        <f t="shared" si="166"/>
        <v>171.39036253141782</v>
      </c>
      <c r="AS251" s="168" t="str">
        <f t="shared" si="167"/>
        <v>0.201511006480789+2.33276080701395i</v>
      </c>
      <c r="AT251" s="190">
        <f t="shared" si="168"/>
        <v>7.3896910822159603</v>
      </c>
      <c r="AU251" s="169">
        <f t="shared" si="169"/>
        <v>85.062871489171783</v>
      </c>
      <c r="AV251" s="225"/>
      <c r="AX251">
        <f t="shared" si="170"/>
        <v>0</v>
      </c>
      <c r="AY251">
        <f t="shared" si="171"/>
        <v>0</v>
      </c>
    </row>
    <row r="252" spans="14:51" x14ac:dyDescent="0.2">
      <c r="N252" s="170">
        <v>34</v>
      </c>
      <c r="O252" s="199">
        <f t="shared" si="172"/>
        <v>2187.7616239495528</v>
      </c>
      <c r="P252" s="189" t="str">
        <f t="shared" si="138"/>
        <v>771.276595744681</v>
      </c>
      <c r="Q252" s="160" t="str">
        <f t="shared" si="139"/>
        <v>1+121.515627350307i</v>
      </c>
      <c r="R252" s="160">
        <f t="shared" si="147"/>
        <v>121.51974197774894</v>
      </c>
      <c r="S252" s="160">
        <f t="shared" si="148"/>
        <v>1.5625671183514032</v>
      </c>
      <c r="T252" s="160" t="str">
        <f t="shared" si="140"/>
        <v>1+0.00228735298541755i</v>
      </c>
      <c r="U252" s="160">
        <f t="shared" si="149"/>
        <v>1.0000026159884183</v>
      </c>
      <c r="V252" s="160">
        <f t="shared" si="150"/>
        <v>2.2873489962989091E-3</v>
      </c>
      <c r="W252" s="98" t="str">
        <f t="shared" si="141"/>
        <v>1-0.0093473559500236i</v>
      </c>
      <c r="X252" s="160">
        <f t="shared" si="151"/>
        <v>1.0000436855774133</v>
      </c>
      <c r="Y252" s="160">
        <f t="shared" si="152"/>
        <v>-9.347083728586782E-3</v>
      </c>
      <c r="Z252" s="98" t="str">
        <f t="shared" si="142"/>
        <v>0.998085479630709-0.063999590678877i</v>
      </c>
      <c r="AA252" s="160">
        <f t="shared" si="153"/>
        <v>1.0001352769784326</v>
      </c>
      <c r="AB252" s="160">
        <f t="shared" si="154"/>
        <v>-6.4034686951459474E-2</v>
      </c>
      <c r="AC252" s="171" t="str">
        <f t="shared" si="155"/>
        <v>0.413515889080189-6.33287333809451i</v>
      </c>
      <c r="AD252" s="190">
        <f t="shared" si="156"/>
        <v>16.050493525553154</v>
      </c>
      <c r="AE252" s="169">
        <f t="shared" si="157"/>
        <v>-86.264076787336364</v>
      </c>
      <c r="AF252" s="98" t="str">
        <f t="shared" si="143"/>
        <v>-0.0000119284294234592</v>
      </c>
      <c r="AG252" s="98" t="str">
        <f t="shared" si="144"/>
        <v>0.000247883632127611i</v>
      </c>
      <c r="AH252" s="98">
        <f t="shared" si="158"/>
        <v>2.4788363212761101E-4</v>
      </c>
      <c r="AI252" s="98">
        <f t="shared" si="159"/>
        <v>1.5707963267948966</v>
      </c>
      <c r="AJ252" s="98" t="str">
        <f t="shared" si="145"/>
        <v>1+0.0135837470380627i</v>
      </c>
      <c r="AK252" s="98">
        <f t="shared" si="160"/>
        <v>1.0000922548363196</v>
      </c>
      <c r="AL252" s="98">
        <f t="shared" si="161"/>
        <v>1.3582911647770949E-2</v>
      </c>
      <c r="AM252" s="98" t="str">
        <f t="shared" si="146"/>
        <v>1+7.42290031325405i</v>
      </c>
      <c r="AN252" s="98">
        <f t="shared" si="162"/>
        <v>7.4899565459692132</v>
      </c>
      <c r="AO252" s="98">
        <f t="shared" si="163"/>
        <v>1.436884334728002</v>
      </c>
      <c r="AP252" s="168" t="str">
        <f t="shared" si="164"/>
        <v>-0.356478578237109+0.0529634002013448i</v>
      </c>
      <c r="AQ252" s="98">
        <f t="shared" si="165"/>
        <v>-8.8645070310085234</v>
      </c>
      <c r="AR252" s="169">
        <f t="shared" si="166"/>
        <v>171.54916451746124</v>
      </c>
      <c r="AS252" s="168" t="str">
        <f t="shared" si="167"/>
        <v>0.188000948812166+2.27943489124259i</v>
      </c>
      <c r="AT252" s="190">
        <f t="shared" si="168"/>
        <v>7.1859864945446175</v>
      </c>
      <c r="AU252" s="169">
        <f t="shared" si="169"/>
        <v>85.285087730124857</v>
      </c>
      <c r="AV252" s="225"/>
      <c r="AX252">
        <f t="shared" si="170"/>
        <v>0</v>
      </c>
      <c r="AY252">
        <f t="shared" si="171"/>
        <v>0</v>
      </c>
    </row>
    <row r="253" spans="14:51" x14ac:dyDescent="0.2">
      <c r="N253" s="170">
        <v>35</v>
      </c>
      <c r="O253" s="199">
        <f t="shared" si="172"/>
        <v>2238.7211385683418</v>
      </c>
      <c r="P253" s="189" t="str">
        <f t="shared" si="138"/>
        <v>771.276595744681</v>
      </c>
      <c r="Q253" s="160" t="str">
        <f t="shared" si="139"/>
        <v>1+124.346089920169i</v>
      </c>
      <c r="R253" s="160">
        <f t="shared" si="147"/>
        <v>124.3501108903195</v>
      </c>
      <c r="S253" s="160">
        <f t="shared" si="148"/>
        <v>1.5627544298347258</v>
      </c>
      <c r="T253" s="160" t="str">
        <f t="shared" si="140"/>
        <v>1+0.00234063228085024i</v>
      </c>
      <c r="U253" s="160">
        <f t="shared" si="149"/>
        <v>1.0000027392759852</v>
      </c>
      <c r="V253" s="160">
        <f t="shared" si="150"/>
        <v>2.3406280064332376E-3</v>
      </c>
      <c r="W253" s="98" t="str">
        <f t="shared" si="141"/>
        <v>1-0.00956508384001298i</v>
      </c>
      <c r="X253" s="160">
        <f t="shared" si="151"/>
        <v>1.0000457443681596</v>
      </c>
      <c r="Y253" s="160">
        <f t="shared" si="152"/>
        <v>-9.5647921502087438E-3</v>
      </c>
      <c r="Z253" s="98" t="str">
        <f t="shared" si="142"/>
        <v>0.997995251065491-0.0654903326505316i</v>
      </c>
      <c r="AA253" s="160">
        <f t="shared" si="153"/>
        <v>1.000141742364526</v>
      </c>
      <c r="AB253" s="160">
        <f t="shared" si="154"/>
        <v>-6.5527936325985942E-2</v>
      </c>
      <c r="AC253" s="171" t="str">
        <f t="shared" si="155"/>
        <v>0.411166195045337-6.18823715164488i</v>
      </c>
      <c r="AD253" s="190">
        <f t="shared" si="156"/>
        <v>15.850469564756118</v>
      </c>
      <c r="AE253" s="169">
        <f t="shared" si="157"/>
        <v>-86.19867316917022</v>
      </c>
      <c r="AF253" s="98" t="str">
        <f t="shared" si="143"/>
        <v>-0.0000119284294234592</v>
      </c>
      <c r="AG253" s="98" t="str">
        <f t="shared" si="144"/>
        <v>0.000253657583657285i</v>
      </c>
      <c r="AH253" s="98">
        <f t="shared" si="158"/>
        <v>2.5365758365728501E-4</v>
      </c>
      <c r="AI253" s="98">
        <f t="shared" si="159"/>
        <v>1.5707963267948966</v>
      </c>
      <c r="AJ253" s="98" t="str">
        <f t="shared" si="145"/>
        <v>1+0.013900153152964i</v>
      </c>
      <c r="AK253" s="98">
        <f t="shared" si="160"/>
        <v>1.00009660246282</v>
      </c>
      <c r="AL253" s="98">
        <f t="shared" si="161"/>
        <v>1.3899258020808741E-2</v>
      </c>
      <c r="AM253" s="98" t="str">
        <f t="shared" si="146"/>
        <v>1+7.59580187295151i</v>
      </c>
      <c r="AN253" s="98">
        <f t="shared" si="162"/>
        <v>7.6613449271739276</v>
      </c>
      <c r="AO253" s="98">
        <f t="shared" si="163"/>
        <v>1.4398974465854175</v>
      </c>
      <c r="AP253" s="168" t="str">
        <f t="shared" si="164"/>
        <v>-0.356475478871826+0.0519807794880325i</v>
      </c>
      <c r="AQ253" s="98">
        <f t="shared" si="165"/>
        <v>-8.8680304426096086</v>
      </c>
      <c r="AR253" s="169">
        <f t="shared" si="166"/>
        <v>171.70367779805261</v>
      </c>
      <c r="AS253" s="168" t="str">
        <f t="shared" si="167"/>
        <v>0.17509872452461+2.22732754132262i</v>
      </c>
      <c r="AT253" s="190">
        <f t="shared" si="168"/>
        <v>6.9824391221465163</v>
      </c>
      <c r="AU253" s="169">
        <f t="shared" si="169"/>
        <v>85.505004628882375</v>
      </c>
      <c r="AV253" s="225"/>
      <c r="AX253">
        <f t="shared" si="170"/>
        <v>0</v>
      </c>
      <c r="AY253">
        <f t="shared" si="171"/>
        <v>0</v>
      </c>
    </row>
    <row r="254" spans="14:51" x14ac:dyDescent="0.2">
      <c r="N254" s="170">
        <v>36</v>
      </c>
      <c r="O254" s="199">
        <f t="shared" si="172"/>
        <v>2290.8676527677749</v>
      </c>
      <c r="P254" s="189" t="str">
        <f t="shared" si="138"/>
        <v>771.276595744681</v>
      </c>
      <c r="Q254" s="160" t="str">
        <f t="shared" si="139"/>
        <v>1+127.242482432822i</v>
      </c>
      <c r="R254" s="160">
        <f t="shared" si="147"/>
        <v>127.24641187737679</v>
      </c>
      <c r="S254" s="160">
        <f t="shared" si="148"/>
        <v>1.5629374781334384</v>
      </c>
      <c r="T254" s="160" t="str">
        <f t="shared" si="140"/>
        <v>1+0.00239515261050017i</v>
      </c>
      <c r="U254" s="160">
        <f t="shared" si="149"/>
        <v>1.0000028683739</v>
      </c>
      <c r="V254" s="160">
        <f t="shared" si="150"/>
        <v>2.3951480303805433E-3</v>
      </c>
      <c r="W254" s="98" t="str">
        <f t="shared" si="141"/>
        <v>1-0.00978788326406316i</v>
      </c>
      <c r="X254" s="160">
        <f t="shared" si="151"/>
        <v>1.0000479001821818</v>
      </c>
      <c r="Y254" s="160">
        <f t="shared" si="152"/>
        <v>-9.7875707136153168E-3</v>
      </c>
      <c r="Z254" s="98" t="str">
        <f t="shared" si="142"/>
        <v>0.997900770159001-0.0670157984634244i</v>
      </c>
      <c r="AA254" s="160">
        <f t="shared" si="153"/>
        <v>1.0001485211345451</v>
      </c>
      <c r="AB254" s="160">
        <f t="shared" si="154"/>
        <v>-6.7056088544872411E-2</v>
      </c>
      <c r="AC254" s="171" t="str">
        <f t="shared" si="155"/>
        <v>0.40892221387913-6.04688025620054i</v>
      </c>
      <c r="AD254" s="190">
        <f t="shared" si="156"/>
        <v>15.650443180125777</v>
      </c>
      <c r="AE254" s="169">
        <f t="shared" si="157"/>
        <v>-86.131244895715824</v>
      </c>
      <c r="AF254" s="98" t="str">
        <f t="shared" si="143"/>
        <v>-0.0000119284294234592</v>
      </c>
      <c r="AG254" s="98" t="str">
        <f t="shared" si="144"/>
        <v>0.000259566027795369i</v>
      </c>
      <c r="AH254" s="98">
        <f t="shared" si="158"/>
        <v>2.5956602779536901E-4</v>
      </c>
      <c r="AI254" s="98">
        <f t="shared" si="159"/>
        <v>1.5707963267948966</v>
      </c>
      <c r="AJ254" s="98" t="str">
        <f t="shared" si="145"/>
        <v>1+0.0142239293130573i</v>
      </c>
      <c r="AK254" s="98">
        <f t="shared" si="160"/>
        <v>1.0001011549663879</v>
      </c>
      <c r="AL254" s="98">
        <f t="shared" si="161"/>
        <v>1.4222970166911696E-2</v>
      </c>
      <c r="AM254" s="98" t="str">
        <f t="shared" si="146"/>
        <v>1+7.7727308273443i</v>
      </c>
      <c r="AN254" s="98">
        <f t="shared" si="162"/>
        <v>7.8367942753621147</v>
      </c>
      <c r="AO254" s="98">
        <f t="shared" si="163"/>
        <v>1.4428442833389383</v>
      </c>
      <c r="AP254" s="168" t="str">
        <f t="shared" si="164"/>
        <v>-0.35647223349572+0.0510257156110453i</v>
      </c>
      <c r="AQ254" s="98">
        <f t="shared" si="165"/>
        <v>-8.8714013668046743</v>
      </c>
      <c r="AR254" s="169">
        <f t="shared" si="166"/>
        <v>171.85397176719457</v>
      </c>
      <c r="AS254" s="168" t="str">
        <f t="shared" si="167"/>
        <v>0.162776977379425+2.17641045920141i</v>
      </c>
      <c r="AT254" s="190">
        <f t="shared" si="168"/>
        <v>6.7790418133210846</v>
      </c>
      <c r="AU254" s="169">
        <f t="shared" si="169"/>
        <v>85.722726871478756</v>
      </c>
      <c r="AV254" s="225"/>
      <c r="AX254">
        <f t="shared" si="170"/>
        <v>0</v>
      </c>
      <c r="AY254">
        <f t="shared" si="171"/>
        <v>0</v>
      </c>
    </row>
    <row r="255" spans="14:51" x14ac:dyDescent="0.2">
      <c r="N255" s="170">
        <v>37</v>
      </c>
      <c r="O255" s="199">
        <f t="shared" si="172"/>
        <v>2344.2288153199238</v>
      </c>
      <c r="P255" s="189" t="str">
        <f t="shared" si="138"/>
        <v>771.276595744681</v>
      </c>
      <c r="Q255" s="160" t="str">
        <f t="shared" si="139"/>
        <v>1+130.206340593914i</v>
      </c>
      <c r="R255" s="160">
        <f t="shared" si="147"/>
        <v>130.21018059605916</v>
      </c>
      <c r="S255" s="160">
        <f t="shared" si="148"/>
        <v>1.5631163602530773</v>
      </c>
      <c r="T255" s="160" t="str">
        <f t="shared" si="140"/>
        <v>1+0.00245094288176778i</v>
      </c>
      <c r="U255" s="160">
        <f t="shared" si="149"/>
        <v>1.0000030035559941</v>
      </c>
      <c r="V255" s="160">
        <f t="shared" si="150"/>
        <v>2.4509379740819759E-3</v>
      </c>
      <c r="W255" s="98" t="str">
        <f t="shared" si="141"/>
        <v>1-0.0100158723533779i</v>
      </c>
      <c r="X255" s="160">
        <f t="shared" si="151"/>
        <v>1.0000501575916076</v>
      </c>
      <c r="Y255" s="160">
        <f t="shared" si="152"/>
        <v>-1.0015537450446364E-2</v>
      </c>
      <c r="Z255" s="98" t="str">
        <f t="shared" si="142"/>
        <v>0.997801836504569-0.0685767969397216i</v>
      </c>
      <c r="AA255" s="160">
        <f t="shared" si="153"/>
        <v>1.0001556288950249</v>
      </c>
      <c r="AB255" s="160">
        <f t="shared" si="154"/>
        <v>-6.8619965192815296E-2</v>
      </c>
      <c r="AC255" s="171" t="str">
        <f t="shared" si="155"/>
        <v>0.406779186712312-5.90872780936802i</v>
      </c>
      <c r="AD255" s="190">
        <f t="shared" si="156"/>
        <v>15.450414305073787</v>
      </c>
      <c r="AE255" s="169">
        <f t="shared" si="157"/>
        <v>-86.061755558171683</v>
      </c>
      <c r="AF255" s="98" t="str">
        <f t="shared" si="143"/>
        <v>-0.0000119284294234592</v>
      </c>
      <c r="AG255" s="98" t="str">
        <f t="shared" si="144"/>
        <v>0.000265612097277153i</v>
      </c>
      <c r="AH255" s="98">
        <f t="shared" si="158"/>
        <v>2.65612097277153E-4</v>
      </c>
      <c r="AI255" s="98">
        <f t="shared" si="159"/>
        <v>1.5707963267948966</v>
      </c>
      <c r="AJ255" s="98" t="str">
        <f t="shared" si="145"/>
        <v>1+0.0145552471887483i</v>
      </c>
      <c r="AK255" s="98">
        <f t="shared" si="160"/>
        <v>1.0001059220006276</v>
      </c>
      <c r="AL255" s="98">
        <f t="shared" si="161"/>
        <v>1.4554219451015472E-2</v>
      </c>
      <c r="AM255" s="98" t="str">
        <f t="shared" si="146"/>
        <v>1+7.95378098650602i</v>
      </c>
      <c r="AN255" s="98">
        <f t="shared" si="162"/>
        <v>8.0163976935594139</v>
      </c>
      <c r="AO255" s="98">
        <f t="shared" si="163"/>
        <v>1.4457262026126707</v>
      </c>
      <c r="AP255" s="168" t="str">
        <f t="shared" si="164"/>
        <v>-0.356468835233085+0.0500977018925525i</v>
      </c>
      <c r="AQ255" s="98">
        <f t="shared" si="165"/>
        <v>-8.8746266042461883</v>
      </c>
      <c r="AR255" s="169">
        <f t="shared" si="166"/>
        <v>172.00011439253095</v>
      </c>
      <c r="AS255" s="168" t="str">
        <f t="shared" si="167"/>
        <v>0.151009581473554+2.12665602234676i</v>
      </c>
      <c r="AT255" s="190">
        <f t="shared" si="168"/>
        <v>6.5757877008275845</v>
      </c>
      <c r="AU255" s="169">
        <f t="shared" si="169"/>
        <v>85.938358834359263</v>
      </c>
      <c r="AV255" s="225"/>
      <c r="AX255">
        <f t="shared" si="170"/>
        <v>0</v>
      </c>
      <c r="AY255">
        <f t="shared" si="171"/>
        <v>0</v>
      </c>
    </row>
    <row r="256" spans="14:51" x14ac:dyDescent="0.2">
      <c r="N256" s="170">
        <v>38</v>
      </c>
      <c r="O256" s="199">
        <f t="shared" si="172"/>
        <v>2398.8329190194918</v>
      </c>
      <c r="P256" s="189" t="str">
        <f t="shared" si="138"/>
        <v>771.276595744681</v>
      </c>
      <c r="Q256" s="160" t="str">
        <f t="shared" si="139"/>
        <v>1+133.239235880273i</v>
      </c>
      <c r="R256" s="160">
        <f t="shared" si="147"/>
        <v>133.24298847578817</v>
      </c>
      <c r="S256" s="160">
        <f t="shared" si="148"/>
        <v>1.5632911709934914</v>
      </c>
      <c r="T256" s="160" t="str">
        <f t="shared" si="140"/>
        <v>1+0.00250803267539336i</v>
      </c>
      <c r="U256" s="160">
        <f t="shared" si="149"/>
        <v>1.0000031451090046</v>
      </c>
      <c r="V256" s="160">
        <f t="shared" si="150"/>
        <v>2.50802741671417E-3</v>
      </c>
      <c r="W256" s="98" t="str">
        <f t="shared" si="141"/>
        <v>1-0.0102491719907901i</v>
      </c>
      <c r="X256" s="160">
        <f t="shared" si="151"/>
        <v>1.0000525213840006</v>
      </c>
      <c r="Y256" s="160">
        <f t="shared" si="152"/>
        <v>-1.0248813136851453E-2</v>
      </c>
      <c r="Z256" s="98" t="str">
        <f t="shared" si="142"/>
        <v>0.997698240250651-0.0701741557414772i</v>
      </c>
      <c r="AA256" s="160">
        <f t="shared" si="153"/>
        <v>1.0001630820687568</v>
      </c>
      <c r="AB256" s="160">
        <f t="shared" si="154"/>
        <v>-7.0220407602320706E-2</v>
      </c>
      <c r="AC256" s="171" t="str">
        <f t="shared" si="155"/>
        <v>0.404732568567794-5.77370665974896i</v>
      </c>
      <c r="AD256" s="190">
        <f t="shared" si="156"/>
        <v>15.250382866706039</v>
      </c>
      <c r="AE256" s="169">
        <f t="shared" si="157"/>
        <v>-85.990167608569024</v>
      </c>
      <c r="AF256" s="98" t="str">
        <f t="shared" si="143"/>
        <v>-0.0000119284294234592</v>
      </c>
      <c r="AG256" s="98" t="str">
        <f t="shared" si="144"/>
        <v>0.000271798997808704i</v>
      </c>
      <c r="AH256" s="98">
        <f t="shared" si="158"/>
        <v>2.71798997808704E-4</v>
      </c>
      <c r="AI256" s="98">
        <f t="shared" si="159"/>
        <v>1.5707963267948966</v>
      </c>
      <c r="AJ256" s="98" t="str">
        <f t="shared" si="145"/>
        <v>1+0.0148942824491603i</v>
      </c>
      <c r="AK256" s="98">
        <f t="shared" si="160"/>
        <v>1.0001109136739161</v>
      </c>
      <c r="AL256" s="98">
        <f t="shared" si="161"/>
        <v>1.4893181214934803E-2</v>
      </c>
      <c r="AM256" s="98" t="str">
        <f t="shared" si="146"/>
        <v>1+8.13904834562749i</v>
      </c>
      <c r="AN256" s="98">
        <f t="shared" si="162"/>
        <v>8.200250482300012</v>
      </c>
      <c r="AO256" s="98">
        <f t="shared" si="163"/>
        <v>1.4485445408510176</v>
      </c>
      <c r="AP256" s="168" t="str">
        <f t="shared" si="164"/>
        <v>-0.356465276884709+0.0491962459763265i</v>
      </c>
      <c r="AQ256" s="98">
        <f t="shared" si="165"/>
        <v>-8.8777126766731911</v>
      </c>
      <c r="AR256" s="169">
        <f t="shared" si="166"/>
        <v>172.14217220033964</v>
      </c>
      <c r="AS256" s="168" t="str">
        <f t="shared" si="167"/>
        <v>0.139771585909386+2.07803726611639i</v>
      </c>
      <c r="AT256" s="190">
        <f t="shared" si="168"/>
        <v>6.3726701900328333</v>
      </c>
      <c r="AU256" s="169">
        <f t="shared" si="169"/>
        <v>86.15200459177062</v>
      </c>
      <c r="AV256" s="225"/>
      <c r="AX256">
        <f t="shared" si="170"/>
        <v>0</v>
      </c>
      <c r="AY256">
        <f t="shared" si="171"/>
        <v>0</v>
      </c>
    </row>
    <row r="257" spans="14:51" x14ac:dyDescent="0.2">
      <c r="N257" s="170">
        <v>39</v>
      </c>
      <c r="O257" s="199">
        <f t="shared" si="172"/>
        <v>2454.7089156850338</v>
      </c>
      <c r="P257" s="189" t="str">
        <f t="shared" si="138"/>
        <v>771.276595744681</v>
      </c>
      <c r="Q257" s="160" t="str">
        <f t="shared" si="139"/>
        <v>1+136.342776373125i</v>
      </c>
      <c r="R257" s="160">
        <f t="shared" si="147"/>
        <v>136.34644355146185</v>
      </c>
      <c r="S257" s="160">
        <f t="shared" si="148"/>
        <v>1.5634620029988888</v>
      </c>
      <c r="T257" s="160" t="str">
        <f t="shared" si="140"/>
        <v>1+0.00256645226114117i</v>
      </c>
      <c r="U257" s="160">
        <f t="shared" si="149"/>
        <v>1.0000032933331813</v>
      </c>
      <c r="V257" s="160">
        <f t="shared" si="150"/>
        <v>2.5664466263659001E-3</v>
      </c>
      <c r="W257" s="98" t="str">
        <f t="shared" si="141"/>
        <v>1-0.0104879058748557i</v>
      </c>
      <c r="X257" s="160">
        <f t="shared" si="151"/>
        <v>1.0000549965725085</v>
      </c>
      <c r="Y257" s="160">
        <f t="shared" si="152"/>
        <v>-1.0487521357074746E-2</v>
      </c>
      <c r="Z257" s="98" t="str">
        <f t="shared" si="142"/>
        <v>0.997589761655703-0.0718087218094717i</v>
      </c>
      <c r="AA257" s="160">
        <f t="shared" si="153"/>
        <v>1.0001708979410431</v>
      </c>
      <c r="AB257" s="160">
        <f t="shared" si="154"/>
        <v>-7.1858277356884812E-2</v>
      </c>
      <c r="AC257" s="171" t="str">
        <f t="shared" si="155"/>
        <v>0.402778018725876-5.64174530862659i</v>
      </c>
      <c r="AD257" s="190">
        <f t="shared" si="156"/>
        <v>15.050348785569183</v>
      </c>
      <c r="AE257" s="169">
        <f t="shared" si="157"/>
        <v>-85.916442336553757</v>
      </c>
      <c r="AF257" s="98" t="str">
        <f t="shared" si="143"/>
        <v>-0.0000119284294234592</v>
      </c>
      <c r="AG257" s="98" t="str">
        <f t="shared" si="144"/>
        <v>0.000278130009766579i</v>
      </c>
      <c r="AH257" s="98">
        <f t="shared" si="158"/>
        <v>2.7813000976657901E-4</v>
      </c>
      <c r="AI257" s="98">
        <f t="shared" si="159"/>
        <v>1.5707963267948966</v>
      </c>
      <c r="AJ257" s="98" t="str">
        <f t="shared" si="145"/>
        <v>1+0.0152412148552759i</v>
      </c>
      <c r="AK257" s="98">
        <f t="shared" si="160"/>
        <v>1.0001161405708163</v>
      </c>
      <c r="AL257" s="98">
        <f t="shared" si="161"/>
        <v>1.5240034868944364E-2</v>
      </c>
      <c r="AM257" s="98" t="str">
        <f t="shared" si="146"/>
        <v>1+8.32863113591486i</v>
      </c>
      <c r="AN257" s="98">
        <f t="shared" si="162"/>
        <v>8.3884501904780038</v>
      </c>
      <c r="AO257" s="98">
        <f t="shared" si="163"/>
        <v>1.4513006131892792</v>
      </c>
      <c r="AP257" s="168" t="str">
        <f t="shared" si="164"/>
        <v>-0.356461550912681+0.0483208695652062i</v>
      </c>
      <c r="AQ257" s="98">
        <f t="shared" si="165"/>
        <v>-8.8806658381755188</v>
      </c>
      <c r="AR257" s="169">
        <f t="shared" si="166"/>
        <v>172.28021026287138</v>
      </c>
      <c r="AS257" s="168" t="str">
        <f t="shared" si="167"/>
        <v>0.129039161949697+2.03052786667396i</v>
      </c>
      <c r="AT257" s="190">
        <f t="shared" si="168"/>
        <v>6.1696829473936567</v>
      </c>
      <c r="AU257" s="169">
        <f t="shared" si="169"/>
        <v>86.363767926317621</v>
      </c>
      <c r="AV257" s="225"/>
      <c r="AX257">
        <f t="shared" si="170"/>
        <v>0</v>
      </c>
      <c r="AY257">
        <f t="shared" si="171"/>
        <v>0</v>
      </c>
    </row>
    <row r="258" spans="14:51" x14ac:dyDescent="0.2">
      <c r="N258" s="170">
        <v>40</v>
      </c>
      <c r="O258" s="199">
        <f t="shared" si="172"/>
        <v>2511.8864315095811</v>
      </c>
      <c r="P258" s="189" t="str">
        <f t="shared" si="138"/>
        <v>771.276595744681</v>
      </c>
      <c r="Q258" s="160" t="str">
        <f t="shared" si="139"/>
        <v>1+139.518607610721i</v>
      </c>
      <c r="R258" s="160">
        <f t="shared" si="147"/>
        <v>139.52219131605676</v>
      </c>
      <c r="S258" s="160">
        <f t="shared" si="148"/>
        <v>1.5636289468067532</v>
      </c>
      <c r="T258" s="160" t="str">
        <f t="shared" si="140"/>
        <v>1+0.00262623261384886i</v>
      </c>
      <c r="U258" s="160">
        <f t="shared" si="149"/>
        <v>1.0000034485429248</v>
      </c>
      <c r="V258" s="160">
        <f t="shared" si="150"/>
        <v>2.626226576079502E-3</v>
      </c>
      <c r="W258" s="98" t="str">
        <f t="shared" si="141"/>
        <v>1-0.01073220058544i</v>
      </c>
      <c r="X258" s="160">
        <f t="shared" si="151"/>
        <v>1.0000575884064908</v>
      </c>
      <c r="Y258" s="160">
        <f t="shared" si="152"/>
        <v>-1.0731788568495909E-2</v>
      </c>
      <c r="Z258" s="98" t="str">
        <f t="shared" si="142"/>
        <v>0.997476170622079-0.0734813618122708i</v>
      </c>
      <c r="AA258" s="160">
        <f t="shared" si="153"/>
        <v>1.0001790947088791</v>
      </c>
      <c r="AB258" s="160">
        <f t="shared" si="154"/>
        <v>-7.3534456808922954E-2</v>
      </c>
      <c r="AC258" s="171" t="str">
        <f t="shared" si="155"/>
        <v>0.400911391520663-5.5127738724926i</v>
      </c>
      <c r="AD258" s="190">
        <f t="shared" si="156"/>
        <v>14.850311975374028</v>
      </c>
      <c r="AE258" s="169">
        <f t="shared" si="157"/>
        <v>-85.840539845321643</v>
      </c>
      <c r="AF258" s="98" t="str">
        <f t="shared" si="143"/>
        <v>-0.0000119284294234592</v>
      </c>
      <c r="AG258" s="98" t="str">
        <f t="shared" si="144"/>
        <v>0.000284608489937118i</v>
      </c>
      <c r="AH258" s="98">
        <f t="shared" si="158"/>
        <v>2.84608489937118E-4</v>
      </c>
      <c r="AI258" s="98">
        <f t="shared" si="159"/>
        <v>1.5707963267948966</v>
      </c>
      <c r="AJ258" s="98" t="str">
        <f t="shared" si="145"/>
        <v>1+0.0155962283552492i</v>
      </c>
      <c r="AK258" s="98">
        <f t="shared" si="160"/>
        <v>1.0001216137744995</v>
      </c>
      <c r="AL258" s="98">
        <f t="shared" si="161"/>
        <v>1.5594963985418606E-2</v>
      </c>
      <c r="AM258" s="98" t="str">
        <f t="shared" si="146"/>
        <v>1+8.522629876673i</v>
      </c>
      <c r="AN258" s="98">
        <f t="shared" si="162"/>
        <v>8.5810966673706233</v>
      </c>
      <c r="AO258" s="98">
        <f t="shared" si="163"/>
        <v>1.4539957133640751</v>
      </c>
      <c r="AP258" s="168" t="str">
        <f t="shared" si="164"/>
        <v>-0.356457649424487+0.0474711081659107i</v>
      </c>
      <c r="AQ258" s="98">
        <f t="shared" si="165"/>
        <v>-8.8834920861060702</v>
      </c>
      <c r="AR258" s="169">
        <f t="shared" si="166"/>
        <v>172.41429218785188</v>
      </c>
      <c r="AS258" s="168" t="str">
        <f t="shared" si="167"/>
        <v>0.118789552546347+1.98410212442926i</v>
      </c>
      <c r="AT258" s="190">
        <f t="shared" si="168"/>
        <v>5.9668198892679527</v>
      </c>
      <c r="AU258" s="169">
        <f t="shared" si="169"/>
        <v>86.573752342530256</v>
      </c>
      <c r="AV258" s="225"/>
      <c r="AX258">
        <f t="shared" si="170"/>
        <v>0</v>
      </c>
      <c r="AY258">
        <f t="shared" si="171"/>
        <v>0</v>
      </c>
    </row>
    <row r="259" spans="14:51" x14ac:dyDescent="0.2">
      <c r="N259" s="170">
        <v>41</v>
      </c>
      <c r="O259" s="199">
        <f t="shared" si="172"/>
        <v>2570.3957827688669</v>
      </c>
      <c r="P259" s="189" t="str">
        <f t="shared" si="138"/>
        <v>771.276595744681</v>
      </c>
      <c r="Q259" s="160" t="str">
        <f t="shared" si="139"/>
        <v>1+142.768413460819i</v>
      </c>
      <c r="R259" s="160">
        <f t="shared" si="147"/>
        <v>142.77191559308633</v>
      </c>
      <c r="S259" s="160">
        <f t="shared" si="148"/>
        <v>1.5637920908956575</v>
      </c>
      <c r="T259" s="160" t="str">
        <f t="shared" si="140"/>
        <v>1+0.0026874054298507i</v>
      </c>
      <c r="U259" s="160">
        <f t="shared" si="149"/>
        <v>1.0000036110674522</v>
      </c>
      <c r="V259" s="160">
        <f t="shared" si="150"/>
        <v>2.6873989602655343E-3</v>
      </c>
      <c r="W259" s="98" t="str">
        <f t="shared" si="141"/>
        <v>1-0.0109821856508322i</v>
      </c>
      <c r="X259" s="160">
        <f t="shared" si="151"/>
        <v>1.000060302382646</v>
      </c>
      <c r="Y259" s="160">
        <f t="shared" si="152"/>
        <v>-1.0981744168160277E-2</v>
      </c>
      <c r="Z259" s="98" t="str">
        <f t="shared" si="142"/>
        <v>0.99735722620797-0.0751929626057432i</v>
      </c>
      <c r="AA259" s="160">
        <f t="shared" si="153"/>
        <v>1.0001876915332863</v>
      </c>
      <c r="AB259" s="160">
        <f t="shared" si="154"/>
        <v>-7.5249849613002004E-2</v>
      </c>
      <c r="AC259" s="171" t="str">
        <f t="shared" si="155"/>
        <v>0.399128727548224-5.38672404639643i</v>
      </c>
      <c r="AD259" s="190">
        <f t="shared" si="156"/>
        <v>14.650272342693903</v>
      </c>
      <c r="AE259" s="169">
        <f t="shared" si="157"/>
        <v>-85.762419026677335</v>
      </c>
      <c r="AF259" s="98" t="str">
        <f t="shared" si="143"/>
        <v>-0.0000119284294234592</v>
      </c>
      <c r="AG259" s="98" t="str">
        <f t="shared" si="144"/>
        <v>0.000291237873296261i</v>
      </c>
      <c r="AH259" s="98">
        <f t="shared" si="158"/>
        <v>2.9123787329626101E-4</v>
      </c>
      <c r="AI259" s="98">
        <f t="shared" si="159"/>
        <v>1.5707963267948966</v>
      </c>
      <c r="AJ259" s="98" t="str">
        <f t="shared" si="145"/>
        <v>1+0.0159595111819369i</v>
      </c>
      <c r="AK259" s="98">
        <f t="shared" si="160"/>
        <v>1.0001273448902226</v>
      </c>
      <c r="AL259" s="98">
        <f t="shared" si="161"/>
        <v>1.5958156394571058E-2</v>
      </c>
      <c r="AM259" s="98" t="str">
        <f t="shared" si="146"/>
        <v>1+8.72114742860205i</v>
      </c>
      <c r="AN259" s="98">
        <f t="shared" si="162"/>
        <v>8.7782921158624099</v>
      </c>
      <c r="AO259" s="98">
        <f t="shared" si="163"/>
        <v>1.4566311136606303</v>
      </c>
      <c r="AP259" s="168" t="str">
        <f t="shared" si="164"/>
        <v>-0.356453564156352+0.0466465108410566i</v>
      </c>
      <c r="AQ259" s="98">
        <f t="shared" si="165"/>
        <v>-8.8861971716468329</v>
      </c>
      <c r="AR259" s="169">
        <f t="shared" si="166"/>
        <v>172.54448010997638</v>
      </c>
      <c r="AS259" s="168" t="str">
        <f t="shared" si="167"/>
        <v>0.109001024136257+1.93873494798129i</v>
      </c>
      <c r="AT259" s="190">
        <f t="shared" si="168"/>
        <v>5.7640751710470717</v>
      </c>
      <c r="AU259" s="169">
        <f t="shared" si="169"/>
        <v>86.782061083299055</v>
      </c>
      <c r="AV259" s="225"/>
      <c r="AX259">
        <f t="shared" si="170"/>
        <v>0</v>
      </c>
      <c r="AY259">
        <f t="shared" si="171"/>
        <v>0</v>
      </c>
    </row>
    <row r="260" spans="14:51" x14ac:dyDescent="0.2">
      <c r="N260" s="170">
        <v>42</v>
      </c>
      <c r="O260" s="199">
        <f t="shared" si="172"/>
        <v>2630.2679918953822</v>
      </c>
      <c r="P260" s="189" t="str">
        <f t="shared" si="138"/>
        <v>771.276595744681</v>
      </c>
      <c r="Q260" s="160" t="str">
        <f t="shared" si="139"/>
        <v>1+146.093917013497i</v>
      </c>
      <c r="R260" s="160">
        <f t="shared" si="147"/>
        <v>146.09733942939053</v>
      </c>
      <c r="S260" s="160">
        <f t="shared" si="148"/>
        <v>1.5639515217319997</v>
      </c>
      <c r="T260" s="160" t="str">
        <f t="shared" si="140"/>
        <v>1+0.00275000314378347i</v>
      </c>
      <c r="U260" s="160">
        <f t="shared" si="149"/>
        <v>1.0000037812514966</v>
      </c>
      <c r="V260" s="160">
        <f t="shared" si="150"/>
        <v>2.7499962114994835E-3</v>
      </c>
      <c r="W260" s="98" t="str">
        <f t="shared" si="141"/>
        <v>1-0.0112379936164228i</v>
      </c>
      <c r="X260" s="160">
        <f t="shared" si="151"/>
        <v>1.0000631442566628</v>
      </c>
      <c r="Y260" s="160">
        <f t="shared" si="152"/>
        <v>-1.1237520560830081E-2</v>
      </c>
      <c r="Z260" s="98" t="str">
        <f t="shared" si="142"/>
        <v>0.997232676116324-0.0769444317032857i</v>
      </c>
      <c r="AA260" s="160">
        <f t="shared" si="153"/>
        <v>1.0001967085949977</v>
      </c>
      <c r="AB260" s="160">
        <f t="shared" si="154"/>
        <v>-7.700538127496126E-2</v>
      </c>
      <c r="AC260" s="171" t="str">
        <f t="shared" si="155"/>
        <v>0.397426245267894-5.26352906809943i</v>
      </c>
      <c r="AD260" s="190">
        <f t="shared" si="156"/>
        <v>14.450229786636331</v>
      </c>
      <c r="AE260" s="169">
        <f t="shared" si="157"/>
        <v>-85.682037535186367</v>
      </c>
      <c r="AF260" s="98" t="str">
        <f t="shared" si="143"/>
        <v>-0.0000119284294234592</v>
      </c>
      <c r="AG260" s="98" t="str">
        <f t="shared" si="144"/>
        <v>0.000298021674830813i</v>
      </c>
      <c r="AH260" s="98">
        <f t="shared" si="158"/>
        <v>2.9802167483081301E-4</v>
      </c>
      <c r="AI260" s="98">
        <f t="shared" si="159"/>
        <v>1.5707963267948966</v>
      </c>
      <c r="AJ260" s="98" t="str">
        <f t="shared" si="145"/>
        <v>1+0.0163312559527023i</v>
      </c>
      <c r="AK260" s="98">
        <f t="shared" si="160"/>
        <v>1.0001333460699091</v>
      </c>
      <c r="AL260" s="98">
        <f t="shared" si="161"/>
        <v>1.6329804282338531E-2</v>
      </c>
      <c r="AM260" s="98" t="str">
        <f t="shared" si="146"/>
        <v>1+8.92428904833578i</v>
      </c>
      <c r="AN260" s="98">
        <f t="shared" si="162"/>
        <v>8.9801411468999728</v>
      </c>
      <c r="AO260" s="98">
        <f t="shared" si="163"/>
        <v>1.4592080648941339</v>
      </c>
      <c r="AP260" s="168" t="str">
        <f t="shared" si="164"/>
        <v>-0.356449286455826+0.0458466399682426i</v>
      </c>
      <c r="AQ260" s="98">
        <f t="shared" si="165"/>
        <v>-8.8887866100339874</v>
      </c>
      <c r="AR260" s="169">
        <f t="shared" si="166"/>
        <v>172.67083468423317</v>
      </c>
      <c r="AS260" s="168" t="str">
        <f t="shared" si="167"/>
        <v>0.0996528206029751+1.89440183854427i</v>
      </c>
      <c r="AT260" s="190">
        <f t="shared" si="168"/>
        <v>5.5614431766023511</v>
      </c>
      <c r="AU260" s="169">
        <f t="shared" si="169"/>
        <v>86.988797149046803</v>
      </c>
      <c r="AV260" s="225"/>
      <c r="AX260">
        <f t="shared" si="170"/>
        <v>0</v>
      </c>
      <c r="AY260">
        <f t="shared" si="171"/>
        <v>0</v>
      </c>
    </row>
    <row r="261" spans="14:51" x14ac:dyDescent="0.2">
      <c r="N261" s="170">
        <v>43</v>
      </c>
      <c r="O261" s="199">
        <f t="shared" si="172"/>
        <v>2691.5348039269184</v>
      </c>
      <c r="P261" s="189" t="str">
        <f t="shared" si="138"/>
        <v>771.276595744681</v>
      </c>
      <c r="Q261" s="160" t="str">
        <f t="shared" si="139"/>
        <v>1+149.496881494758i</v>
      </c>
      <c r="R261" s="160">
        <f t="shared" si="147"/>
        <v>149.50022600871785</v>
      </c>
      <c r="S261" s="160">
        <f t="shared" si="148"/>
        <v>1.5641073238156809</v>
      </c>
      <c r="T261" s="160" t="str">
        <f t="shared" si="140"/>
        <v>1+0.00281405894578367i</v>
      </c>
      <c r="U261" s="160">
        <f t="shared" si="149"/>
        <v>1.0000039594560366</v>
      </c>
      <c r="V261" s="160">
        <f t="shared" si="150"/>
        <v>2.8140515177091379E-3</v>
      </c>
      <c r="W261" s="98" t="str">
        <f t="shared" si="141"/>
        <v>1-0.0114997601149813i</v>
      </c>
      <c r="X261" s="160">
        <f t="shared" si="151"/>
        <v>1.0000661200554202</v>
      </c>
      <c r="Y261" s="160">
        <f t="shared" si="152"/>
        <v>-1.1499253228591248E-2</v>
      </c>
      <c r="Z261" s="98" t="str">
        <f t="shared" si="142"/>
        <v>0.9971022561597-0.0787366977569975i</v>
      </c>
      <c r="AA261" s="160">
        <f t="shared" si="153"/>
        <v>1.0002061671537728</v>
      </c>
      <c r="AB261" s="160">
        <f t="shared" si="154"/>
        <v>-7.8801999717521456E-2</v>
      </c>
      <c r="AC261" s="171" t="str">
        <f t="shared" si="155"/>
        <v>0.395800332978803-5.14312368301676i</v>
      </c>
      <c r="AD261" s="190">
        <f t="shared" si="156"/>
        <v>14.250184198486357</v>
      </c>
      <c r="AE261" s="169">
        <f t="shared" si="157"/>
        <v>-85.599351761388803</v>
      </c>
      <c r="AF261" s="98" t="str">
        <f t="shared" si="143"/>
        <v>-0.0000119284294234592</v>
      </c>
      <c r="AG261" s="98" t="str">
        <f t="shared" si="144"/>
        <v>0.000304963491402145i</v>
      </c>
      <c r="AH261" s="98">
        <f t="shared" si="158"/>
        <v>3.04963491402145E-4</v>
      </c>
      <c r="AI261" s="98">
        <f t="shared" si="159"/>
        <v>1.5707963267948966</v>
      </c>
      <c r="AJ261" s="98" t="str">
        <f t="shared" si="145"/>
        <v>1+0.0167116597715437i</v>
      </c>
      <c r="AK261" s="98">
        <f t="shared" si="160"/>
        <v>1.0001396300378862</v>
      </c>
      <c r="AL261" s="98">
        <f t="shared" si="161"/>
        <v>1.6710104290452589E-2</v>
      </c>
      <c r="AM261" s="98" t="str">
        <f t="shared" si="146"/>
        <v>1+9.1321624442499i</v>
      </c>
      <c r="AN261" s="98">
        <f t="shared" si="162"/>
        <v>9.1867508352065546</v>
      </c>
      <c r="AO261" s="98">
        <f t="shared" si="163"/>
        <v>1.4617277964225199</v>
      </c>
      <c r="AP261" s="168" t="str">
        <f t="shared" si="164"/>
        <v>-0.356444807263527+0.0450710710060634i</v>
      </c>
      <c r="AQ261" s="98">
        <f t="shared" si="165"/>
        <v>-8.891265690449913</v>
      </c>
      <c r="AR261" s="169">
        <f t="shared" si="166"/>
        <v>172.79341508090201</v>
      </c>
      <c r="AS261" s="168" t="str">
        <f t="shared" si="167"/>
        <v>0.0907251193067454+1.8510788748373i</v>
      </c>
      <c r="AT261" s="190">
        <f t="shared" si="168"/>
        <v>5.3589185080364405</v>
      </c>
      <c r="AU261" s="169">
        <f t="shared" si="169"/>
        <v>87.194063319513205</v>
      </c>
      <c r="AV261" s="225"/>
      <c r="AX261">
        <f t="shared" si="170"/>
        <v>0</v>
      </c>
      <c r="AY261">
        <f t="shared" si="171"/>
        <v>0</v>
      </c>
    </row>
    <row r="262" spans="14:51" x14ac:dyDescent="0.2">
      <c r="N262" s="170">
        <v>44</v>
      </c>
      <c r="O262" s="199">
        <f t="shared" si="172"/>
        <v>2754.228703338169</v>
      </c>
      <c r="P262" s="189" t="str">
        <f t="shared" si="138"/>
        <v>771.276595744681</v>
      </c>
      <c r="Q262" s="160" t="str">
        <f t="shared" si="139"/>
        <v>1+152.979111201413i</v>
      </c>
      <c r="R262" s="160">
        <f t="shared" si="147"/>
        <v>152.98237958658601</v>
      </c>
      <c r="S262" s="160">
        <f t="shared" si="148"/>
        <v>1.5642595797247552</v>
      </c>
      <c r="T262" s="160" t="str">
        <f t="shared" si="140"/>
        <v>1+0.0028796067990854i</v>
      </c>
      <c r="U262" s="160">
        <f t="shared" si="149"/>
        <v>1.0000041460590636</v>
      </c>
      <c r="V262" s="160">
        <f t="shared" si="150"/>
        <v>2.8795988397619203E-3</v>
      </c>
      <c r="W262" s="98" t="str">
        <f t="shared" si="141"/>
        <v>1-0.0117676239385701i</v>
      </c>
      <c r="X262" s="160">
        <f t="shared" si="151"/>
        <v>1.0000692360897618</v>
      </c>
      <c r="Y262" s="160">
        <f t="shared" si="152"/>
        <v>-1.1767080802048429E-2</v>
      </c>
      <c r="Z262" s="98" t="str">
        <f t="shared" si="142"/>
        <v>0.996965689699883-0.0805707110500634i</v>
      </c>
      <c r="AA262" s="160">
        <f t="shared" si="153"/>
        <v>1.0002160896115779</v>
      </c>
      <c r="AB262" s="160">
        <f t="shared" si="154"/>
        <v>-8.0640675863027492E-2</v>
      </c>
      <c r="AC262" s="171" t="str">
        <f t="shared" si="155"/>
        <v>0.394247541154734-5.02544410993043i</v>
      </c>
      <c r="AD262" s="190">
        <f t="shared" si="156"/>
        <v>14.05013546132013</v>
      </c>
      <c r="AE262" s="169">
        <f t="shared" si="157"/>
        <v>-85.514316804040121</v>
      </c>
      <c r="AF262" s="98" t="str">
        <f t="shared" si="143"/>
        <v>-0.0000119284294234592</v>
      </c>
      <c r="AG262" s="98" t="str">
        <f t="shared" si="144"/>
        <v>0.000312067003653287i</v>
      </c>
      <c r="AH262" s="98">
        <f t="shared" si="158"/>
        <v>3.12067003653287E-4</v>
      </c>
      <c r="AI262" s="98">
        <f t="shared" si="159"/>
        <v>1.5707963267948966</v>
      </c>
      <c r="AJ262" s="98" t="str">
        <f t="shared" si="145"/>
        <v>1+0.0171009243336009i</v>
      </c>
      <c r="AK262" s="98">
        <f t="shared" si="160"/>
        <v>1.0001462101178324</v>
      </c>
      <c r="AL262" s="98">
        <f t="shared" si="161"/>
        <v>1.7099257618742199E-2</v>
      </c>
      <c r="AM262" s="98" t="str">
        <f t="shared" si="146"/>
        <v>1+9.34487783357043i</v>
      </c>
      <c r="AN262" s="98">
        <f t="shared" si="162"/>
        <v>9.3982307762874164</v>
      </c>
      <c r="AO262" s="98">
        <f t="shared" si="163"/>
        <v>1.4641915161881858</v>
      </c>
      <c r="AP262" s="168" t="str">
        <f t="shared" si="164"/>
        <v>-0.356440117094052+0.0443193922669202i</v>
      </c>
      <c r="AQ262" s="98">
        <f t="shared" si="165"/>
        <v>-8.8936394855881158</v>
      </c>
      <c r="AR262" s="169">
        <f t="shared" si="166"/>
        <v>172.91227898208317</v>
      </c>
      <c r="AS262" s="168" t="str">
        <f t="shared" si="167"/>
        <v>0.0821989890902549+1.80874269841992i</v>
      </c>
      <c r="AT262" s="190">
        <f t="shared" si="168"/>
        <v>5.1564959757320041</v>
      </c>
      <c r="AU262" s="169">
        <f t="shared" si="169"/>
        <v>87.397962178043045</v>
      </c>
      <c r="AV262" s="225"/>
      <c r="AX262">
        <f t="shared" si="170"/>
        <v>0</v>
      </c>
      <c r="AY262">
        <f t="shared" si="171"/>
        <v>0</v>
      </c>
    </row>
    <row r="263" spans="14:51" x14ac:dyDescent="0.2">
      <c r="N263" s="170">
        <v>45</v>
      </c>
      <c r="O263" s="199">
        <f t="shared" si="172"/>
        <v>2818.3829312644561</v>
      </c>
      <c r="P263" s="189" t="str">
        <f t="shared" si="138"/>
        <v>771.276595744681</v>
      </c>
      <c r="Q263" s="160" t="str">
        <f t="shared" si="139"/>
        <v>1+156.542452457744i</v>
      </c>
      <c r="R263" s="160">
        <f t="shared" si="147"/>
        <v>156.54564644692309</v>
      </c>
      <c r="S263" s="160">
        <f t="shared" si="148"/>
        <v>1.5644083701590679</v>
      </c>
      <c r="T263" s="160" t="str">
        <f t="shared" si="140"/>
        <v>1+0.00294668145802811i</v>
      </c>
      <c r="U263" s="160">
        <f t="shared" si="149"/>
        <v>1.0000043414563835</v>
      </c>
      <c r="V263" s="160">
        <f t="shared" si="150"/>
        <v>2.9466729294613443E-3</v>
      </c>
      <c r="W263" s="98" t="str">
        <f t="shared" si="141"/>
        <v>1-0.0120417271121341i</v>
      </c>
      <c r="X263" s="160">
        <f t="shared" si="151"/>
        <v>1.0000724989678713</v>
      </c>
      <c r="Y263" s="160">
        <f t="shared" si="152"/>
        <v>-1.204114513314436E-2</v>
      </c>
      <c r="Z263" s="98" t="str">
        <f t="shared" si="142"/>
        <v>0.996822687061103-0.0824474440006074i</v>
      </c>
      <c r="AA263" s="160">
        <f t="shared" si="153"/>
        <v>1.0002264995799455</v>
      </c>
      <c r="AB263" s="160">
        <f t="shared" si="154"/>
        <v>-8.2522404233993429E-2</v>
      </c>
      <c r="AC263" s="171" t="str">
        <f t="shared" si="155"/>
        <v>0.392764575120854-4.91042800745585i</v>
      </c>
      <c r="AD263" s="190">
        <f t="shared" si="156"/>
        <v>13.850083449585016</v>
      </c>
      <c r="AE263" s="169">
        <f t="shared" si="157"/>
        <v>-85.42688644134418</v>
      </c>
      <c r="AF263" s="98" t="str">
        <f t="shared" si="143"/>
        <v>-0.0000119284294234592</v>
      </c>
      <c r="AG263" s="98" t="str">
        <f t="shared" si="144"/>
        <v>0.000319335977960461i</v>
      </c>
      <c r="AH263" s="98">
        <f t="shared" si="158"/>
        <v>3.19335977960461E-4</v>
      </c>
      <c r="AI263" s="98">
        <f t="shared" si="159"/>
        <v>1.5707963267948966</v>
      </c>
      <c r="AJ263" s="98" t="str">
        <f t="shared" si="145"/>
        <v>1+0.0174992560320972i</v>
      </c>
      <c r="AK263" s="98">
        <f t="shared" si="160"/>
        <v>1.0001531002609936</v>
      </c>
      <c r="AL263" s="98">
        <f t="shared" si="161"/>
        <v>1.7497470129714532E-2</v>
      </c>
      <c r="AM263" s="98" t="str">
        <f t="shared" si="146"/>
        <v>1+9.56254800081237i</v>
      </c>
      <c r="AN263" s="98">
        <f t="shared" si="162"/>
        <v>9.6146931447571777</v>
      </c>
      <c r="AO263" s="98">
        <f t="shared" si="163"/>
        <v>1.4666004107863069</v>
      </c>
      <c r="AP263" s="168" t="str">
        <f t="shared" si="164"/>
        <v>-0.356435206015988+0.0435912046964977i</v>
      </c>
      <c r="AQ263" s="98">
        <f t="shared" si="165"/>
        <v>-8.8959128608993758</v>
      </c>
      <c r="AR263" s="169">
        <f t="shared" si="166"/>
        <v>173.02748257961932</v>
      </c>
      <c r="AS263" s="168" t="str">
        <f t="shared" si="167"/>
        <v>0.0740563501714397+1.76737049945583i</v>
      </c>
      <c r="AT263" s="190">
        <f t="shared" si="168"/>
        <v>4.954170588685642</v>
      </c>
      <c r="AU263" s="169">
        <f t="shared" si="169"/>
        <v>87.600596138275151</v>
      </c>
      <c r="AV263" s="225"/>
      <c r="AX263">
        <f t="shared" si="170"/>
        <v>0</v>
      </c>
      <c r="AY263">
        <f t="shared" si="171"/>
        <v>0</v>
      </c>
    </row>
    <row r="264" spans="14:51" x14ac:dyDescent="0.2">
      <c r="N264" s="170">
        <v>46</v>
      </c>
      <c r="O264" s="199">
        <f t="shared" si="172"/>
        <v>2884.0315031266077</v>
      </c>
      <c r="P264" s="189" t="str">
        <f t="shared" si="138"/>
        <v>771.276595744681</v>
      </c>
      <c r="Q264" s="160" t="str">
        <f t="shared" si="139"/>
        <v>1+160.188794594452i</v>
      </c>
      <c r="R264" s="160">
        <f t="shared" si="147"/>
        <v>160.19191588099423</v>
      </c>
      <c r="S264" s="160">
        <f t="shared" si="148"/>
        <v>1.5645537739829098</v>
      </c>
      <c r="T264" s="160" t="str">
        <f t="shared" si="140"/>
        <v>1+0.0030153184864838i</v>
      </c>
      <c r="U264" s="160">
        <f t="shared" si="149"/>
        <v>1.000004546062454</v>
      </c>
      <c r="V264" s="160">
        <f t="shared" si="150"/>
        <v>3.0153093479621087E-3</v>
      </c>
      <c r="W264" s="98" t="str">
        <f t="shared" si="141"/>
        <v>1-0.012322214968804i</v>
      </c>
      <c r="X264" s="160">
        <f t="shared" si="151"/>
        <v>1.0000759156092789</v>
      </c>
      <c r="Y264" s="160">
        <f t="shared" si="152"/>
        <v>-1.2321591369637869E-2</v>
      </c>
      <c r="Z264" s="98" t="str">
        <f t="shared" si="142"/>
        <v>0.996672944915589-0.0843678916772815i</v>
      </c>
      <c r="AA264" s="160">
        <f t="shared" si="153"/>
        <v>1.0002374219517995</v>
      </c>
      <c r="AB264" s="160">
        <f t="shared" si="154"/>
        <v>-8.4448203572153963E-2</v>
      </c>
      <c r="AC264" s="171" t="str">
        <f t="shared" si="155"/>
        <v>0.391348288056868-4.79801444124654i</v>
      </c>
      <c r="AD264" s="190">
        <f t="shared" si="156"/>
        <v>13.650028028645711</v>
      </c>
      <c r="AE264" s="169">
        <f t="shared" si="157"/>
        <v>-85.337013101140116</v>
      </c>
      <c r="AF264" s="98" t="str">
        <f t="shared" si="143"/>
        <v>-0.0000119284294234592</v>
      </c>
      <c r="AG264" s="98" t="str">
        <f t="shared" si="144"/>
        <v>0.000326774268430061i</v>
      </c>
      <c r="AH264" s="98">
        <f t="shared" si="158"/>
        <v>3.26774268430061E-4</v>
      </c>
      <c r="AI264" s="98">
        <f t="shared" si="159"/>
        <v>1.5707963267948966</v>
      </c>
      <c r="AJ264" s="98" t="str">
        <f t="shared" si="145"/>
        <v>1+0.0179068660677718i</v>
      </c>
      <c r="AK264" s="98">
        <f t="shared" si="160"/>
        <v>1.0001603150757228</v>
      </c>
      <c r="AL264" s="98">
        <f t="shared" si="161"/>
        <v>1.7904952455457496E-2</v>
      </c>
      <c r="AM264" s="98" t="str">
        <f t="shared" si="146"/>
        <v>1+9.78528835757964i</v>
      </c>
      <c r="AN264" s="98">
        <f t="shared" si="162"/>
        <v>9.8362527540208973</v>
      </c>
      <c r="AO264" s="98">
        <f t="shared" si="163"/>
        <v>1.4689556455575361</v>
      </c>
      <c r="AP264" s="168" t="str">
        <f t="shared" si="164"/>
        <v>-0.356430063630992+0.042886121659778i</v>
      </c>
      <c r="AQ264" s="98">
        <f t="shared" si="165"/>
        <v>-8.8980904835266763</v>
      </c>
      <c r="AR264" s="169">
        <f t="shared" si="166"/>
        <v>173.13908057428196</v>
      </c>
      <c r="AS264" s="168" t="str">
        <f t="shared" si="167"/>
        <v>0.0662799358386816+1.72694000288888i</v>
      </c>
      <c r="AT264" s="190">
        <f t="shared" si="168"/>
        <v>4.7519375451190546</v>
      </c>
      <c r="AU264" s="169">
        <f t="shared" si="169"/>
        <v>87.802067473141861</v>
      </c>
      <c r="AV264" s="225"/>
      <c r="AX264">
        <f t="shared" si="170"/>
        <v>0</v>
      </c>
      <c r="AY264">
        <f t="shared" si="171"/>
        <v>0</v>
      </c>
    </row>
    <row r="265" spans="14:51" x14ac:dyDescent="0.2">
      <c r="N265" s="170">
        <v>47</v>
      </c>
      <c r="O265" s="199">
        <f t="shared" si="172"/>
        <v>2951.2092266663876</v>
      </c>
      <c r="P265" s="189" t="str">
        <f t="shared" si="138"/>
        <v>771.276595744681</v>
      </c>
      <c r="Q265" s="160" t="str">
        <f t="shared" si="139"/>
        <v>1+163.920070950404i</v>
      </c>
      <c r="R265" s="160">
        <f t="shared" si="147"/>
        <v>163.92312118912781</v>
      </c>
      <c r="S265" s="160">
        <f t="shared" si="148"/>
        <v>1.5646958682667051</v>
      </c>
      <c r="T265" s="160" t="str">
        <f t="shared" si="140"/>
        <v>1+0.00308555427671348i</v>
      </c>
      <c r="U265" s="160">
        <f t="shared" si="149"/>
        <v>1.0000047603112669</v>
      </c>
      <c r="V265" s="160">
        <f t="shared" si="150"/>
        <v>3.085544484613584E-3</v>
      </c>
      <c r="W265" s="98" t="str">
        <f t="shared" si="141"/>
        <v>1-0.0126092362269541i</v>
      </c>
      <c r="X265" s="160">
        <f t="shared" si="151"/>
        <v>1.0000794932595243</v>
      </c>
      <c r="Y265" s="160">
        <f t="shared" si="152"/>
        <v>-1.2608568031277405E-2</v>
      </c>
      <c r="Z265" s="98" t="str">
        <f t="shared" si="142"/>
        <v>0.996516145640176-0.0863330723268638i</v>
      </c>
      <c r="AA265" s="160">
        <f t="shared" si="153"/>
        <v>1.0002488829781058</v>
      </c>
      <c r="AB265" s="160">
        <f t="shared" si="154"/>
        <v>-8.6419117476760718E-2</v>
      </c>
      <c r="AC265" s="171" t="str">
        <f t="shared" si="155"/>
        <v>0.389995674311623-4.68814385192025i</v>
      </c>
      <c r="AD265" s="190">
        <f t="shared" si="156"/>
        <v>13.449969054292676</v>
      </c>
      <c r="AE265" s="169">
        <f t="shared" si="157"/>
        <v>-85.24464783000397</v>
      </c>
      <c r="AF265" s="98" t="str">
        <f t="shared" si="143"/>
        <v>-0.0000119284294234592</v>
      </c>
      <c r="AG265" s="98" t="str">
        <f t="shared" si="144"/>
        <v>0.000334385818942152i</v>
      </c>
      <c r="AH265" s="98">
        <f t="shared" si="158"/>
        <v>3.3438581894215203E-4</v>
      </c>
      <c r="AI265" s="98">
        <f t="shared" si="159"/>
        <v>1.5707963267948966</v>
      </c>
      <c r="AJ265" s="98" t="str">
        <f t="shared" si="145"/>
        <v>1+0.0183239705608609i</v>
      </c>
      <c r="AK265" s="98">
        <f t="shared" si="160"/>
        <v>1.0001678698584129</v>
      </c>
      <c r="AL265" s="98">
        <f t="shared" si="161"/>
        <v>1.8321920106910344E-2</v>
      </c>
      <c r="AM265" s="98" t="str">
        <f t="shared" si="146"/>
        <v>1+10.0132170037577i</v>
      </c>
      <c r="AN265" s="98">
        <f t="shared" si="162"/>
        <v>10.0630271173411</v>
      </c>
      <c r="AO265" s="98">
        <f t="shared" si="163"/>
        <v>1.4712583647030164</v>
      </c>
      <c r="AP265" s="168" t="str">
        <f t="shared" si="164"/>
        <v>-0.356424679051891+0.0422037687334698i</v>
      </c>
      <c r="AQ265" s="98">
        <f t="shared" si="165"/>
        <v>-8.9001768309373919</v>
      </c>
      <c r="AR265" s="169">
        <f t="shared" si="166"/>
        <v>173.24712617610027</v>
      </c>
      <c r="AS265" s="168" t="str">
        <f t="shared" si="167"/>
        <v>0.0588532558675345+1.68742945501547i</v>
      </c>
      <c r="AT265" s="190">
        <f t="shared" si="168"/>
        <v>4.549792223355273</v>
      </c>
      <c r="AU265" s="169">
        <f t="shared" si="169"/>
        <v>88.002478346096311</v>
      </c>
      <c r="AV265" s="225"/>
      <c r="AX265">
        <f t="shared" si="170"/>
        <v>0</v>
      </c>
      <c r="AY265">
        <f t="shared" si="171"/>
        <v>0</v>
      </c>
    </row>
    <row r="266" spans="14:51" x14ac:dyDescent="0.2">
      <c r="N266" s="170">
        <v>48</v>
      </c>
      <c r="O266" s="199">
        <f t="shared" si="172"/>
        <v>3019.9517204020176</v>
      </c>
      <c r="P266" s="189" t="str">
        <f t="shared" si="138"/>
        <v>771.276595744681</v>
      </c>
      <c r="Q266" s="160" t="str">
        <f t="shared" si="139"/>
        <v>1+167.738259897712i</v>
      </c>
      <c r="R266" s="160">
        <f t="shared" si="147"/>
        <v>167.74124070577392</v>
      </c>
      <c r="S266" s="160">
        <f t="shared" si="148"/>
        <v>1.5648347283277593</v>
      </c>
      <c r="T266" s="160" t="str">
        <f t="shared" si="140"/>
        <v>1+0.00315742606866281i</v>
      </c>
      <c r="U266" s="160">
        <f t="shared" si="149"/>
        <v>1.0000049846572661</v>
      </c>
      <c r="V266" s="160">
        <f t="shared" si="150"/>
        <v>3.1574155762415569E-3</v>
      </c>
      <c r="W266" s="98" t="str">
        <f t="shared" si="141"/>
        <v>1-0.0129029430690547i</v>
      </c>
      <c r="X266" s="160">
        <f t="shared" si="151"/>
        <v>1.0000832395055141</v>
      </c>
      <c r="Y266" s="160">
        <f t="shared" si="152"/>
        <v>-1.290222708770597E-2</v>
      </c>
      <c r="Z266" s="98" t="str">
        <f t="shared" si="142"/>
        <v>0.996351956642576-0.0883440279141473i</v>
      </c>
      <c r="AA266" s="160">
        <f t="shared" si="153"/>
        <v>1.0002609103496873</v>
      </c>
      <c r="AB266" s="160">
        <f t="shared" si="154"/>
        <v>-8.8436215062904444E-2</v>
      </c>
      <c r="AC266" s="171" t="str">
        <f t="shared" si="155"/>
        <v>0.388703863014899-4.5807580236909i</v>
      </c>
      <c r="AD266" s="190">
        <f t="shared" si="156"/>
        <v>13.249906372210685</v>
      </c>
      <c r="AE266" s="169">
        <f t="shared" si="157"/>
        <v>-85.149740261223073</v>
      </c>
      <c r="AF266" s="98" t="str">
        <f t="shared" si="143"/>
        <v>-0.0000119284294234592</v>
      </c>
      <c r="AG266" s="98" t="str">
        <f t="shared" si="144"/>
        <v>0.000342174665241565i</v>
      </c>
      <c r="AH266" s="98">
        <f t="shared" si="158"/>
        <v>3.4217466524156501E-4</v>
      </c>
      <c r="AI266" s="98">
        <f t="shared" si="159"/>
        <v>1.5707963267948966</v>
      </c>
      <c r="AJ266" s="98" t="str">
        <f t="shared" si="145"/>
        <v>1+0.0187507906656878i</v>
      </c>
      <c r="AK266" s="98">
        <f t="shared" si="160"/>
        <v>1.00017578062588</v>
      </c>
      <c r="AL266" s="98">
        <f t="shared" si="161"/>
        <v>1.8748593585549731E-2</v>
      </c>
      <c r="AM266" s="98" t="str">
        <f t="shared" si="146"/>
        <v>1+10.2464547901317i</v>
      </c>
      <c r="AN266" s="98">
        <f t="shared" si="162"/>
        <v>10.295136510324321</v>
      </c>
      <c r="AO266" s="98">
        <f t="shared" si="163"/>
        <v>1.4735096914197614</v>
      </c>
      <c r="AP266" s="168" t="str">
        <f t="shared" si="164"/>
        <v>-0.35641904087976+0.0415437835047287i</v>
      </c>
      <c r="AQ266" s="98">
        <f t="shared" si="165"/>
        <v>-8.9021761992609747</v>
      </c>
      <c r="AR266" s="169">
        <f t="shared" si="166"/>
        <v>173.35167110571857</v>
      </c>
      <c r="AS266" s="168" t="str">
        <f t="shared" si="167"/>
        <v>0.0517605615817357+1.64881761043872i</v>
      </c>
      <c r="AT266" s="190">
        <f t="shared" si="168"/>
        <v>4.347730172949718</v>
      </c>
      <c r="AU266" s="169">
        <f t="shared" si="169"/>
        <v>88.201930844495493</v>
      </c>
      <c r="AV266" s="225"/>
      <c r="AX266">
        <f t="shared" si="170"/>
        <v>0</v>
      </c>
      <c r="AY266">
        <f t="shared" si="171"/>
        <v>0</v>
      </c>
    </row>
    <row r="267" spans="14:51" x14ac:dyDescent="0.2">
      <c r="N267" s="170">
        <v>49</v>
      </c>
      <c r="O267" s="199">
        <f t="shared" si="172"/>
        <v>3090.295432513592</v>
      </c>
      <c r="P267" s="189" t="str">
        <f t="shared" si="138"/>
        <v>771.276595744681</v>
      </c>
      <c r="Q267" s="160" t="str">
        <f t="shared" si="139"/>
        <v>1+171.645385890697i</v>
      </c>
      <c r="R267" s="160">
        <f t="shared" si="147"/>
        <v>171.64829884844852</v>
      </c>
      <c r="S267" s="160">
        <f t="shared" si="148"/>
        <v>1.5649704277700818</v>
      </c>
      <c r="T267" s="160" t="str">
        <f t="shared" si="140"/>
        <v>1+0.00323097196970723i</v>
      </c>
      <c r="U267" s="160">
        <f t="shared" si="149"/>
        <v>1.0000052195763125</v>
      </c>
      <c r="V267" s="160">
        <f t="shared" si="150"/>
        <v>3.2309607268784682E-3</v>
      </c>
      <c r="W267" s="98" t="str">
        <f t="shared" si="141"/>
        <v>1-0.0132034912223612i</v>
      </c>
      <c r="X267" s="160">
        <f t="shared" si="151"/>
        <v>1.000087162291597</v>
      </c>
      <c r="Y267" s="160">
        <f t="shared" si="152"/>
        <v>-1.3202724038135053E-2</v>
      </c>
      <c r="Z267" s="98" t="str">
        <f t="shared" si="142"/>
        <v>0.996180029655914-0.0904018246744022i</v>
      </c>
      <c r="AA267" s="160">
        <f t="shared" si="153"/>
        <v>1.0002735332846306</v>
      </c>
      <c r="AB267" s="160">
        <f t="shared" si="154"/>
        <v>-9.0500591640674199E-2</v>
      </c>
      <c r="AC267" s="171" t="str">
        <f t="shared" si="155"/>
        <v>0.387470111972702-4.47580005369043i</v>
      </c>
      <c r="AD267" s="190">
        <f t="shared" si="156"/>
        <v>13.04983981740379</v>
      </c>
      <c r="AE267" s="169">
        <f t="shared" si="157"/>
        <v>-85.052238581599568</v>
      </c>
      <c r="AF267" s="98" t="str">
        <f t="shared" si="143"/>
        <v>-0.0000119284294234592</v>
      </c>
      <c r="AG267" s="98" t="str">
        <f t="shared" si="144"/>
        <v>0.000350144937077706i</v>
      </c>
      <c r="AH267" s="98">
        <f t="shared" si="158"/>
        <v>3.50144937077706E-4</v>
      </c>
      <c r="AI267" s="98">
        <f t="shared" si="159"/>
        <v>1.5707963267948966</v>
      </c>
      <c r="AJ267" s="98" t="str">
        <f t="shared" si="145"/>
        <v>1+0.0191875526879216i</v>
      </c>
      <c r="AK267" s="98">
        <f t="shared" si="160"/>
        <v>1.0001840641492703</v>
      </c>
      <c r="AL267" s="98">
        <f t="shared" si="161"/>
        <v>1.9185198497537047E-2</v>
      </c>
      <c r="AM267" s="98" t="str">
        <f t="shared" si="146"/>
        <v>1+10.4851253824634i</v>
      </c>
      <c r="AN267" s="98">
        <f t="shared" si="162"/>
        <v>10.53270403486105</v>
      </c>
      <c r="AO267" s="98">
        <f t="shared" si="163"/>
        <v>1.4757107280545774</v>
      </c>
      <c r="AP267" s="168" t="str">
        <f t="shared" si="164"/>
        <v>-0.356413137179951+0.0409058153760477i</v>
      </c>
      <c r="AQ267" s="98">
        <f t="shared" si="165"/>
        <v>-8.9040927113403718</v>
      </c>
      <c r="AR267" s="169">
        <f t="shared" si="166"/>
        <v>173.45276559667568</v>
      </c>
      <c r="AS267" s="168" t="str">
        <f t="shared" si="167"/>
        <v>0.0449868124847075+1.61108371939009i</v>
      </c>
      <c r="AT267" s="190">
        <f t="shared" si="168"/>
        <v>4.1457471060634123</v>
      </c>
      <c r="AU267" s="169">
        <f t="shared" si="169"/>
        <v>88.400527015076094</v>
      </c>
      <c r="AV267" s="225"/>
      <c r="AX267">
        <f t="shared" si="170"/>
        <v>0</v>
      </c>
      <c r="AY267">
        <f t="shared" si="171"/>
        <v>0</v>
      </c>
    </row>
    <row r="268" spans="14:51" x14ac:dyDescent="0.2">
      <c r="N268" s="170">
        <v>50</v>
      </c>
      <c r="O268" s="199">
        <f t="shared" si="172"/>
        <v>3162.2776601683804</v>
      </c>
      <c r="P268" s="189" t="str">
        <f t="shared" si="138"/>
        <v>771.276595744681</v>
      </c>
      <c r="Q268" s="160" t="str">
        <f t="shared" si="139"/>
        <v>1+175.643520539276i</v>
      </c>
      <c r="R268" s="160">
        <f t="shared" si="147"/>
        <v>175.64636719110098</v>
      </c>
      <c r="S268" s="160">
        <f t="shared" si="148"/>
        <v>1.5651030385233113</v>
      </c>
      <c r="T268" s="160" t="str">
        <f t="shared" si="140"/>
        <v>1+0.00330623097485694i</v>
      </c>
      <c r="U268" s="160">
        <f t="shared" si="149"/>
        <v>1.0000054655666932</v>
      </c>
      <c r="V268" s="160">
        <f t="shared" si="150"/>
        <v>3.3062189279524324E-3</v>
      </c>
      <c r="W268" s="98" t="str">
        <f t="shared" si="141"/>
        <v>1-0.0135110400414827i</v>
      </c>
      <c r="X268" s="160">
        <f t="shared" si="151"/>
        <v>1.0000912699364006</v>
      </c>
      <c r="Y268" s="160">
        <f t="shared" si="152"/>
        <v>-1.3510217992825502E-2</v>
      </c>
      <c r="Z268" s="98" t="str">
        <f t="shared" si="142"/>
        <v>0.996-0.092507553678709i</v>
      </c>
      <c r="AA268" s="160">
        <f t="shared" si="153"/>
        <v>1.0002867826216737</v>
      </c>
      <c r="AB268" s="160">
        <f t="shared" si="154"/>
        <v>-9.2613369416019276E-2</v>
      </c>
      <c r="AC268" s="171" t="str">
        <f t="shared" si="155"/>
        <v>0.386291801833073-4.37321432196578i</v>
      </c>
      <c r="AD268" s="190">
        <f t="shared" si="156"/>
        <v>12.849769213574525</v>
      </c>
      <c r="AE268" s="169">
        <f t="shared" si="157"/>
        <v>-84.952089497035615</v>
      </c>
      <c r="AF268" s="98" t="str">
        <f t="shared" si="143"/>
        <v>-0.0000119284294234592</v>
      </c>
      <c r="AG268" s="98" t="str">
        <f t="shared" si="144"/>
        <v>0.000358300860394202i</v>
      </c>
      <c r="AH268" s="98">
        <f t="shared" si="158"/>
        <v>3.5830086039420199E-4</v>
      </c>
      <c r="AI268" s="98">
        <f t="shared" si="159"/>
        <v>1.5707963267948966</v>
      </c>
      <c r="AJ268" s="98" t="str">
        <f t="shared" si="145"/>
        <v>1+0.0196344882045679i</v>
      </c>
      <c r="AK268" s="98">
        <f t="shared" si="160"/>
        <v>1.0001927379895614</v>
      </c>
      <c r="AL268" s="98">
        <f t="shared" si="161"/>
        <v>1.96319656703756E-2</v>
      </c>
      <c r="AM268" s="98" t="str">
        <f t="shared" si="146"/>
        <v>1+10.7293553270598i</v>
      </c>
      <c r="AN268" s="98">
        <f t="shared" si="162"/>
        <v>10.77585568455269</v>
      </c>
      <c r="AO268" s="98">
        <f t="shared" si="163"/>
        <v>1.4778625562748089</v>
      </c>
      <c r="AP268" s="168" t="str">
        <f t="shared" si="164"/>
        <v>-0.356406955456953+0.0402895253762036i</v>
      </c>
      <c r="AQ268" s="98">
        <f t="shared" si="165"/>
        <v>-8.9059303245075601</v>
      </c>
      <c r="AR268" s="169">
        <f t="shared" si="166"/>
        <v>173.55045839850342</v>
      </c>
      <c r="AS268" s="168" t="str">
        <f t="shared" si="167"/>
        <v>0.0385176443911112+1.57420751540514i</v>
      </c>
      <c r="AT268" s="190">
        <f t="shared" si="168"/>
        <v>3.9438388890669667</v>
      </c>
      <c r="AU268" s="169">
        <f t="shared" si="169"/>
        <v>88.598368901467808</v>
      </c>
      <c r="AV268" s="225"/>
      <c r="AX268">
        <f t="shared" si="170"/>
        <v>0</v>
      </c>
      <c r="AY268">
        <f t="shared" si="171"/>
        <v>0</v>
      </c>
    </row>
    <row r="269" spans="14:51" x14ac:dyDescent="0.2">
      <c r="N269" s="170">
        <v>51</v>
      </c>
      <c r="O269" s="199">
        <f t="shared" si="172"/>
        <v>3235.9365692962833</v>
      </c>
      <c r="P269" s="189" t="str">
        <f t="shared" si="138"/>
        <v>771.276595744681</v>
      </c>
      <c r="Q269" s="160" t="str">
        <f t="shared" si="139"/>
        <v>1+179.734783707361i</v>
      </c>
      <c r="R269" s="160">
        <f t="shared" si="147"/>
        <v>179.73756556249404</v>
      </c>
      <c r="S269" s="160">
        <f t="shared" si="148"/>
        <v>1.5652326308807576</v>
      </c>
      <c r="T269" s="160" t="str">
        <f t="shared" si="140"/>
        <v>1+0.00338324298743267i</v>
      </c>
      <c r="U269" s="160">
        <f t="shared" si="149"/>
        <v>1.0000057231501789</v>
      </c>
      <c r="V269" s="160">
        <f t="shared" si="150"/>
        <v>3.383230078945912E-3</v>
      </c>
      <c r="W269" s="98" t="str">
        <f t="shared" si="141"/>
        <v>1-0.0138257525928739i</v>
      </c>
      <c r="X269" s="160">
        <f t="shared" si="151"/>
        <v>1.0000955711504573</v>
      </c>
      <c r="Y269" s="160">
        <f t="shared" si="152"/>
        <v>-1.3824871756414E-2</v>
      </c>
      <c r="Z269" s="98" t="str">
        <f t="shared" si="142"/>
        <v>0.995811485807796-0.0946623314124585i</v>
      </c>
      <c r="AA269" s="160">
        <f t="shared" si="153"/>
        <v>1.0003006909200713</v>
      </c>
      <c r="AB269" s="160">
        <f t="shared" si="154"/>
        <v>-9.4775698214211002E-2</v>
      </c>
      <c r="AC269" s="171" t="str">
        <f t="shared" si="155"/>
        <v>0.38516643050975-4.27294646213512i</v>
      </c>
      <c r="AD269" s="190">
        <f t="shared" si="156"/>
        <v>12.649694372452107</v>
      </c>
      <c r="AE269" s="169">
        <f t="shared" si="157"/>
        <v>-84.849238196852639</v>
      </c>
      <c r="AF269" s="98" t="str">
        <f t="shared" si="143"/>
        <v>-0.0000119284294234592</v>
      </c>
      <c r="AG269" s="98" t="str">
        <f t="shared" si="144"/>
        <v>0.000366646759569552i</v>
      </c>
      <c r="AH269" s="98">
        <f t="shared" si="158"/>
        <v>3.6664675956955199E-4</v>
      </c>
      <c r="AI269" s="98">
        <f t="shared" si="159"/>
        <v>1.5707963267948966</v>
      </c>
      <c r="AJ269" s="98" t="str">
        <f t="shared" si="145"/>
        <v>1+0.0200918341867535i</v>
      </c>
      <c r="AK269" s="98">
        <f t="shared" si="160"/>
        <v>1.0002018205347298</v>
      </c>
      <c r="AL269" s="98">
        <f t="shared" si="161"/>
        <v>2.0089131272123886E-2</v>
      </c>
      <c r="AM269" s="98" t="str">
        <f t="shared" si="146"/>
        <v>1+10.9792741178705i</v>
      </c>
      <c r="AN269" s="98">
        <f t="shared" si="162"/>
        <v>11.0247204116631</v>
      </c>
      <c r="AO269" s="98">
        <f t="shared" si="163"/>
        <v>1.479966237254321</v>
      </c>
      <c r="AP269" s="168" t="str">
        <f t="shared" si="164"/>
        <v>-0.356400482628155+0.0396945859771416i</v>
      </c>
      <c r="AQ269" s="98">
        <f t="shared" si="165"/>
        <v>-8.9076928380890887</v>
      </c>
      <c r="AR269" s="169">
        <f t="shared" si="166"/>
        <v>173.64479678055267</v>
      </c>
      <c r="AS269" s="168" t="str">
        <f t="shared" si="167"/>
        <v>0.0323393389911069+1.5381692033406i</v>
      </c>
      <c r="AT269" s="190">
        <f t="shared" si="168"/>
        <v>3.7420015343630064</v>
      </c>
      <c r="AU269" s="169">
        <f t="shared" si="169"/>
        <v>88.795558583700029</v>
      </c>
      <c r="AV269" s="225"/>
      <c r="AX269">
        <f t="shared" si="170"/>
        <v>0</v>
      </c>
      <c r="AY269">
        <f t="shared" si="171"/>
        <v>0</v>
      </c>
    </row>
    <row r="270" spans="14:51" x14ac:dyDescent="0.2">
      <c r="N270" s="170">
        <v>52</v>
      </c>
      <c r="O270" s="199">
        <f t="shared" si="172"/>
        <v>3311.3112148259115</v>
      </c>
      <c r="P270" s="189" t="str">
        <f t="shared" si="138"/>
        <v>771.276595744681</v>
      </c>
      <c r="Q270" s="160" t="str">
        <f t="shared" si="139"/>
        <v>1+183.92134463684i</v>
      </c>
      <c r="R270" s="160">
        <f t="shared" si="147"/>
        <v>183.92406317016614</v>
      </c>
      <c r="S270" s="160">
        <f t="shared" si="148"/>
        <v>1.5653592735365827</v>
      </c>
      <c r="T270" s="160" t="str">
        <f t="shared" si="140"/>
        <v>1+0.00346204884022287i</v>
      </c>
      <c r="U270" s="160">
        <f t="shared" si="149"/>
        <v>1.0000059928731289</v>
      </c>
      <c r="V270" s="160">
        <f t="shared" si="150"/>
        <v>3.4620350085345841E-3</v>
      </c>
      <c r="W270" s="98" t="str">
        <f t="shared" si="141"/>
        <v>1-0.0141477957412954i</v>
      </c>
      <c r="X270" s="160">
        <f t="shared" si="151"/>
        <v>1.0001000750546605</v>
      </c>
      <c r="Y270" s="160">
        <f t="shared" si="152"/>
        <v>-1.4146851913124639E-2</v>
      </c>
      <c r="Z270" s="98" t="str">
        <f t="shared" si="142"/>
        <v>0.995614087215427-0.0968673003673274i</v>
      </c>
      <c r="AA270" s="160">
        <f t="shared" si="153"/>
        <v>1.0003152925664296</v>
      </c>
      <c r="AB270" s="160">
        <f t="shared" si="154"/>
        <v>-9.6988756226856931E-2</v>
      </c>
      <c r="AC270" s="171" t="str">
        <f>(IMDIV(IMPRODUCT(P270,T270,W270),IMPRODUCT(Q270,Z270)))</f>
        <v>0.384091607851834-4.17494333268943i</v>
      </c>
      <c r="AD270" s="190">
        <f t="shared" si="156"/>
        <v>12.449615093067557</v>
      </c>
      <c r="AE270" s="169">
        <f t="shared" si="157"/>
        <v>-84.743628316791742</v>
      </c>
      <c r="AF270" s="98" t="str">
        <f t="shared" si="143"/>
        <v>-0.0000119284294234592</v>
      </c>
      <c r="AG270" s="98" t="str">
        <f t="shared" si="144"/>
        <v>0.000375187059709969i</v>
      </c>
      <c r="AH270" s="98">
        <f t="shared" si="158"/>
        <v>3.7518705970996898E-4</v>
      </c>
      <c r="AI270" s="98">
        <f t="shared" si="159"/>
        <v>1.5707963267948966</v>
      </c>
      <c r="AJ270" s="98" t="str">
        <f t="shared" si="145"/>
        <v>1+0.0205598331253718i</v>
      </c>
      <c r="AK270" s="98">
        <f t="shared" si="160"/>
        <v>1.0002113310386676</v>
      </c>
      <c r="AL270" s="98">
        <f t="shared" si="161"/>
        <v>2.0556936933214556E-2</v>
      </c>
      <c r="AM270" s="98" t="str">
        <f t="shared" si="146"/>
        <v>1+11.2350142651463i</v>
      </c>
      <c r="AN270" s="98">
        <f t="shared" si="162"/>
        <v>11.27943019562783</v>
      </c>
      <c r="AO270" s="98">
        <f t="shared" si="163"/>
        <v>1.4820228118731964</v>
      </c>
      <c r="AP270" s="168" t="str">
        <f t="shared" si="164"/>
        <v>-0.35639370499632+0.0391206809166859i</v>
      </c>
      <c r="AQ270" s="98">
        <f t="shared" si="165"/>
        <v>-8.9093839006538715</v>
      </c>
      <c r="AR270" s="169">
        <f t="shared" si="166"/>
        <v>173.73582653645511</v>
      </c>
      <c r="AS270" s="168" t="str">
        <f t="shared" si="167"/>
        <v>0.0264387947830796+1.50294944772042i</v>
      </c>
      <c r="AT270" s="190">
        <f t="shared" si="168"/>
        <v>3.5402311924136969</v>
      </c>
      <c r="AU270" s="169">
        <f t="shared" si="169"/>
        <v>88.992198219663379</v>
      </c>
      <c r="AV270" s="225"/>
      <c r="AX270">
        <f t="shared" si="170"/>
        <v>0</v>
      </c>
      <c r="AY270">
        <f t="shared" si="171"/>
        <v>0</v>
      </c>
    </row>
    <row r="271" spans="14:51" x14ac:dyDescent="0.2">
      <c r="N271" s="170">
        <v>53</v>
      </c>
      <c r="O271" s="199">
        <f t="shared" si="172"/>
        <v>3388.4415613920314</v>
      </c>
      <c r="P271" s="189" t="str">
        <f t="shared" si="138"/>
        <v>771.276595744681</v>
      </c>
      <c r="Q271" s="160" t="str">
        <f t="shared" si="139"/>
        <v>1+188.205423097732i</v>
      </c>
      <c r="R271" s="160">
        <f t="shared" si="147"/>
        <v>188.2080797505684</v>
      </c>
      <c r="S271" s="160">
        <f t="shared" si="148"/>
        <v>1.5654830336221406</v>
      </c>
      <c r="T271" s="160" t="str">
        <f t="shared" si="140"/>
        <v>1+0.00354269031713378i</v>
      </c>
      <c r="U271" s="160">
        <f t="shared" si="149"/>
        <v>1.0000062753076517</v>
      </c>
      <c r="V271" s="160">
        <f t="shared" si="150"/>
        <v>3.5426754962177807E-3</v>
      </c>
      <c r="W271" s="98" t="str">
        <f t="shared" si="141"/>
        <v>1-0.014477340238287i</v>
      </c>
      <c r="X271" s="160">
        <f t="shared" si="151"/>
        <v>1.0001047911995897</v>
      </c>
      <c r="Y271" s="160">
        <f t="shared" si="152"/>
        <v>-1.4476328913904296E-2</v>
      </c>
      <c r="Z271" s="98" t="str">
        <f t="shared" si="142"/>
        <v>0.995407385514012-0.0991236296470412i</v>
      </c>
      <c r="AA271" s="160">
        <f t="shared" si="153"/>
        <v>1.0003306238890441</v>
      </c>
      <c r="AB271" s="160">
        <f t="shared" si="154"/>
        <v>-9.9253750783464559E-2</v>
      </c>
      <c r="AC271" s="171" t="str">
        <f t="shared" si="155"/>
        <v>0.383065050547822-4.07915298892405i</v>
      </c>
      <c r="AD271" s="190">
        <f t="shared" si="156"/>
        <v>12.249531160969811</v>
      </c>
      <c r="AE271" s="169">
        <f t="shared" si="157"/>
        <v>-84.635201900641832</v>
      </c>
      <c r="AF271" s="98" t="str">
        <f t="shared" si="143"/>
        <v>-0.0000119284294234592</v>
      </c>
      <c r="AG271" s="98" t="str">
        <f t="shared" si="144"/>
        <v>0.000383926288995633i</v>
      </c>
      <c r="AH271" s="98">
        <f t="shared" si="158"/>
        <v>3.8392628899563302E-4</v>
      </c>
      <c r="AI271" s="98">
        <f t="shared" si="159"/>
        <v>1.5707963267948966</v>
      </c>
      <c r="AJ271" s="98" t="str">
        <f t="shared" si="145"/>
        <v>1+0.0210387331596547i</v>
      </c>
      <c r="AK271" s="98">
        <f t="shared" si="160"/>
        <v>1.0002212896619243</v>
      </c>
      <c r="AL271" s="98">
        <f t="shared" si="161"/>
        <v>2.1035629870926865E-2</v>
      </c>
      <c r="AM271" s="98" t="str">
        <f t="shared" si="146"/>
        <v>1+11.4967113656986i</v>
      </c>
      <c r="AN271" s="98">
        <f t="shared" si="162"/>
        <v>11.540120113161013</v>
      </c>
      <c r="AO271" s="98">
        <f t="shared" si="163"/>
        <v>1.4840333009297721</v>
      </c>
      <c r="AP271" s="168" t="str">
        <f t="shared" si="164"/>
        <v>-0.356386608220825+0.0385675050269644i</v>
      </c>
      <c r="AQ271" s="98">
        <f t="shared" si="165"/>
        <v>-8.9110070170094922</v>
      </c>
      <c r="AR271" s="169">
        <f t="shared" si="166"/>
        <v>173.82359198914057</v>
      </c>
      <c r="AS271" s="168" t="str">
        <f t="shared" si="167"/>
        <v>0.020803499313408+1.46852936139914i</v>
      </c>
      <c r="AT271" s="190">
        <f t="shared" si="168"/>
        <v>3.3385241439603215</v>
      </c>
      <c r="AU271" s="169">
        <f t="shared" si="169"/>
        <v>89.188390088498736</v>
      </c>
      <c r="AV271" s="225"/>
      <c r="AX271">
        <f t="shared" si="170"/>
        <v>0</v>
      </c>
      <c r="AY271">
        <f t="shared" si="171"/>
        <v>0</v>
      </c>
    </row>
    <row r="272" spans="14:51" x14ac:dyDescent="0.2">
      <c r="N272" s="170">
        <v>54</v>
      </c>
      <c r="O272" s="199">
        <f t="shared" si="172"/>
        <v>3467.3685045253224</v>
      </c>
      <c r="P272" s="189" t="str">
        <f t="shared" si="138"/>
        <v>771.276595744681</v>
      </c>
      <c r="Q272" s="160" t="str">
        <f t="shared" si="139"/>
        <v>1+192.589290565144i</v>
      </c>
      <c r="R272" s="160">
        <f t="shared" si="147"/>
        <v>192.59188674600355</v>
      </c>
      <c r="S272" s="160">
        <f t="shared" si="148"/>
        <v>1.5656039767414933</v>
      </c>
      <c r="T272" s="160" t="str">
        <f t="shared" si="140"/>
        <v>1+0.00362521017534388i</v>
      </c>
      <c r="U272" s="160">
        <f t="shared" si="149"/>
        <v>1.0000065710528183</v>
      </c>
      <c r="V272" s="160">
        <f t="shared" si="150"/>
        <v>3.6251942944519012E-3</v>
      </c>
      <c r="W272" s="98" t="str">
        <f t="shared" si="141"/>
        <v>1-0.0148145608127033i</v>
      </c>
      <c r="X272" s="160">
        <f t="shared" si="151"/>
        <v>1.0001097295857457</v>
      </c>
      <c r="Y272" s="160">
        <f t="shared" si="152"/>
        <v>-1.4813477165524704E-2</v>
      </c>
      <c r="Z272" s="98" t="str">
        <f t="shared" si="142"/>
        <v>0.99519094226153-0.10143251558725i</v>
      </c>
      <c r="AA272" s="160">
        <f t="shared" si="153"/>
        <v>1.0003467232803582</v>
      </c>
      <c r="AB272" s="160">
        <f t="shared" si="154"/>
        <v>-0.10157191914860821</v>
      </c>
      <c r="AC272" s="171" t="str">
        <f t="shared" si="155"/>
        <v>0.382084577253088-3.98552465548654i</v>
      </c>
      <c r="AD272" s="190">
        <f t="shared" si="156"/>
        <v>12.049442347379454</v>
      </c>
      <c r="AE272" s="169">
        <f t="shared" si="157"/>
        <v>-84.523899360437184</v>
      </c>
      <c r="AF272" s="98" t="str">
        <f t="shared" si="143"/>
        <v>-0.0000119284294234592</v>
      </c>
      <c r="AG272" s="98" t="str">
        <f t="shared" si="144"/>
        <v>0.000392869081081587i</v>
      </c>
      <c r="AH272" s="98">
        <f t="shared" si="158"/>
        <v>3.9286908108158698E-4</v>
      </c>
      <c r="AI272" s="98">
        <f t="shared" si="159"/>
        <v>1.5707963267948966</v>
      </c>
      <c r="AJ272" s="98" t="str">
        <f t="shared" si="145"/>
        <v>1+0.0215287882087394i</v>
      </c>
      <c r="AK272" s="98">
        <f t="shared" si="160"/>
        <v>1.0002317175143651</v>
      </c>
      <c r="AL272" s="98">
        <f t="shared" si="161"/>
        <v>2.1525463016561403E-2</v>
      </c>
      <c r="AM272" s="98" t="str">
        <f t="shared" si="146"/>
        <v>1+11.7645041747938i</v>
      </c>
      <c r="AN272" s="98">
        <f t="shared" si="162"/>
        <v>11.806928409994731</v>
      </c>
      <c r="AO272" s="98">
        <f t="shared" si="163"/>
        <v>1.4859987053636818</v>
      </c>
      <c r="AP272" s="168" t="str">
        <f t="shared" si="164"/>
        <v>-0.356379177287519+0.0380347640684403i</v>
      </c>
      <c r="AQ272" s="98">
        <f t="shared" si="165"/>
        <v>-8.9125655549580571</v>
      </c>
      <c r="AR272" s="169">
        <f t="shared" si="166"/>
        <v>173.90813599632938</v>
      </c>
      <c r="AS272" s="168" t="str">
        <f t="shared" si="167"/>
        <v>0.0154215026646774+1.43489049453143i</v>
      </c>
      <c r="AT272" s="190">
        <f t="shared" si="168"/>
        <v>3.1368767924214165</v>
      </c>
      <c r="AU272" s="169">
        <f t="shared" si="169"/>
        <v>89.384236635892222</v>
      </c>
      <c r="AV272" s="225"/>
      <c r="AX272">
        <f t="shared" si="170"/>
        <v>0</v>
      </c>
      <c r="AY272">
        <f t="shared" si="171"/>
        <v>0</v>
      </c>
    </row>
    <row r="273" spans="14:51" x14ac:dyDescent="0.2">
      <c r="N273" s="170">
        <v>55</v>
      </c>
      <c r="O273" s="199">
        <f t="shared" si="172"/>
        <v>3548.1338923357539</v>
      </c>
      <c r="P273" s="189" t="str">
        <f t="shared" si="138"/>
        <v>771.276595744681</v>
      </c>
      <c r="Q273" s="160" t="str">
        <f t="shared" si="139"/>
        <v>1+197.075271423633i</v>
      </c>
      <c r="R273" s="160">
        <f t="shared" si="147"/>
        <v>197.07780850897097</v>
      </c>
      <c r="S273" s="160">
        <f t="shared" si="148"/>
        <v>1.5657221670061232</v>
      </c>
      <c r="T273" s="160" t="str">
        <f t="shared" si="140"/>
        <v>1+0.00370965216797426i</v>
      </c>
      <c r="U273" s="160">
        <f t="shared" si="149"/>
        <v>1.0000068807359315</v>
      </c>
      <c r="V273" s="160">
        <f t="shared" si="150"/>
        <v>3.7096351512982441E-3</v>
      </c>
      <c r="W273" s="98" t="str">
        <f t="shared" si="141"/>
        <v>1-0.0151596362633563i</v>
      </c>
      <c r="X273" s="160">
        <f t="shared" si="151"/>
        <v>1.000114900684735</v>
      </c>
      <c r="Y273" s="160">
        <f t="shared" si="152"/>
        <v>-1.5158475121689113E-2</v>
      </c>
      <c r="Z273" s="98" t="str">
        <f t="shared" si="142"/>
        <v>0.994964298352823-0.103795182389841i</v>
      </c>
      <c r="AA273" s="160">
        <f t="shared" si="153"/>
        <v>1.0003636313281614</v>
      </c>
      <c r="AB273" s="160">
        <f t="shared" si="154"/>
        <v>-0.1039445293458014</v>
      </c>
      <c r="AC273" s="171" t="str">
        <f t="shared" si="155"/>
        <v>0.381148103930171-3.89400869952626i</v>
      </c>
      <c r="AD273" s="190">
        <f t="shared" si="156"/>
        <v>11.849348408273968</v>
      </c>
      <c r="AE273" s="169">
        <f t="shared" si="157"/>
        <v>-84.409659435164215</v>
      </c>
      <c r="AF273" s="98" t="str">
        <f t="shared" si="143"/>
        <v>-0.0000119284294234592</v>
      </c>
      <c r="AG273" s="98" t="str">
        <f t="shared" si="144"/>
        <v>0.000402020177554566i</v>
      </c>
      <c r="AH273" s="98">
        <f t="shared" si="158"/>
        <v>4.02020177554566E-4</v>
      </c>
      <c r="AI273" s="98">
        <f t="shared" si="159"/>
        <v>1.5707963267948966</v>
      </c>
      <c r="AJ273" s="98" t="str">
        <f t="shared" si="145"/>
        <v>1+0.0220302581062994i</v>
      </c>
      <c r="AK273" s="98">
        <f t="shared" si="160"/>
        <v>1.0002426366998312</v>
      </c>
      <c r="AL273" s="98">
        <f t="shared" si="161"/>
        <v>2.2026695145365639E-2</v>
      </c>
      <c r="AM273" s="98" t="str">
        <f t="shared" si="146"/>
        <v>1+12.0385346797242i</v>
      </c>
      <c r="AN273" s="98">
        <f t="shared" si="162"/>
        <v>12.079996574292654</v>
      </c>
      <c r="AO273" s="98">
        <f t="shared" si="163"/>
        <v>1.4879200064887108</v>
      </c>
      <c r="AP273" s="168" t="str">
        <f t="shared" si="164"/>
        <v>-0.356371396477245+0.0375221745694394i</v>
      </c>
      <c r="AQ273" s="98">
        <f t="shared" si="165"/>
        <v>-8.9140627518180064</v>
      </c>
      <c r="AR273" s="169">
        <f t="shared" si="166"/>
        <v>173.98949995643042</v>
      </c>
      <c r="AS273" s="168" t="str">
        <f t="shared" si="167"/>
        <v>0.0102813921362909+1.40201482383719i</v>
      </c>
      <c r="AT273" s="190">
        <f t="shared" si="168"/>
        <v>2.9352856564559451</v>
      </c>
      <c r="AU273" s="169">
        <f t="shared" si="169"/>
        <v>89.579840521266206</v>
      </c>
      <c r="AV273" s="225"/>
      <c r="AX273">
        <f t="shared" si="170"/>
        <v>0</v>
      </c>
      <c r="AY273">
        <f t="shared" si="171"/>
        <v>0</v>
      </c>
    </row>
    <row r="274" spans="14:51" x14ac:dyDescent="0.2">
      <c r="N274" s="170">
        <v>56</v>
      </c>
      <c r="O274" s="199">
        <f t="shared" si="172"/>
        <v>3630.7805477010188</v>
      </c>
      <c r="P274" s="189" t="str">
        <f t="shared" si="138"/>
        <v>771.276595744681</v>
      </c>
      <c r="Q274" s="160" t="str">
        <f t="shared" si="139"/>
        <v>1+201.665744199632i</v>
      </c>
      <c r="R274" s="160">
        <f t="shared" si="147"/>
        <v>201.66822353457528</v>
      </c>
      <c r="S274" s="160">
        <f t="shared" si="148"/>
        <v>1.5658376670688572</v>
      </c>
      <c r="T274" s="160" t="str">
        <f t="shared" si="140"/>
        <v>1+0.00379606106728718i</v>
      </c>
      <c r="U274" s="160">
        <f t="shared" si="149"/>
        <v>1.0000072050138573</v>
      </c>
      <c r="V274" s="160">
        <f t="shared" si="150"/>
        <v>3.7960428335974137E-3</v>
      </c>
      <c r="W274" s="98" t="str">
        <f t="shared" si="141"/>
        <v>1-0.0155127495538178i</v>
      </c>
      <c r="X274" s="160">
        <f t="shared" si="151"/>
        <v>1.0001203154614546</v>
      </c>
      <c r="Y274" s="160">
        <f t="shared" si="152"/>
        <v>-1.5511505376189028E-2</v>
      </c>
      <c r="Z274" s="98" t="str">
        <f t="shared" si="142"/>
        <v>0.994726973045774-0.106212882772027i</v>
      </c>
      <c r="AA274" s="160">
        <f t="shared" si="153"/>
        <v>1.0003813909562453</v>
      </c>
      <c r="AB274" s="160">
        <f t="shared" si="154"/>
        <v>-0.10637288100923892</v>
      </c>
      <c r="AC274" s="171" t="str">
        <f t="shared" si="155"/>
        <v>0.380253639391703-3.80455660443209i</v>
      </c>
      <c r="AD274" s="190">
        <f t="shared" si="156"/>
        <v>11.649249083399404</v>
      </c>
      <c r="AE274" s="169">
        <f t="shared" si="157"/>
        <v>-84.292419147913847</v>
      </c>
      <c r="AF274" s="98" t="str">
        <f t="shared" si="143"/>
        <v>-0.0000119284294234592</v>
      </c>
      <c r="AG274" s="98" t="str">
        <f t="shared" si="144"/>
        <v>0.000411384430447053i</v>
      </c>
      <c r="AH274" s="98">
        <f t="shared" si="158"/>
        <v>4.1138443044705299E-4</v>
      </c>
      <c r="AI274" s="98">
        <f t="shared" si="159"/>
        <v>1.5707963267948966</v>
      </c>
      <c r="AJ274" s="98" t="str">
        <f t="shared" si="145"/>
        <v>1+0.0225434087383126i</v>
      </c>
      <c r="AK274" s="98">
        <f t="shared" si="160"/>
        <v>1.0002540703628966</v>
      </c>
      <c r="AL274" s="98">
        <f t="shared" si="161"/>
        <v>2.2539591009260833E-2</v>
      </c>
      <c r="AM274" s="98" t="str">
        <f t="shared" si="146"/>
        <v>1+12.3189481750906i</v>
      </c>
      <c r="AN274" s="98">
        <f t="shared" si="162"/>
        <v>12.359469411773633</v>
      </c>
      <c r="AO274" s="98">
        <f t="shared" si="163"/>
        <v>1.4897981662343009</v>
      </c>
      <c r="AP274" s="168" t="str">
        <f t="shared" si="164"/>
        <v>-0.356363249332821+0.0370294636710694i</v>
      </c>
      <c r="AQ274" s="98">
        <f t="shared" si="165"/>
        <v>-8.915501720724059</v>
      </c>
      <c r="AR274" s="169">
        <f t="shared" si="166"/>
        <v>174.06772381477319</v>
      </c>
      <c r="AS274" s="168" t="str">
        <f t="shared" si="167"/>
        <v>0.00537226806408719+1.36988474215171i</v>
      </c>
      <c r="AT274" s="190">
        <f t="shared" si="168"/>
        <v>2.7337473626753406</v>
      </c>
      <c r="AU274" s="169">
        <f t="shared" si="169"/>
        <v>89.77530466685937</v>
      </c>
      <c r="AV274" s="225"/>
      <c r="AX274">
        <f t="shared" si="170"/>
        <v>0</v>
      </c>
      <c r="AY274">
        <f t="shared" si="171"/>
        <v>0</v>
      </c>
    </row>
    <row r="275" spans="14:51" x14ac:dyDescent="0.2">
      <c r="N275" s="170">
        <v>57</v>
      </c>
      <c r="O275" s="199">
        <f t="shared" si="172"/>
        <v>3715.352290971724</v>
      </c>
      <c r="P275" s="189" t="str">
        <f t="shared" ref="P275:P338" si="173">COMPLEX(Adc,0)</f>
        <v>771.276595744681</v>
      </c>
      <c r="Q275" s="160" t="str">
        <f t="shared" ref="Q275:Q338" si="174">IMSUM(COMPLEX(1,0),IMDIV(COMPLEX(0,2*PI()*O275),COMPLEX(wp_lf,0)))</f>
        <v>1+206.363142822566i</v>
      </c>
      <c r="R275" s="160">
        <f t="shared" si="147"/>
        <v>206.3655657216261</v>
      </c>
      <c r="S275" s="160">
        <f t="shared" si="148"/>
        <v>1.5659505381570242</v>
      </c>
      <c r="T275" s="160" t="str">
        <f t="shared" ref="T275:T338" si="175">IMSUM(COMPLEX(1,0),IMDIV(COMPLEX(0,2*PI()*O275),COMPLEX(wz_esr,0)))</f>
        <v>1+0.00388448268842477i</v>
      </c>
      <c r="U275" s="160">
        <f t="shared" si="149"/>
        <v>1.0000075445744181</v>
      </c>
      <c r="V275" s="160">
        <f t="shared" si="150"/>
        <v>3.8844631506821407E-3</v>
      </c>
      <c r="W275" s="98" t="str">
        <f t="shared" ref="W275:W338" si="176">IMSUB(COMPLEX(1,0),IMDIV(COMPLEX(0,2*PI()*O275),COMPLEX(wz_rhp,0)))</f>
        <v>1-0.0158740879094281i</v>
      </c>
      <c r="X275" s="160">
        <f t="shared" si="151"/>
        <v>1.0001259853973181</v>
      </c>
      <c r="Y275" s="160">
        <f t="shared" si="152"/>
        <v>-1.5872754758149681E-2</v>
      </c>
      <c r="Z275" s="98" t="str">
        <f t="shared" ref="Z275:Z338" si="177">IF(Dc_Mode_Loop="CCM",IMSUM(COMPLEX(1,0),IMDIV(COMPLEX(0,2*PI()*O275),COMPLEX(Q*(wsl/2),0)),IMDIV(IMPOWER(COMPLEX(0,2*PI()*O275),2),IMPOWER(COMPLEX(wsl/2,0),2))),COMPLEX(1,0))</f>
        <v>0.994478462941588-0.108686898630553i</v>
      </c>
      <c r="AA275" s="160">
        <f t="shared" si="153"/>
        <v>1.0004000475752646</v>
      </c>
      <c r="AB275" s="160">
        <f t="shared" si="154"/>
        <v>-0.10885830626463176</v>
      </c>
      <c r="AC275" s="171" t="str">
        <f t="shared" si="155"/>
        <v>0.379399281036274-3.71712094414495i</v>
      </c>
      <c r="AD275" s="190">
        <f t="shared" si="156"/>
        <v>11.449144095203005</v>
      </c>
      <c r="AE275" s="169">
        <f t="shared" si="157"/>
        <v>-84.172113761411538</v>
      </c>
      <c r="AF275" s="98" t="str">
        <f t="shared" ref="AF275:AF338" si="178">COMPLEX(Adc_ea,0)</f>
        <v>-0.0000119284294234592</v>
      </c>
      <c r="AG275" s="98" t="str">
        <f t="shared" ref="AG275:AG338" si="179">COMPLEX(0,2*PI()*O275*wp0_ea)</f>
        <v>0.000420966804809878i</v>
      </c>
      <c r="AH275" s="98">
        <f t="shared" si="158"/>
        <v>4.2096680480987802E-4</v>
      </c>
      <c r="AI275" s="98">
        <f t="shared" si="159"/>
        <v>1.5707963267948966</v>
      </c>
      <c r="AJ275" s="98" t="str">
        <f t="shared" ref="AJ275:AJ338" si="180">IMSUM(COMPLEX(1,0),IMDIV(COMPLEX(0,2*PI()*O275),COMPLEX(wp1_ea,0)))</f>
        <v>1+0.0230685121840359i</v>
      </c>
      <c r="AK275" s="98">
        <f t="shared" si="160"/>
        <v>1.0002660427378234</v>
      </c>
      <c r="AL275" s="98">
        <f t="shared" si="161"/>
        <v>2.3064421472415785E-2</v>
      </c>
      <c r="AM275" s="98" t="str">
        <f t="shared" ref="AM275:AM338" si="181">IMSUM(COMPLEX(1,0),IMDIV(COMPLEX(0,2*PI()*O275),COMPLEX(wz_ea,0)))</f>
        <v>1+12.60589333984i</v>
      </c>
      <c r="AN275" s="98">
        <f t="shared" si="162"/>
        <v>12.64549512258901</v>
      </c>
      <c r="AO275" s="98">
        <f t="shared" si="163"/>
        <v>1.4916341273946681</v>
      </c>
      <c r="AP275" s="168" t="str">
        <f t="shared" si="164"/>
        <v>-0.356354718624559+0.0365563689774278i</v>
      </c>
      <c r="AQ275" s="98">
        <f t="shared" si="165"/>
        <v>-8.9168854567106273</v>
      </c>
      <c r="AR275" s="169">
        <f t="shared" si="166"/>
        <v>174.14284607011348</v>
      </c>
      <c r="AS275" s="168" t="str">
        <f t="shared" si="167"/>
        <v>0.000683720727846171+1.33848304825156i</v>
      </c>
      <c r="AT275" s="190">
        <f t="shared" si="168"/>
        <v>2.5322586384923667</v>
      </c>
      <c r="AU275" s="169">
        <f t="shared" si="169"/>
        <v>89.970732308701955</v>
      </c>
      <c r="AV275" s="225"/>
      <c r="AX275">
        <f t="shared" si="170"/>
        <v>0</v>
      </c>
      <c r="AY275">
        <f t="shared" si="171"/>
        <v>0</v>
      </c>
    </row>
    <row r="276" spans="14:51" x14ac:dyDescent="0.2">
      <c r="N276" s="170">
        <v>58</v>
      </c>
      <c r="O276" s="199">
        <f t="shared" si="172"/>
        <v>3801.8939632056172</v>
      </c>
      <c r="P276" s="189" t="str">
        <f t="shared" si="173"/>
        <v>771.276595744681</v>
      </c>
      <c r="Q276" s="160" t="str">
        <f t="shared" si="174"/>
        <v>1+211.169957915364i</v>
      </c>
      <c r="R276" s="160">
        <f t="shared" ref="R276:R339" si="182">IMABS(Q276)</f>
        <v>211.17232566313368</v>
      </c>
      <c r="S276" s="160">
        <f t="shared" ref="S276:S339" si="183">IMARGUMENT(Q276)</f>
        <v>1.5660608401048586</v>
      </c>
      <c r="T276" s="160" t="str">
        <f t="shared" si="175"/>
        <v>1+0.00397496391370097i</v>
      </c>
      <c r="U276" s="160">
        <f t="shared" ref="U276:U339" si="184">IMABS(T276)</f>
        <v>1.0000079001378515</v>
      </c>
      <c r="V276" s="160">
        <f t="shared" ref="V276:V339" si="185">IMARGUMENT(T276)</f>
        <v>3.9749429786414938E-3</v>
      </c>
      <c r="W276" s="98" t="str">
        <f t="shared" si="176"/>
        <v>1-0.0162438429165664i</v>
      </c>
      <c r="X276" s="160">
        <f t="shared" ref="X276:X339" si="186">IMABS(W276)</f>
        <v>1.0001319225145742</v>
      </c>
      <c r="Y276" s="160">
        <f t="shared" ref="Y276:Y339" si="187">IMARGUMENT(W276)</f>
        <v>-1.6242414429411264E-2</v>
      </c>
      <c r="Z276" s="98" t="str">
        <f t="shared" si="177"/>
        <v>0.994218240917016-0.111218541721373i</v>
      </c>
      <c r="AA276" s="160">
        <f t="shared" ref="AA276:AA339" si="188">IMABS(Z276)</f>
        <v>1.0004196492446331</v>
      </c>
      <c r="AB276" s="160">
        <f t="shared" ref="AB276:AB339" si="189">IMARGUMENT(Z276)</f>
        <v>-0.1114021706404216</v>
      </c>
      <c r="AC276" s="171" t="str">
        <f t="shared" ref="AC276:AC339" si="190">(IMDIV(IMPRODUCT(P276,T276,W276),IMPRODUCT(Q276,Z276)))</f>
        <v>0.37858321076777-3.63165535803096i</v>
      </c>
      <c r="AD276" s="190">
        <f t="shared" ref="AD276:AD339" si="191">20*LOG(IMABS(AC276))</f>
        <v>11.249033147678409</v>
      </c>
      <c r="AE276" s="169">
        <f t="shared" ref="AE276:AE339" si="192">(180/PI())*IMARGUMENT(AC276)</f>
        <v>-84.048676731854414</v>
      </c>
      <c r="AF276" s="98" t="str">
        <f t="shared" si="178"/>
        <v>-0.0000119284294234592</v>
      </c>
      <c r="AG276" s="98" t="str">
        <f t="shared" si="179"/>
        <v>0.000430772381344769i</v>
      </c>
      <c r="AH276" s="98">
        <f t="shared" ref="AH276:AH339" si="193">IMABS(AG276)</f>
        <v>4.3077238134476902E-4</v>
      </c>
      <c r="AI276" s="98">
        <f t="shared" ref="AI276:AI339" si="194">IMARGUMENT(AG276)</f>
        <v>1.5707963267948966</v>
      </c>
      <c r="AJ276" s="98" t="str">
        <f t="shared" si="180"/>
        <v>1+0.0236058468602672i</v>
      </c>
      <c r="AK276" s="98">
        <f t="shared" ref="AK276:AK339" si="195">IMABS(AJ276)</f>
        <v>1.0002785791998099</v>
      </c>
      <c r="AL276" s="98">
        <f t="shared" ref="AL276:AL339" si="196">IMARGUMENT(AJ276)</f>
        <v>2.360146364972273E-2</v>
      </c>
      <c r="AM276" s="98" t="str">
        <f t="shared" si="181"/>
        <v>1+12.8995223160969i</v>
      </c>
      <c r="AN276" s="98">
        <f t="shared" ref="AN276:AN339" si="197">IMABS(AM276)</f>
        <v>12.938225379992495</v>
      </c>
      <c r="AO276" s="98">
        <f t="shared" ref="AO276:AO339" si="198">IMARGUMENT(AM276)</f>
        <v>1.4934288138845351</v>
      </c>
      <c r="AP276" s="168" t="str">
        <f t="shared" ref="AP276:AP339" si="199">IMPRODUCT(AF276,IMDIV(AM276,IMPRODUCT(AG276,AJ276)))</f>
        <v>-0.356345786314138+0.0361026384109899i</v>
      </c>
      <c r="AQ276" s="98">
        <f t="shared" ref="AQ276:AQ339" si="200">20*LOG(IMABS(AP276))</f>
        <v>-8.91821684259018</v>
      </c>
      <c r="AR276" s="169">
        <f t="shared" ref="AR276:AR339" si="201">(180/PI())*IMARGUMENT(AP276)</f>
        <v>174.21490378135186</v>
      </c>
      <c r="AS276" s="168" t="str">
        <f t="shared" ref="AS276:AS339" si="202">IMPRODUCT(AC276,AP276)</f>
        <v>-0.00379419170204623+1.30779293694632i</v>
      </c>
      <c r="AT276" s="190">
        <f t="shared" ref="AT276:AT339" si="203">20*LOG(IMABS(AS276))</f>
        <v>2.3308163050882631</v>
      </c>
      <c r="AU276" s="169">
        <f t="shared" ref="AU276:AU339" si="204">(180/PI())*IMARGUMENT(AS276)</f>
        <v>90.166227049497436</v>
      </c>
      <c r="AV276" s="225"/>
      <c r="AX276">
        <f t="shared" ref="AX276:AX339" si="205">SUM((AT277&lt;0)*(AT276&gt;0))*O276</f>
        <v>0</v>
      </c>
      <c r="AY276">
        <f t="shared" ref="AY276:AY339" si="206">IF(AX276&gt;0,AU276,0)</f>
        <v>0</v>
      </c>
    </row>
    <row r="277" spans="14:51" x14ac:dyDescent="0.2">
      <c r="N277" s="170">
        <v>59</v>
      </c>
      <c r="O277" s="199">
        <f t="shared" si="172"/>
        <v>3890.451449942811</v>
      </c>
      <c r="P277" s="189" t="str">
        <f t="shared" si="173"/>
        <v>771.276595744681</v>
      </c>
      <c r="Q277" s="160" t="str">
        <f t="shared" si="174"/>
        <v>1+216.088738115014i</v>
      </c>
      <c r="R277" s="160">
        <f t="shared" si="182"/>
        <v>216.09105196684823</v>
      </c>
      <c r="S277" s="160">
        <f t="shared" si="183"/>
        <v>1.5661686313851713</v>
      </c>
      <c r="T277" s="160" t="str">
        <f t="shared" si="175"/>
        <v>1+0.00406755271745908i</v>
      </c>
      <c r="U277" s="160">
        <f t="shared" si="184"/>
        <v>1.0000082724583379</v>
      </c>
      <c r="V277" s="160">
        <f t="shared" si="185"/>
        <v>4.0675302851487178E-3</v>
      </c>
      <c r="W277" s="98" t="str">
        <f t="shared" si="176"/>
        <v>1-0.0166222106242318i</v>
      </c>
      <c r="X277" s="160">
        <f t="shared" si="186"/>
        <v>1.000138139401771</v>
      </c>
      <c r="Y277" s="160">
        <f t="shared" si="187"/>
        <v>-1.6620679984085795E-2</v>
      </c>
      <c r="Z277" s="98" t="str">
        <f t="shared" si="177"/>
        <v>0.993945755006255-0.113809154355166i</v>
      </c>
      <c r="AA277" s="160">
        <f t="shared" si="188"/>
        <v>1.0004402468463534</v>
      </c>
      <c r="AB277" s="160">
        <f t="shared" si="189"/>
        <v>-0.11400587401073846</v>
      </c>
      <c r="AC277" s="171" t="str">
        <f t="shared" si="190"/>
        <v>0.37780369108924-3.54811452630316i</v>
      </c>
      <c r="AD277" s="190">
        <f t="shared" si="191"/>
        <v>11.048915925118635</v>
      </c>
      <c r="AE277" s="169">
        <f t="shared" si="192"/>
        <v>-83.922039660980175</v>
      </c>
      <c r="AF277" s="98" t="str">
        <f t="shared" si="178"/>
        <v>-0.0000119284294234592</v>
      </c>
      <c r="AG277" s="98" t="str">
        <f t="shared" si="179"/>
        <v>0.000440806359098194i</v>
      </c>
      <c r="AH277" s="98">
        <f t="shared" si="193"/>
        <v>4.4080635909819402E-4</v>
      </c>
      <c r="AI277" s="98">
        <f t="shared" si="194"/>
        <v>1.5707963267948966</v>
      </c>
      <c r="AJ277" s="98" t="str">
        <f t="shared" si="180"/>
        <v>1+0.0241556976689641i</v>
      </c>
      <c r="AK277" s="98">
        <f t="shared" si="195"/>
        <v>1.0002917063186489</v>
      </c>
      <c r="AL277" s="98">
        <f t="shared" si="196"/>
        <v>2.4151001048217217E-2</v>
      </c>
      <c r="AM277" s="98" t="str">
        <f t="shared" si="181"/>
        <v>1+13.1999907898312i</v>
      </c>
      <c r="AN277" s="98">
        <f t="shared" si="197"/>
        <v>13.237815410845872</v>
      </c>
      <c r="AO277" s="98">
        <f t="shared" si="198"/>
        <v>1.495183131000573</v>
      </c>
      <c r="AP277" s="168" t="str">
        <f t="shared" si="199"/>
        <v>-0.356336433516828+0.0356680300730802i</v>
      </c>
      <c r="AQ277" s="98">
        <f t="shared" si="200"/>
        <v>-8.9194986546334878</v>
      </c>
      <c r="AR277" s="169">
        <f t="shared" si="201"/>
        <v>174.28393257441004</v>
      </c>
      <c r="AS277" s="168" t="str">
        <f t="shared" si="202"/>
        <v>-0.00807096422531936+1.27779798942761i</v>
      </c>
      <c r="AT277" s="190">
        <f t="shared" si="203"/>
        <v>2.1294172704851504</v>
      </c>
      <c r="AU277" s="169">
        <f t="shared" si="204"/>
        <v>90.36189291342987</v>
      </c>
      <c r="AV277" s="225"/>
      <c r="AX277">
        <f t="shared" si="205"/>
        <v>0</v>
      </c>
      <c r="AY277">
        <f t="shared" si="206"/>
        <v>0</v>
      </c>
    </row>
    <row r="278" spans="14:51" x14ac:dyDescent="0.2">
      <c r="N278" s="170">
        <v>60</v>
      </c>
      <c r="O278" s="199">
        <f t="shared" si="172"/>
        <v>3981.0717055349769</v>
      </c>
      <c r="P278" s="189" t="str">
        <f t="shared" si="173"/>
        <v>771.276595744681</v>
      </c>
      <c r="Q278" s="160" t="str">
        <f t="shared" si="174"/>
        <v>1+221.122091423885i</v>
      </c>
      <c r="R278" s="160">
        <f t="shared" si="182"/>
        <v>221.12435260656605</v>
      </c>
      <c r="S278" s="160">
        <f t="shared" si="183"/>
        <v>1.5662739691403005</v>
      </c>
      <c r="T278" s="160" t="str">
        <f t="shared" si="175"/>
        <v>1+0.00416229819150841i</v>
      </c>
      <c r="U278" s="160">
        <f t="shared" si="184"/>
        <v>1.0000086623255995</v>
      </c>
      <c r="V278" s="160">
        <f t="shared" si="185"/>
        <v>4.1622741548660407E-3</v>
      </c>
      <c r="W278" s="98" t="str">
        <f t="shared" si="176"/>
        <v>1-0.0170093916479911i</v>
      </c>
      <c r="X278" s="160">
        <f t="shared" si="186"/>
        <v>1.000144649240416</v>
      </c>
      <c r="Y278" s="160">
        <f t="shared" si="187"/>
        <v>-1.7007751550336271E-2</v>
      </c>
      <c r="Z278" s="98" t="str">
        <f t="shared" si="177"/>
        <v>0.993660427230156-0.11646011010904i</v>
      </c>
      <c r="AA278" s="160">
        <f t="shared" si="188"/>
        <v>1.0004618942717538</v>
      </c>
      <c r="AB278" s="160">
        <f t="shared" si="189"/>
        <v>-0.11667085157150713</v>
      </c>
      <c r="AC278" s="171" t="str">
        <f t="shared" si="190"/>
        <v>0.377059061362494-3.46645414597797i</v>
      </c>
      <c r="AD278" s="190">
        <f t="shared" si="191"/>
        <v>10.848792090766867</v>
      </c>
      <c r="AE278" s="169">
        <f t="shared" si="192"/>
        <v>-83.792132246289484</v>
      </c>
      <c r="AF278" s="98" t="str">
        <f t="shared" si="178"/>
        <v>-0.0000119284294234592</v>
      </c>
      <c r="AG278" s="98" t="str">
        <f t="shared" si="179"/>
        <v>0.000451074058217976i</v>
      </c>
      <c r="AH278" s="98">
        <f t="shared" si="193"/>
        <v>4.51074058217976E-4</v>
      </c>
      <c r="AI278" s="98">
        <f t="shared" si="194"/>
        <v>1.5707963267948966</v>
      </c>
      <c r="AJ278" s="98" t="str">
        <f t="shared" si="180"/>
        <v>1+0.0247183561483034i</v>
      </c>
      <c r="AK278" s="98">
        <f t="shared" si="195"/>
        <v>1.0003054519149011</v>
      </c>
      <c r="AL278" s="98">
        <f t="shared" si="196"/>
        <v>2.4713323711496753E-2</v>
      </c>
      <c r="AM278" s="98" t="str">
        <f t="shared" si="181"/>
        <v>1+13.5074580734047i</v>
      </c>
      <c r="AN278" s="98">
        <f t="shared" si="197"/>
        <v>13.544424078002942</v>
      </c>
      <c r="AO278" s="98">
        <f t="shared" si="198"/>
        <v>1.4968979656876964</v>
      </c>
      <c r="AP278" s="168" t="str">
        <f t="shared" si="199"/>
        <v>-0.356326640461949+0.03525231210932i</v>
      </c>
      <c r="AQ278" s="98">
        <f t="shared" si="200"/>
        <v>-8.9207335680612658</v>
      </c>
      <c r="AR278" s="169">
        <f t="shared" si="201"/>
        <v>174.34996664921437</v>
      </c>
      <c r="AS278" s="168" t="str">
        <f t="shared" si="202"/>
        <v>-0.0121556651243717+1.24848216386652i</v>
      </c>
      <c r="AT278" s="190">
        <f t="shared" si="203"/>
        <v>1.9280585227055846</v>
      </c>
      <c r="AU278" s="169">
        <f t="shared" si="204"/>
        <v>90.557834402924897</v>
      </c>
      <c r="AV278" s="225"/>
      <c r="AX278">
        <f t="shared" si="205"/>
        <v>0</v>
      </c>
      <c r="AY278">
        <f t="shared" si="206"/>
        <v>0</v>
      </c>
    </row>
    <row r="279" spans="14:51" x14ac:dyDescent="0.2">
      <c r="N279" s="170">
        <v>61</v>
      </c>
      <c r="O279" s="199">
        <f t="shared" si="172"/>
        <v>4073.8027780411317</v>
      </c>
      <c r="P279" s="189" t="str">
        <f t="shared" si="173"/>
        <v>771.276595744681</v>
      </c>
      <c r="Q279" s="160" t="str">
        <f t="shared" si="174"/>
        <v>1+226.272686592526i</v>
      </c>
      <c r="R279" s="160">
        <f t="shared" si="182"/>
        <v>226.2748963049138</v>
      </c>
      <c r="S279" s="160">
        <f t="shared" si="183"/>
        <v>1.5663769092123623</v>
      </c>
      <c r="T279" s="160" t="str">
        <f t="shared" si="175"/>
        <v>1+0.00425925057115341i</v>
      </c>
      <c r="U279" s="160">
        <f t="shared" si="184"/>
        <v>1.0000090705665763</v>
      </c>
      <c r="V279" s="160">
        <f t="shared" si="185"/>
        <v>4.2592248154396956E-3</v>
      </c>
      <c r="W279" s="98" t="str">
        <f t="shared" si="176"/>
        <v>1-0.017405591276348i</v>
      </c>
      <c r="X279" s="160">
        <f t="shared" si="186"/>
        <v>1.0001514658328905</v>
      </c>
      <c r="Y279" s="160">
        <f t="shared" si="187"/>
        <v>-1.7403833894422262E-2</v>
      </c>
      <c r="Z279" s="98" t="str">
        <f t="shared" si="177"/>
        <v>0.99336165237025-0.119172814554825i</v>
      </c>
      <c r="AA279" s="160">
        <f t="shared" si="188"/>
        <v>1.0004846486221926</v>
      </c>
      <c r="AB279" s="160">
        <f t="shared" si="189"/>
        <v>-0.11939857485122575</v>
      </c>
      <c r="AC279" s="171" t="str">
        <f t="shared" si="190"/>
        <v>0.376347734225124-3.38663090735418i</v>
      </c>
      <c r="AD279" s="190">
        <f t="shared" si="191"/>
        <v>10.648661285357699</v>
      </c>
      <c r="AE279" s="169">
        <f t="shared" si="192"/>
        <v>-83.658882229337848</v>
      </c>
      <c r="AF279" s="98" t="str">
        <f t="shared" si="178"/>
        <v>-0.0000119284294234592</v>
      </c>
      <c r="AG279" s="98" t="str">
        <f t="shared" si="179"/>
        <v>0.000461580922774096i</v>
      </c>
      <c r="AH279" s="98">
        <f t="shared" si="193"/>
        <v>4.6158092277409602E-4</v>
      </c>
      <c r="AI279" s="98">
        <f t="shared" si="194"/>
        <v>1.5707963267948966</v>
      </c>
      <c r="AJ279" s="98" t="str">
        <f t="shared" si="180"/>
        <v>1+0.0252941206272588i</v>
      </c>
      <c r="AK279" s="98">
        <f t="shared" si="195"/>
        <v>1.0003198451187032</v>
      </c>
      <c r="AL279" s="98">
        <f t="shared" si="196"/>
        <v>2.528872836718404E-2</v>
      </c>
      <c r="AM279" s="98" t="str">
        <f t="shared" si="181"/>
        <v>1+13.8220871900411i</v>
      </c>
      <c r="AN279" s="98">
        <f t="shared" si="197"/>
        <v>13.858213964616736</v>
      </c>
      <c r="AO279" s="98">
        <f t="shared" si="198"/>
        <v>1.4985741868094338</v>
      </c>
      <c r="AP279" s="168" t="str">
        <f t="shared" si="199"/>
        <v>-0.356316386451526+0.0348552625799561i</v>
      </c>
      <c r="AQ279" s="98">
        <f t="shared" si="200"/>
        <v>-8.9219241623546495</v>
      </c>
      <c r="AR279" s="169">
        <f t="shared" si="201"/>
        <v>174.41303878673756</v>
      </c>
      <c r="AS279" s="168" t="str">
        <f t="shared" si="202"/>
        <v>-0.0160569551710906+1.21982978625128i</v>
      </c>
      <c r="AT279" s="190">
        <f t="shared" si="203"/>
        <v>1.7267371230030313</v>
      </c>
      <c r="AU279" s="169">
        <f t="shared" si="204"/>
        <v>90.75415655739971</v>
      </c>
      <c r="AV279" s="225"/>
      <c r="AX279">
        <f t="shared" si="205"/>
        <v>0</v>
      </c>
      <c r="AY279">
        <f t="shared" si="206"/>
        <v>0</v>
      </c>
    </row>
    <row r="280" spans="14:51" x14ac:dyDescent="0.2">
      <c r="N280" s="170">
        <v>62</v>
      </c>
      <c r="O280" s="199">
        <f t="shared" si="172"/>
        <v>4168.6938347033583</v>
      </c>
      <c r="P280" s="189" t="str">
        <f t="shared" si="173"/>
        <v>771.276595744681</v>
      </c>
      <c r="Q280" s="160" t="str">
        <f t="shared" si="174"/>
        <v>1+231.543254534671i</v>
      </c>
      <c r="R280" s="160">
        <f t="shared" si="182"/>
        <v>231.54541394833853</v>
      </c>
      <c r="S280" s="160">
        <f t="shared" si="183"/>
        <v>1.5664775061728142</v>
      </c>
      <c r="T280" s="160" t="str">
        <f t="shared" si="175"/>
        <v>1+0.0043584612618291i</v>
      </c>
      <c r="U280" s="160">
        <f t="shared" si="184"/>
        <v>1.000009498047179</v>
      </c>
      <c r="V280" s="160">
        <f t="shared" si="185"/>
        <v>4.3584336640987925E-3</v>
      </c>
      <c r="W280" s="98" t="str">
        <f t="shared" si="176"/>
        <v>1-0.01781101957959i</v>
      </c>
      <c r="X280" s="160">
        <f t="shared" si="186"/>
        <v>1.0001586036316763</v>
      </c>
      <c r="Y280" s="160">
        <f t="shared" si="187"/>
        <v>-1.7809136527057342E-2</v>
      </c>
      <c r="Z280" s="98" t="str">
        <f t="shared" si="177"/>
        <v>0.993048796685002-0.121948706004327i</v>
      </c>
      <c r="AA280" s="160">
        <f t="shared" si="188"/>
        <v>1.0005085704248915</v>
      </c>
      <c r="AB280" s="160">
        <f t="shared" si="189"/>
        <v>-0.12219055275797923</v>
      </c>
      <c r="AC280" s="171" t="str">
        <f t="shared" si="190"/>
        <v>0.3756681921568-3.30860247100194i</v>
      </c>
      <c r="AD280" s="190">
        <f t="shared" si="191"/>
        <v>10.448523125539289</v>
      </c>
      <c r="AE280" s="169">
        <f t="shared" si="192"/>
        <v>-83.522215342009844</v>
      </c>
      <c r="AF280" s="98" t="str">
        <f t="shared" si="178"/>
        <v>-0.0000119284294234592</v>
      </c>
      <c r="AG280" s="98" t="str">
        <f t="shared" si="179"/>
        <v>0.000472332523645216i</v>
      </c>
      <c r="AH280" s="98">
        <f t="shared" si="193"/>
        <v>4.72332523645216E-4</v>
      </c>
      <c r="AI280" s="98">
        <f t="shared" si="194"/>
        <v>1.5707963267948966</v>
      </c>
      <c r="AJ280" s="98" t="str">
        <f t="shared" si="180"/>
        <v>1+0.025883296383778i</v>
      </c>
      <c r="AK280" s="98">
        <f t="shared" si="195"/>
        <v>1.0003349164313373</v>
      </c>
      <c r="AL280" s="98">
        <f t="shared" si="196"/>
        <v>2.5877518577482449E-2</v>
      </c>
      <c r="AM280" s="98" t="str">
        <f t="shared" si="181"/>
        <v>1+14.1440449602627i</v>
      </c>
      <c r="AN280" s="98">
        <f t="shared" si="197"/>
        <v>14.17935146041358</v>
      </c>
      <c r="AO280" s="98">
        <f t="shared" si="198"/>
        <v>1.5002126454216362</v>
      </c>
      <c r="AP280" s="168" t="str">
        <f t="shared" si="199"/>
        <v>-0.356305649816998+0.0344766693349641i</v>
      </c>
      <c r="AQ280" s="98">
        <f t="shared" si="200"/>
        <v>-8.9230729263942514</v>
      </c>
      <c r="AR280" s="169">
        <f t="shared" si="201"/>
        <v>174.47318035605488</v>
      </c>
      <c r="AS280" s="168" t="str">
        <f t="shared" si="202"/>
        <v>-0.0197831059684265+1.19182554145713i</v>
      </c>
      <c r="AT280" s="190">
        <f t="shared" si="203"/>
        <v>1.5254501991450689</v>
      </c>
      <c r="AU280" s="169">
        <f t="shared" si="204"/>
        <v>90.950965014045053</v>
      </c>
      <c r="AV280" s="225"/>
      <c r="AX280">
        <f t="shared" si="205"/>
        <v>0</v>
      </c>
      <c r="AY280">
        <f t="shared" si="206"/>
        <v>0</v>
      </c>
    </row>
    <row r="281" spans="14:51" x14ac:dyDescent="0.2">
      <c r="N281" s="170">
        <v>63</v>
      </c>
      <c r="O281" s="199">
        <f t="shared" si="172"/>
        <v>4265.7951880159299</v>
      </c>
      <c r="P281" s="189" t="str">
        <f t="shared" si="173"/>
        <v>771.276595744681</v>
      </c>
      <c r="Q281" s="160" t="str">
        <f t="shared" si="174"/>
        <v>1+236.936589775208i</v>
      </c>
      <c r="R281" s="160">
        <f t="shared" si="182"/>
        <v>236.93870003506225</v>
      </c>
      <c r="S281" s="160">
        <f t="shared" si="183"/>
        <v>1.5665758133513472</v>
      </c>
      <c r="T281" s="160" t="str">
        <f t="shared" si="175"/>
        <v>1+0.00445998286635685i</v>
      </c>
      <c r="U281" s="160">
        <f t="shared" si="184"/>
        <v>1.0000099456741258</v>
      </c>
      <c r="V281" s="160">
        <f t="shared" si="185"/>
        <v>4.459953294871929E-3</v>
      </c>
      <c r="W281" s="98" t="str">
        <f t="shared" si="176"/>
        <v>1-0.0182258915211698i</v>
      </c>
      <c r="X281" s="160">
        <f t="shared" si="186"/>
        <v>1.0001660777699579</v>
      </c>
      <c r="Y281" s="160">
        <f t="shared" si="187"/>
        <v>-1.8223873812123193E-2</v>
      </c>
      <c r="Z281" s="98" t="str">
        <f t="shared" si="177"/>
        <v>0.99272119656556-0.124789256271934i</v>
      </c>
      <c r="AA281" s="160">
        <f t="shared" si="188"/>
        <v>1.0005337238651477</v>
      </c>
      <c r="AB281" s="160">
        <f t="shared" si="189"/>
        <v>-0.12504833266434282</v>
      </c>
      <c r="AC281" s="171" t="str">
        <f t="shared" si="190"/>
        <v>0.375018984186958-3.23232744524915i</v>
      </c>
      <c r="AD281" s="190">
        <f t="shared" si="191"/>
        <v>10.248377202165553</v>
      </c>
      <c r="AE281" s="169">
        <f t="shared" si="192"/>
        <v>-83.382055250683663</v>
      </c>
      <c r="AF281" s="98" t="str">
        <f t="shared" si="178"/>
        <v>-0.0000119284294234592</v>
      </c>
      <c r="AG281" s="98" t="str">
        <f t="shared" si="179"/>
        <v>0.000483334561472433i</v>
      </c>
      <c r="AH281" s="98">
        <f t="shared" si="193"/>
        <v>4.8333456147243298E-4</v>
      </c>
      <c r="AI281" s="98">
        <f t="shared" si="194"/>
        <v>1.5707963267948966</v>
      </c>
      <c r="AJ281" s="98" t="str">
        <f t="shared" si="180"/>
        <v>1+0.0264861958066458i</v>
      </c>
      <c r="AK281" s="98">
        <f t="shared" si="195"/>
        <v>1.0003506977896841</v>
      </c>
      <c r="AL281" s="98">
        <f t="shared" si="196"/>
        <v>2.6480004892874134E-2</v>
      </c>
      <c r="AM281" s="98" t="str">
        <f t="shared" si="181"/>
        <v>1+14.4735020903407i</v>
      </c>
      <c r="AN281" s="98">
        <f t="shared" si="197"/>
        <v>14.508006849981033</v>
      </c>
      <c r="AO281" s="98">
        <f t="shared" si="198"/>
        <v>1.5018141750488556</v>
      </c>
      <c r="AP281" s="168" t="str">
        <f t="shared" si="199"/>
        <v>-0.356294407873947+0.0341163298938299i</v>
      </c>
      <c r="AQ281" s="98">
        <f t="shared" si="200"/>
        <v>-8.9241822634347425</v>
      </c>
      <c r="AR281" s="169">
        <f t="shared" si="201"/>
        <v>174.53042132137341</v>
      </c>
      <c r="AS281" s="168" t="str">
        <f t="shared" si="202"/>
        <v>-0.0233420174653809+1.16445446454073i</v>
      </c>
      <c r="AT281" s="190">
        <f t="shared" si="203"/>
        <v>1.3241949387308463</v>
      </c>
      <c r="AU281" s="169">
        <f t="shared" si="204"/>
        <v>91.148366070689747</v>
      </c>
      <c r="AV281" s="225"/>
      <c r="AX281">
        <f t="shared" si="205"/>
        <v>0</v>
      </c>
      <c r="AY281">
        <f t="shared" si="206"/>
        <v>0</v>
      </c>
    </row>
    <row r="282" spans="14:51" x14ac:dyDescent="0.2">
      <c r="N282" s="170">
        <v>64</v>
      </c>
      <c r="O282" s="199">
        <f t="shared" si="172"/>
        <v>4365.1583224016631</v>
      </c>
      <c r="P282" s="189" t="str">
        <f t="shared" si="173"/>
        <v>771.276595744681</v>
      </c>
      <c r="Q282" s="160" t="str">
        <f t="shared" si="174"/>
        <v>1+242.45555193187i</v>
      </c>
      <c r="R282" s="160">
        <f t="shared" si="182"/>
        <v>242.45761415675872</v>
      </c>
      <c r="S282" s="160">
        <f t="shared" si="183"/>
        <v>1.5666718828641235</v>
      </c>
      <c r="T282" s="160" t="str">
        <f t="shared" si="175"/>
        <v>1+0.00456386921283518i</v>
      </c>
      <c r="U282" s="160">
        <f t="shared" si="184"/>
        <v>1.0000104143968662</v>
      </c>
      <c r="V282" s="160">
        <f t="shared" si="185"/>
        <v>4.5638375264360244E-3</v>
      </c>
      <c r="W282" s="98" t="str">
        <f t="shared" si="176"/>
        <v>1-0.0186504270716822i</v>
      </c>
      <c r="X282" s="160">
        <f t="shared" si="186"/>
        <v>1.0001739040936612</v>
      </c>
      <c r="Y282" s="160">
        <f t="shared" si="187"/>
        <v>-1.8648265077788793E-2</v>
      </c>
      <c r="Z282" s="98" t="str">
        <f t="shared" si="177"/>
        <v>0.992378157128147-0.127695971454997i</v>
      </c>
      <c r="AA282" s="160">
        <f t="shared" si="188"/>
        <v>1.0005601770362904</v>
      </c>
      <c r="AB282" s="160">
        <f t="shared" si="189"/>
        <v>-0.12797350153193984</v>
      </c>
      <c r="AC282" s="171" t="str">
        <f t="shared" si="190"/>
        <v>0.374398722736409-3.1577653641537i</v>
      </c>
      <c r="AD282" s="190">
        <f t="shared" si="191"/>
        <v>10.048223078448526</v>
      </c>
      <c r="AE282" s="169">
        <f t="shared" si="192"/>
        <v>-83.238323498187512</v>
      </c>
      <c r="AF282" s="98" t="str">
        <f t="shared" si="178"/>
        <v>-0.0000119284294234592</v>
      </c>
      <c r="AG282" s="98" t="str">
        <f t="shared" si="179"/>
        <v>0.000494592869681832i</v>
      </c>
      <c r="AH282" s="98">
        <f t="shared" si="193"/>
        <v>4.9459286968183205E-4</v>
      </c>
      <c r="AI282" s="98">
        <f t="shared" si="194"/>
        <v>1.5707963267948966</v>
      </c>
      <c r="AJ282" s="98" t="str">
        <f t="shared" si="180"/>
        <v>1+0.0271031385611165i</v>
      </c>
      <c r="AK282" s="98">
        <f t="shared" si="195"/>
        <v>1.0003672226337001</v>
      </c>
      <c r="AL282" s="98">
        <f t="shared" si="196"/>
        <v>2.7096505009005477E-2</v>
      </c>
      <c r="AM282" s="98" t="str">
        <f t="shared" si="181"/>
        <v>1+14.8106332628065i</v>
      </c>
      <c r="AN282" s="98">
        <f t="shared" si="197"/>
        <v>14.844354403117379</v>
      </c>
      <c r="AO282" s="98">
        <f t="shared" si="198"/>
        <v>1.5033795919627719</v>
      </c>
      <c r="AP282" s="168" t="str">
        <f t="shared" si="199"/>
        <v>-0.356282636874754+0.0337740513299104i</v>
      </c>
      <c r="AQ282" s="98">
        <f t="shared" si="200"/>
        <v>-8.9252544959230349</v>
      </c>
      <c r="AR282" s="169">
        <f t="shared" si="201"/>
        <v>174.58479024899555</v>
      </c>
      <c r="AS282" s="168" t="str">
        <f t="shared" si="202"/>
        <v>-0.0267412346823274+1.137701932252i</v>
      </c>
      <c r="AT282" s="190">
        <f t="shared" si="203"/>
        <v>1.1229685825254876</v>
      </c>
      <c r="AU282" s="169">
        <f t="shared" si="204"/>
        <v>91.34646675080802</v>
      </c>
      <c r="AV282" s="225"/>
      <c r="AX282">
        <f t="shared" si="205"/>
        <v>0</v>
      </c>
      <c r="AY282">
        <f t="shared" si="206"/>
        <v>0</v>
      </c>
    </row>
    <row r="283" spans="14:51" x14ac:dyDescent="0.2">
      <c r="N283" s="170">
        <v>65</v>
      </c>
      <c r="O283" s="199">
        <f t="shared" si="172"/>
        <v>4466.8359215096343</v>
      </c>
      <c r="P283" s="189" t="str">
        <f t="shared" si="173"/>
        <v>771.276595744681</v>
      </c>
      <c r="Q283" s="160" t="str">
        <f t="shared" si="174"/>
        <v>1+248.103067231445i</v>
      </c>
      <c r="R283" s="160">
        <f t="shared" si="182"/>
        <v>248.10508251475002</v>
      </c>
      <c r="S283" s="160">
        <f t="shared" si="183"/>
        <v>1.5667657656413732</v>
      </c>
      <c r="T283" s="160" t="str">
        <f t="shared" si="175"/>
        <v>1+0.00467017538318012i</v>
      </c>
      <c r="U283" s="160">
        <f t="shared" si="184"/>
        <v>1.0000109052095929</v>
      </c>
      <c r="V283" s="160">
        <f t="shared" si="185"/>
        <v>4.6701414306117087E-3</v>
      </c>
      <c r="W283" s="98" t="str">
        <f t="shared" si="176"/>
        <v>1-0.0190848513254957i</v>
      </c>
      <c r="X283" s="160">
        <f t="shared" si="186"/>
        <v>1.0001820991949997</v>
      </c>
      <c r="Y283" s="160">
        <f t="shared" si="187"/>
        <v>-1.9082534730080238E-2</v>
      </c>
      <c r="Z283" s="98" t="str">
        <f t="shared" si="177"/>
        <v>0.992018950740124-0.130670392732381i</v>
      </c>
      <c r="AA283" s="160">
        <f t="shared" si="188"/>
        <v>1.0005880022088869</v>
      </c>
      <c r="AB283" s="160">
        <f t="shared" si="189"/>
        <v>-0.13096768707746589</v>
      </c>
      <c r="AC283" s="171" t="str">
        <f t="shared" si="190"/>
        <v>0.373806080585349-3.08487666594922i</v>
      </c>
      <c r="AD283" s="190">
        <f t="shared" si="191"/>
        <v>9.8480602879576313</v>
      </c>
      <c r="AE283" s="169">
        <f t="shared" si="192"/>
        <v>-83.090939443447056</v>
      </c>
      <c r="AF283" s="98" t="str">
        <f t="shared" si="178"/>
        <v>-0.0000119284294234592</v>
      </c>
      <c r="AG283" s="98" t="str">
        <f t="shared" si="179"/>
        <v>0.000506113417577447i</v>
      </c>
      <c r="AH283" s="98">
        <f t="shared" si="193"/>
        <v>5.06113417577447E-4</v>
      </c>
      <c r="AI283" s="98">
        <f t="shared" si="194"/>
        <v>1.5707963267948966</v>
      </c>
      <c r="AJ283" s="98" t="str">
        <f t="shared" si="180"/>
        <v>1+0.0277344517584048i</v>
      </c>
      <c r="AK283" s="98">
        <f t="shared" si="195"/>
        <v>1.0003845259770561</v>
      </c>
      <c r="AL283" s="98">
        <f t="shared" si="196"/>
        <v>2.7727343926807729E-2</v>
      </c>
      <c r="AM283" s="98" t="str">
        <f t="shared" si="181"/>
        <v>1+15.1556172290701i</v>
      </c>
      <c r="AN283" s="98">
        <f t="shared" si="197"/>
        <v>15.1885724672889</v>
      </c>
      <c r="AO283" s="98">
        <f t="shared" si="198"/>
        <v>1.5049096954620884</v>
      </c>
      <c r="AP283" s="168" t="str">
        <f t="shared" si="199"/>
        <v>-0.35627031195904+0.0334496501592676i</v>
      </c>
      <c r="AQ283" s="98">
        <f t="shared" si="200"/>
        <v>-8.9262918701692442</v>
      </c>
      <c r="AR283" s="169">
        <f t="shared" si="201"/>
        <v>174.6363143141819</v>
      </c>
      <c r="AS283" s="168" t="str">
        <f t="shared" si="202"/>
        <v>-0.0299879636818391+1.11155365475588i</v>
      </c>
      <c r="AT283" s="190">
        <f t="shared" si="203"/>
        <v>0.92176841778839558</v>
      </c>
      <c r="AU283" s="169">
        <f t="shared" si="204"/>
        <v>91.545374870734847</v>
      </c>
      <c r="AV283" s="225"/>
      <c r="AX283">
        <f t="shared" si="205"/>
        <v>0</v>
      </c>
      <c r="AY283">
        <f t="shared" si="206"/>
        <v>0</v>
      </c>
    </row>
    <row r="284" spans="14:51" x14ac:dyDescent="0.2">
      <c r="N284" s="170">
        <v>66</v>
      </c>
      <c r="O284" s="199">
        <f t="shared" ref="O284:O318" si="207">10^(3+(N284/100))</f>
        <v>4570.8818961487532</v>
      </c>
      <c r="P284" s="189" t="str">
        <f t="shared" si="173"/>
        <v>771.276595744681</v>
      </c>
      <c r="Q284" s="160" t="str">
        <f t="shared" si="174"/>
        <v>1+253.882130061298i</v>
      </c>
      <c r="R284" s="160">
        <f t="shared" si="182"/>
        <v>253.88409947151442</v>
      </c>
      <c r="S284" s="160">
        <f t="shared" si="183"/>
        <v>1.5668575114543639</v>
      </c>
      <c r="T284" s="160" t="str">
        <f t="shared" si="175"/>
        <v>1+0.00477895774233031i</v>
      </c>
      <c r="U284" s="160">
        <f t="shared" si="184"/>
        <v>1.0000114191533529</v>
      </c>
      <c r="V284" s="160">
        <f t="shared" si="185"/>
        <v>4.7789213615202324E-3</v>
      </c>
      <c r="W284" s="98" t="str">
        <f t="shared" si="176"/>
        <v>1-0.0195293946200998i</v>
      </c>
      <c r="X284" s="160">
        <f t="shared" si="186"/>
        <v>1.0001906804475973</v>
      </c>
      <c r="Y284" s="160">
        <f t="shared" si="187"/>
        <v>-1.9526912368947699E-2</v>
      </c>
      <c r="Z284" s="98" t="str">
        <f t="shared" si="177"/>
        <v>0.991642815476584-0.13371409718162i</v>
      </c>
      <c r="AA284" s="160">
        <f t="shared" si="188"/>
        <v>1.0006172761208063</v>
      </c>
      <c r="AB284" s="160">
        <f t="shared" si="189"/>
        <v>-0.13403255898211963</v>
      </c>
      <c r="AC284" s="171" t="str">
        <f t="shared" si="190"/>
        <v>0.373239787960698-3.01362267195281i</v>
      </c>
      <c r="AD284" s="190">
        <f t="shared" si="191"/>
        <v>9.6478883324529967</v>
      </c>
      <c r="AE284" s="169">
        <f t="shared" si="192"/>
        <v>-82.939820198714841</v>
      </c>
      <c r="AF284" s="98" t="str">
        <f t="shared" si="178"/>
        <v>-0.0000119284294234592</v>
      </c>
      <c r="AG284" s="98" t="str">
        <f t="shared" si="179"/>
        <v>0.000517902313506265i</v>
      </c>
      <c r="AH284" s="98">
        <f t="shared" si="193"/>
        <v>5.1790231350626499E-4</v>
      </c>
      <c r="AI284" s="98">
        <f t="shared" si="194"/>
        <v>1.5707963267948966</v>
      </c>
      <c r="AJ284" s="98" t="str">
        <f t="shared" si="180"/>
        <v>1+0.0283804701291243i</v>
      </c>
      <c r="AK284" s="98">
        <f t="shared" si="195"/>
        <v>1.0004026444810861</v>
      </c>
      <c r="AL284" s="98">
        <f t="shared" si="196"/>
        <v>2.8372854115897562E-2</v>
      </c>
      <c r="AM284" s="98" t="str">
        <f t="shared" si="181"/>
        <v>1+15.5086369041969i</v>
      </c>
      <c r="AN284" s="98">
        <f t="shared" si="197"/>
        <v>15.540843562246485</v>
      </c>
      <c r="AO284" s="98">
        <f t="shared" si="198"/>
        <v>1.5064052681533744</v>
      </c>
      <c r="AP284" s="168" t="str">
        <f t="shared" si="199"/>
        <v>-0.356257407101853+0.0331429522338821i</v>
      </c>
      <c r="AQ284" s="98">
        <f t="shared" si="200"/>
        <v>-8.9272965608767567</v>
      </c>
      <c r="AR284" s="169">
        <f t="shared" si="201"/>
        <v>174.68501930788005</v>
      </c>
      <c r="AS284" s="168" t="str">
        <f t="shared" si="202"/>
        <v>-0.0330890868186476+1.08599566755743i</v>
      </c>
      <c r="AT284" s="190">
        <f t="shared" si="203"/>
        <v>0.72059177157622645</v>
      </c>
      <c r="AU284" s="169">
        <f t="shared" si="204"/>
        <v>91.745199109165227</v>
      </c>
      <c r="AV284" s="225"/>
      <c r="AX284">
        <f t="shared" si="205"/>
        <v>0</v>
      </c>
      <c r="AY284">
        <f t="shared" si="206"/>
        <v>0</v>
      </c>
    </row>
    <row r="285" spans="14:51" x14ac:dyDescent="0.2">
      <c r="N285" s="170">
        <v>67</v>
      </c>
      <c r="O285" s="199">
        <f t="shared" si="207"/>
        <v>4677.3514128719844</v>
      </c>
      <c r="P285" s="189" t="str">
        <f t="shared" si="173"/>
        <v>771.276595744681</v>
      </c>
      <c r="Q285" s="160" t="str">
        <f t="shared" si="174"/>
        <v>1+259.795804557037i</v>
      </c>
      <c r="R285" s="160">
        <f t="shared" si="182"/>
        <v>259.79772913833978</v>
      </c>
      <c r="S285" s="160">
        <f t="shared" si="183"/>
        <v>1.5669471689417585</v>
      </c>
      <c r="T285" s="160" t="str">
        <f t="shared" si="175"/>
        <v>1+0.00489027396813245i</v>
      </c>
      <c r="U285" s="160">
        <f t="shared" si="184"/>
        <v>1.0000119573182529</v>
      </c>
      <c r="V285" s="160">
        <f t="shared" si="185"/>
        <v>4.8902349854172853E-3</v>
      </c>
      <c r="W285" s="98" t="str">
        <f t="shared" si="176"/>
        <v>1-0.0199842926582335i</v>
      </c>
      <c r="X285" s="160">
        <f t="shared" si="186"/>
        <v>1.0001996660432606</v>
      </c>
      <c r="Y285" s="160">
        <f t="shared" si="187"/>
        <v>-1.998163290687939E-2</v>
      </c>
      <c r="Z285" s="98" t="str">
        <f t="shared" si="177"/>
        <v>0.991248953504202-0.136828698615099i</v>
      </c>
      <c r="AA285" s="160">
        <f t="shared" si="188"/>
        <v>1.0006480802899074</v>
      </c>
      <c r="AB285" s="160">
        <f t="shared" si="189"/>
        <v>-0.13716983014645337</v>
      </c>
      <c r="AC285" s="171" t="str">
        <f t="shared" si="190"/>
        <v>0.372698629735731-2.9439655659234i</v>
      </c>
      <c r="AD285" s="190">
        <f t="shared" si="191"/>
        <v>9.4477066795388236</v>
      </c>
      <c r="AE285" s="169">
        <f t="shared" si="192"/>
        <v>-82.784880564269685</v>
      </c>
      <c r="AF285" s="98" t="str">
        <f t="shared" si="178"/>
        <v>-0.0000119284294234592</v>
      </c>
      <c r="AG285" s="98" t="str">
        <f t="shared" si="179"/>
        <v>0.000529965808096951i</v>
      </c>
      <c r="AH285" s="98">
        <f t="shared" si="193"/>
        <v>5.2996580809695098E-4</v>
      </c>
      <c r="AI285" s="98">
        <f t="shared" si="194"/>
        <v>1.5707963267948966</v>
      </c>
      <c r="AJ285" s="98" t="str">
        <f t="shared" si="180"/>
        <v>1+0.0290415362007662i</v>
      </c>
      <c r="AK285" s="98">
        <f t="shared" si="195"/>
        <v>1.0004216165322002</v>
      </c>
      <c r="AL285" s="98">
        <f t="shared" si="196"/>
        <v>2.9033375681302768E-2</v>
      </c>
      <c r="AM285" s="98" t="str">
        <f t="shared" si="181"/>
        <v>1+15.8698794638914i</v>
      </c>
      <c r="AN285" s="98">
        <f t="shared" si="197"/>
        <v>15.901354476850139</v>
      </c>
      <c r="AO285" s="98">
        <f t="shared" si="198"/>
        <v>1.5078670762323616</v>
      </c>
      <c r="AP285" s="168" t="str">
        <f t="shared" si="199"/>
        <v>-0.356243895059457+0.0328537926391405i</v>
      </c>
      <c r="AQ285" s="98">
        <f t="shared" si="200"/>
        <v>-8.9282706755401069</v>
      </c>
      <c r="AR285" s="169">
        <f t="shared" si="201"/>
        <v>174.7309296432891</v>
      </c>
      <c r="AS285" s="168" t="str">
        <f t="shared" si="202"/>
        <v>-0.0360511773007619+1.0610143236237i</v>
      </c>
      <c r="AT285" s="190">
        <f t="shared" si="203"/>
        <v>0.5194360039987157</v>
      </c>
      <c r="AU285" s="169">
        <f t="shared" si="204"/>
        <v>91.946049079019417</v>
      </c>
      <c r="AV285" s="225"/>
      <c r="AX285">
        <f t="shared" si="205"/>
        <v>0</v>
      </c>
      <c r="AY285">
        <f t="shared" si="206"/>
        <v>0</v>
      </c>
    </row>
    <row r="286" spans="14:51" x14ac:dyDescent="0.2">
      <c r="N286" s="170">
        <v>68</v>
      </c>
      <c r="O286" s="199">
        <f t="shared" si="207"/>
        <v>4786.3009232263848</v>
      </c>
      <c r="P286" s="189" t="str">
        <f t="shared" si="173"/>
        <v>771.276595744681</v>
      </c>
      <c r="Q286" s="160" t="str">
        <f t="shared" si="174"/>
        <v>1+265.847226227157i</v>
      </c>
      <c r="R286" s="160">
        <f t="shared" si="182"/>
        <v>265.84910699995442</v>
      </c>
      <c r="S286" s="160">
        <f t="shared" si="183"/>
        <v>1.5670347856353743</v>
      </c>
      <c r="T286" s="160" t="str">
        <f t="shared" si="175"/>
        <v>1+0.00500418308192294i</v>
      </c>
      <c r="U286" s="160">
        <f t="shared" si="184"/>
        <v>1.0000125208457729</v>
      </c>
      <c r="V286" s="160">
        <f t="shared" si="185"/>
        <v>5.0041413112193178E-3</v>
      </c>
      <c r="W286" s="98" t="str">
        <f t="shared" si="176"/>
        <v>1-0.0204497866328581i</v>
      </c>
      <c r="X286" s="160">
        <f t="shared" si="186"/>
        <v>1.0002090750304806</v>
      </c>
      <c r="Y286" s="160">
        <f t="shared" si="187"/>
        <v>-2.0446936690108993E-2</v>
      </c>
      <c r="Z286" s="98" t="str">
        <f t="shared" si="177"/>
        <v>0.990836529388929-0.140015848435726i</v>
      </c>
      <c r="AA286" s="160">
        <f t="shared" si="188"/>
        <v>1.0006805013512925</v>
      </c>
      <c r="AB286" s="160">
        <f t="shared" si="189"/>
        <v>-0.14038125799278681</v>
      </c>
      <c r="AC286" s="171" t="str">
        <f t="shared" si="190"/>
        <v>0.372181442735207-2.87586837385917i</v>
      </c>
      <c r="AD286" s="190">
        <f t="shared" si="191"/>
        <v>9.2475147601203247</v>
      </c>
      <c r="AE286" s="169">
        <f t="shared" si="192"/>
        <v>-82.626032960465324</v>
      </c>
      <c r="AF286" s="98" t="str">
        <f t="shared" si="178"/>
        <v>-0.0000119284294234592</v>
      </c>
      <c r="AG286" s="98" t="str">
        <f t="shared" si="179"/>
        <v>0.000542310297574016i</v>
      </c>
      <c r="AH286" s="98">
        <f t="shared" si="193"/>
        <v>5.4231029757401605E-4</v>
      </c>
      <c r="AI286" s="98">
        <f t="shared" si="194"/>
        <v>1.5707963267948966</v>
      </c>
      <c r="AJ286" s="98" t="str">
        <f t="shared" si="180"/>
        <v>1+0.0297180004793119i</v>
      </c>
      <c r="AK286" s="98">
        <f t="shared" si="195"/>
        <v>1.0004414823229235</v>
      </c>
      <c r="AL286" s="98">
        <f t="shared" si="196"/>
        <v>2.9709256533555932E-2</v>
      </c>
      <c r="AM286" s="98" t="str">
        <f t="shared" si="181"/>
        <v>1+16.2395364437403i</v>
      </c>
      <c r="AN286" s="98">
        <f t="shared" si="197"/>
        <v>16.270296368154124</v>
      </c>
      <c r="AO286" s="98">
        <f t="shared" si="198"/>
        <v>1.5092958697652523</v>
      </c>
      <c r="AP286" s="168" t="str">
        <f t="shared" si="199"/>
        <v>-0.356229747312634+0.0325820155954965i</v>
      </c>
      <c r="AQ286" s="98">
        <f t="shared" si="200"/>
        <v>-8.9292162587178368</v>
      </c>
      <c r="AR286" s="169">
        <f t="shared" si="201"/>
        <v>174.77406836223147</v>
      </c>
      <c r="AS286" s="168" t="str">
        <f t="shared" si="202"/>
        <v>-0.0388805130923397+1.0365962856958i</v>
      </c>
      <c r="AT286" s="190">
        <f t="shared" si="203"/>
        <v>0.31829850140247984</v>
      </c>
      <c r="AU286" s="169">
        <f t="shared" si="204"/>
        <v>92.148035401766151</v>
      </c>
      <c r="AV286" s="225"/>
      <c r="AX286">
        <f t="shared" si="205"/>
        <v>0</v>
      </c>
      <c r="AY286">
        <f t="shared" si="206"/>
        <v>0</v>
      </c>
    </row>
    <row r="287" spans="14:51" x14ac:dyDescent="0.2">
      <c r="N287" s="170">
        <v>69</v>
      </c>
      <c r="O287" s="199">
        <f t="shared" si="207"/>
        <v>4897.7881936844633</v>
      </c>
      <c r="P287" s="189" t="str">
        <f t="shared" si="173"/>
        <v>771.276595744681</v>
      </c>
      <c r="Q287" s="160" t="str">
        <f t="shared" si="174"/>
        <v>1+272.039603615526i</v>
      </c>
      <c r="R287" s="160">
        <f t="shared" si="182"/>
        <v>272.0414415770004</v>
      </c>
      <c r="S287" s="160">
        <f t="shared" si="183"/>
        <v>1.5671204079853587</v>
      </c>
      <c r="T287" s="160" t="str">
        <f t="shared" si="175"/>
        <v>1+0.00512074547982166i</v>
      </c>
      <c r="U287" s="160">
        <f t="shared" si="184"/>
        <v>1.0000131109311863</v>
      </c>
      <c r="V287" s="160">
        <f t="shared" si="185"/>
        <v>5.1207007217380284E-3</v>
      </c>
      <c r="W287" s="98" t="str">
        <f t="shared" si="176"/>
        <v>1-0.0209261233550404i</v>
      </c>
      <c r="X287" s="160">
        <f t="shared" si="186"/>
        <v>1.0002189273547417</v>
      </c>
      <c r="Y287" s="160">
        <f t="shared" si="187"/>
        <v>-2.0923069622464683E-2</v>
      </c>
      <c r="Z287" s="98" t="str">
        <f t="shared" si="177"/>
        <v>0.990404668323922-0.143277236512523i</v>
      </c>
      <c r="AA287" s="160">
        <f t="shared" si="188"/>
        <v>1.0007146314212076</v>
      </c>
      <c r="AB287" s="160">
        <f t="shared" si="189"/>
        <v>-0.14366864581739142</v>
      </c>
      <c r="AC287" s="171" t="str">
        <f t="shared" si="190"/>
        <v>0.371687113139261-2.80929494422306i</v>
      </c>
      <c r="AD287" s="190">
        <f t="shared" si="191"/>
        <v>9.0473119656474896</v>
      </c>
      <c r="AE287" s="169">
        <f t="shared" si="192"/>
        <v>-82.463187357004784</v>
      </c>
      <c r="AF287" s="98" t="str">
        <f t="shared" si="178"/>
        <v>-0.0000119284294234592</v>
      </c>
      <c r="AG287" s="98" t="str">
        <f t="shared" si="179"/>
        <v>0.000554942327149181i</v>
      </c>
      <c r="AH287" s="98">
        <f t="shared" si="193"/>
        <v>5.5494232714918101E-4</v>
      </c>
      <c r="AI287" s="98">
        <f t="shared" si="194"/>
        <v>1.5707963267948966</v>
      </c>
      <c r="AJ287" s="98" t="str">
        <f t="shared" si="180"/>
        <v>1+0.030410221635076i</v>
      </c>
      <c r="AK287" s="98">
        <f t="shared" si="195"/>
        <v>1.0004622839367281</v>
      </c>
      <c r="AL287" s="98">
        <f t="shared" si="196"/>
        <v>3.0400852562198225E-2</v>
      </c>
      <c r="AM287" s="98" t="str">
        <f t="shared" si="181"/>
        <v>1+16.6178038407674i</v>
      </c>
      <c r="AN287" s="98">
        <f t="shared" si="197"/>
        <v>16.647864862805193</v>
      </c>
      <c r="AO287" s="98">
        <f t="shared" si="198"/>
        <v>1.5106923829696275</v>
      </c>
      <c r="AP287" s="168" t="str">
        <f t="shared" si="199"/>
        <v>-0.356214934007402+0.0323274743642012i</v>
      </c>
      <c r="AQ287" s="98">
        <f t="shared" si="200"/>
        <v>-8.9301352961873945</v>
      </c>
      <c r="AR287" s="169">
        <f t="shared" si="201"/>
        <v>174.81445714130726</v>
      </c>
      <c r="AS287" s="168" t="str">
        <f t="shared" si="202"/>
        <v>-0.0415830901874526+1.01272851878526i</v>
      </c>
      <c r="AT287" s="190">
        <f t="shared" si="203"/>
        <v>0.11717666946010556</v>
      </c>
      <c r="AU287" s="169">
        <f t="shared" si="204"/>
        <v>92.351269784302474</v>
      </c>
      <c r="AV287" s="225"/>
      <c r="AX287">
        <f t="shared" si="205"/>
        <v>4897.7881936844633</v>
      </c>
      <c r="AY287">
        <f t="shared" si="206"/>
        <v>92.351269784302474</v>
      </c>
    </row>
    <row r="288" spans="14:51" x14ac:dyDescent="0.2">
      <c r="N288" s="170">
        <v>70</v>
      </c>
      <c r="O288" s="199">
        <f t="shared" si="207"/>
        <v>5011.8723362727324</v>
      </c>
      <c r="P288" s="189" t="str">
        <f t="shared" si="173"/>
        <v>771.276595744681</v>
      </c>
      <c r="Q288" s="160" t="str">
        <f t="shared" si="174"/>
        <v>1+278.376220002603i</v>
      </c>
      <c r="R288" s="160">
        <f t="shared" si="182"/>
        <v>278.3780161272395</v>
      </c>
      <c r="S288" s="160">
        <f t="shared" si="183"/>
        <v>1.5672040813847896</v>
      </c>
      <c r="T288" s="160" t="str">
        <f t="shared" si="175"/>
        <v>1+0.00524002296475486i</v>
      </c>
      <c r="U288" s="160">
        <f t="shared" si="184"/>
        <v>1.0000137288260953</v>
      </c>
      <c r="V288" s="160">
        <f t="shared" si="185"/>
        <v>5.239975005639743E-3</v>
      </c>
      <c r="W288" s="98" t="str">
        <f t="shared" si="176"/>
        <v>1-0.0214135553848155i</v>
      </c>
      <c r="X288" s="160">
        <f t="shared" si="186"/>
        <v>1.0002292439007263</v>
      </c>
      <c r="Y288" s="160">
        <f t="shared" si="187"/>
        <v>-2.1410283291909908E-2</v>
      </c>
      <c r="Z288" s="98" t="str">
        <f t="shared" si="177"/>
        <v>0.989952454273962-0.146614592076617i</v>
      </c>
      <c r="AA288" s="160">
        <f t="shared" si="188"/>
        <v>1.0007505684898876</v>
      </c>
      <c r="AB288" s="160">
        <f t="shared" si="189"/>
        <v>-0.14703384419480076</v>
      </c>
      <c r="AC288" s="171" t="str">
        <f t="shared" si="190"/>
        <v>0.371214573979513-2.74420992858539i</v>
      </c>
      <c r="AD288" s="190">
        <f t="shared" si="191"/>
        <v>8.8470976451268939</v>
      </c>
      <c r="AE288" s="169">
        <f t="shared" si="192"/>
        <v>-82.296251199308173</v>
      </c>
      <c r="AF288" s="98" t="str">
        <f t="shared" si="178"/>
        <v>-0.0000119284294234592</v>
      </c>
      <c r="AG288" s="98" t="str">
        <f t="shared" si="179"/>
        <v>0.000567868594491732i</v>
      </c>
      <c r="AH288" s="98">
        <f t="shared" si="193"/>
        <v>5.6786859449173201E-4</v>
      </c>
      <c r="AI288" s="98">
        <f t="shared" si="194"/>
        <v>1.5707963267948966</v>
      </c>
      <c r="AJ288" s="98" t="str">
        <f t="shared" si="180"/>
        <v>1+0.0311185666928779i</v>
      </c>
      <c r="AK288" s="98">
        <f t="shared" si="195"/>
        <v>1.0004840654368359</v>
      </c>
      <c r="AL288" s="98">
        <f t="shared" si="196"/>
        <v>3.1108527812733294E-2</v>
      </c>
      <c r="AM288" s="98" t="str">
        <f t="shared" si="181"/>
        <v>1+17.0048822173535i</v>
      </c>
      <c r="AN288" s="98">
        <f t="shared" si="197"/>
        <v>17.034260160807257</v>
      </c>
      <c r="AO288" s="98">
        <f t="shared" si="198"/>
        <v>1.5120573344945787</v>
      </c>
      <c r="AP288" s="168" t="str">
        <f t="shared" si="199"/>
        <v>-0.356199423892984+0.0320900311570006i</v>
      </c>
      <c r="AQ288" s="98">
        <f t="shared" si="200"/>
        <v>-8.9310297189905938</v>
      </c>
      <c r="AR288" s="169">
        <f t="shared" si="201"/>
        <v>174.8521162978054</v>
      </c>
      <c r="AS288" s="168" t="str">
        <f t="shared" si="202"/>
        <v>-0.0441646352825265+0.989398282848458i</v>
      </c>
      <c r="AT288" s="190">
        <f t="shared" si="203"/>
        <v>-8.3932073863700718E-2</v>
      </c>
      <c r="AU288" s="169">
        <f t="shared" si="204"/>
        <v>92.555865098497222</v>
      </c>
      <c r="AV288" s="225"/>
      <c r="AX288">
        <f t="shared" si="205"/>
        <v>0</v>
      </c>
      <c r="AY288">
        <f t="shared" si="206"/>
        <v>0</v>
      </c>
    </row>
    <row r="289" spans="14:51" x14ac:dyDescent="0.2">
      <c r="N289" s="170">
        <v>71</v>
      </c>
      <c r="O289" s="199">
        <f t="shared" si="207"/>
        <v>5128.6138399136489</v>
      </c>
      <c r="P289" s="189" t="str">
        <f t="shared" si="173"/>
        <v>771.276595744681</v>
      </c>
      <c r="Q289" s="160" t="str">
        <f t="shared" si="174"/>
        <v>1+284.860435146268i</v>
      </c>
      <c r="R289" s="160">
        <f t="shared" si="182"/>
        <v>284.86219038637108</v>
      </c>
      <c r="S289" s="160">
        <f t="shared" si="183"/>
        <v>1.5672858501937224</v>
      </c>
      <c r="T289" s="160" t="str">
        <f t="shared" si="175"/>
        <v>1+0.00536207877922385i</v>
      </c>
      <c r="U289" s="160">
        <f t="shared" si="184"/>
        <v>1.0000143758410849</v>
      </c>
      <c r="V289" s="160">
        <f t="shared" si="185"/>
        <v>5.3620273901460389E-3</v>
      </c>
      <c r="W289" s="98" t="str">
        <f t="shared" si="176"/>
        <v>1-0.0219123411650974i</v>
      </c>
      <c r="X289" s="160">
        <f t="shared" si="186"/>
        <v>1.000240046536498</v>
      </c>
      <c r="Y289" s="160">
        <f t="shared" si="187"/>
        <v>-2.1908835099823509E-2</v>
      </c>
      <c r="Z289" s="98" t="str">
        <f t="shared" si="177"/>
        <v>0.989478928032419-0.150029684638103i</v>
      </c>
      <c r="AA289" s="160">
        <f t="shared" si="188"/>
        <v>1.0007884168458354</v>
      </c>
      <c r="AB289" s="160">
        <f t="shared" si="189"/>
        <v>-0.15047875243669503</v>
      </c>
      <c r="AC289" s="171" t="str">
        <f t="shared" si="190"/>
        <v>0.370762802720918-2.68057876267277i</v>
      </c>
      <c r="AD289" s="190">
        <f t="shared" si="191"/>
        <v>8.6468711018809312</v>
      </c>
      <c r="AE289" s="169">
        <f t="shared" si="192"/>
        <v>-82.12512933183578</v>
      </c>
      <c r="AF289" s="98" t="str">
        <f t="shared" si="178"/>
        <v>-0.0000119284294234592</v>
      </c>
      <c r="AG289" s="98" t="str">
        <f t="shared" si="179"/>
        <v>0.00058109595327971i</v>
      </c>
      <c r="AH289" s="98">
        <f t="shared" si="193"/>
        <v>5.8109595327970995E-4</v>
      </c>
      <c r="AI289" s="98">
        <f t="shared" si="194"/>
        <v>1.5707963267948966</v>
      </c>
      <c r="AJ289" s="98" t="str">
        <f t="shared" si="180"/>
        <v>1+0.0318434112266431i</v>
      </c>
      <c r="AK289" s="98">
        <f t="shared" si="195"/>
        <v>1.0005068729591762</v>
      </c>
      <c r="AL289" s="98">
        <f t="shared" si="196"/>
        <v>3.1832654667069964E-2</v>
      </c>
      <c r="AM289" s="98" t="str">
        <f t="shared" si="181"/>
        <v>1+17.4009768075774i</v>
      </c>
      <c r="AN289" s="98">
        <f t="shared" si="197"/>
        <v>17.429687141708726</v>
      </c>
      <c r="AO289" s="98">
        <f t="shared" si="198"/>
        <v>1.513391427699724</v>
      </c>
      <c r="AP289" s="168" t="str">
        <f t="shared" si="199"/>
        <v>-0.356183184256974+0.0318695570496907i</v>
      </c>
      <c r="AQ289" s="98">
        <f t="shared" si="200"/>
        <v>-8.9319014073752481</v>
      </c>
      <c r="AR289" s="169">
        <f t="shared" si="201"/>
        <v>174.88706479535171</v>
      </c>
      <c r="AS289" s="168" t="str">
        <f t="shared" si="202"/>
        <v>-0.0466306178739877+0.966593125633624i</v>
      </c>
      <c r="AT289" s="190">
        <f t="shared" si="203"/>
        <v>-0.28503030549431774</v>
      </c>
      <c r="AU289" s="169">
        <f t="shared" si="204"/>
        <v>92.76193546351594</v>
      </c>
      <c r="AV289" s="225"/>
      <c r="AX289">
        <f t="shared" si="205"/>
        <v>0</v>
      </c>
      <c r="AY289">
        <f t="shared" si="206"/>
        <v>0</v>
      </c>
    </row>
    <row r="290" spans="14:51" x14ac:dyDescent="0.2">
      <c r="N290" s="170">
        <v>72</v>
      </c>
      <c r="O290" s="199">
        <f t="shared" si="207"/>
        <v>5248.0746024977261</v>
      </c>
      <c r="P290" s="189" t="str">
        <f t="shared" si="173"/>
        <v>771.276595744681</v>
      </c>
      <c r="Q290" s="160" t="str">
        <f t="shared" si="174"/>
        <v>1+291.495687063222i</v>
      </c>
      <c r="R290" s="160">
        <f t="shared" si="182"/>
        <v>291.49740234942033</v>
      </c>
      <c r="S290" s="160">
        <f t="shared" si="183"/>
        <v>1.5673657577626852</v>
      </c>
      <c r="T290" s="160" t="str">
        <f t="shared" si="175"/>
        <v>1+0.00548697763883712i</v>
      </c>
      <c r="U290" s="160">
        <f t="shared" si="184"/>
        <v>1.0000150533485028</v>
      </c>
      <c r="V290" s="160">
        <f t="shared" si="185"/>
        <v>5.486922574492935E-3</v>
      </c>
      <c r="W290" s="98" t="str">
        <f t="shared" si="176"/>
        <v>1-0.0224227451587093i</v>
      </c>
      <c r="X290" s="160">
        <f t="shared" si="186"/>
        <v>1.0002513581597641</v>
      </c>
      <c r="Y290" s="160">
        <f t="shared" si="187"/>
        <v>-2.2418988393069158E-2</v>
      </c>
      <c r="Z290" s="98" t="str">
        <f t="shared" si="177"/>
        <v>0.988983085186647-0.153524324924263i</v>
      </c>
      <c r="AA290" s="160">
        <f t="shared" si="188"/>
        <v>1.0008282875342549</v>
      </c>
      <c r="AB290" s="160">
        <f t="shared" si="189"/>
        <v>-0.15400532010792556</v>
      </c>
      <c r="AC290" s="171" t="str">
        <f t="shared" si="190"/>
        <v>0.370330818922917-2.61836764781268i</v>
      </c>
      <c r="AD290" s="190">
        <f t="shared" si="191"/>
        <v>8.4466315900321334</v>
      </c>
      <c r="AE290" s="169">
        <f t="shared" si="192"/>
        <v>-81.949723918222787</v>
      </c>
      <c r="AF290" s="98" t="str">
        <f t="shared" si="178"/>
        <v>-0.0000119284294234592</v>
      </c>
      <c r="AG290" s="98" t="str">
        <f t="shared" si="179"/>
        <v>0.000594631416833831i</v>
      </c>
      <c r="AH290" s="98">
        <f t="shared" si="193"/>
        <v>5.9463141683383099E-4</v>
      </c>
      <c r="AI290" s="98">
        <f t="shared" si="194"/>
        <v>1.5707963267948966</v>
      </c>
      <c r="AJ290" s="98" t="str">
        <f t="shared" si="180"/>
        <v>1+0.0325851395585382i</v>
      </c>
      <c r="AK290" s="98">
        <f t="shared" si="195"/>
        <v>1.0005307548096907</v>
      </c>
      <c r="AL290" s="98">
        <f t="shared" si="196"/>
        <v>3.2573614027491017E-2</v>
      </c>
      <c r="AM290" s="98" t="str">
        <f t="shared" si="181"/>
        <v>1+17.8062976260339i</v>
      </c>
      <c r="AN290" s="98">
        <f t="shared" si="197"/>
        <v>17.834355473268456</v>
      </c>
      <c r="AO290" s="98">
        <f t="shared" si="198"/>
        <v>1.5146953509327936</v>
      </c>
      <c r="AP290" s="168" t="str">
        <f t="shared" si="199"/>
        <v>-0.356166180857525+0.0316659318994242i</v>
      </c>
      <c r="AQ290" s="98">
        <f t="shared" si="200"/>
        <v>-8.9327521946412354</v>
      </c>
      <c r="AR290" s="169">
        <f t="shared" si="201"/>
        <v>174.9193202492728</v>
      </c>
      <c r="AS290" s="168" t="str">
        <f t="shared" si="202"/>
        <v>-0.0489862618063231+0.944300875694614i</v>
      </c>
      <c r="AT290" s="190">
        <f t="shared" si="203"/>
        <v>-0.48612060460910739</v>
      </c>
      <c r="AU290" s="169">
        <f t="shared" si="204"/>
        <v>92.969596331050028</v>
      </c>
      <c r="AV290" s="225"/>
      <c r="AX290">
        <f t="shared" si="205"/>
        <v>0</v>
      </c>
      <c r="AY290">
        <f t="shared" si="206"/>
        <v>0</v>
      </c>
    </row>
    <row r="291" spans="14:51" x14ac:dyDescent="0.2">
      <c r="N291" s="170">
        <v>73</v>
      </c>
      <c r="O291" s="199">
        <f t="shared" si="207"/>
        <v>5370.3179637025269</v>
      </c>
      <c r="P291" s="189" t="str">
        <f t="shared" si="173"/>
        <v>771.276595744681</v>
      </c>
      <c r="Q291" s="160" t="str">
        <f t="shared" si="174"/>
        <v>1+298.285493851859i</v>
      </c>
      <c r="R291" s="160">
        <f t="shared" si="182"/>
        <v>298.2871700935986</v>
      </c>
      <c r="S291" s="160">
        <f t="shared" si="183"/>
        <v>1.5674438464556448</v>
      </c>
      <c r="T291" s="160" t="str">
        <f t="shared" si="175"/>
        <v>1+0.00561478576662321i</v>
      </c>
      <c r="U291" s="160">
        <f t="shared" si="184"/>
        <v>1.0000157627853699</v>
      </c>
      <c r="V291" s="160">
        <f t="shared" si="185"/>
        <v>5.6147267641656149E-3</v>
      </c>
      <c r="W291" s="98" t="str">
        <f t="shared" si="176"/>
        <v>1-0.0229450379886044i</v>
      </c>
      <c r="X291" s="160">
        <f t="shared" si="186"/>
        <v>1.0002632027463063</v>
      </c>
      <c r="Y291" s="160">
        <f t="shared" si="187"/>
        <v>-2.2941012598901363E-2</v>
      </c>
      <c r="Z291" s="98" t="str">
        <f t="shared" si="177"/>
        <v>0.988463873987493-0.157100365839632i</v>
      </c>
      <c r="AA291" s="160">
        <f t="shared" si="188"/>
        <v>1.0008702988526077</v>
      </c>
      <c r="AB291" s="160">
        <f t="shared" si="189"/>
        <v>-0.1576155486023598</v>
      </c>
      <c r="AC291" s="171" t="str">
        <f t="shared" si="190"/>
        <v>0.369917681973533-2.55754353276329i</v>
      </c>
      <c r="AD291" s="190">
        <f t="shared" si="191"/>
        <v>8.2463783106881898</v>
      </c>
      <c r="AE291" s="169">
        <f t="shared" si="192"/>
        <v>-81.769934358073613</v>
      </c>
      <c r="AF291" s="98" t="str">
        <f t="shared" si="178"/>
        <v>-0.0000119284294234592</v>
      </c>
      <c r="AG291" s="98" t="str">
        <f t="shared" si="179"/>
        <v>0.000608482161836036i</v>
      </c>
      <c r="AH291" s="98">
        <f t="shared" si="193"/>
        <v>6.0848216183603603E-4</v>
      </c>
      <c r="AI291" s="98">
        <f t="shared" si="194"/>
        <v>1.5707963267948966</v>
      </c>
      <c r="AJ291" s="98" t="str">
        <f t="shared" si="180"/>
        <v>1+0.0333441449627425i</v>
      </c>
      <c r="AK291" s="98">
        <f t="shared" si="195"/>
        <v>1.0005557615661889</v>
      </c>
      <c r="AL291" s="98">
        <f t="shared" si="196"/>
        <v>3.3331795504179529E-2</v>
      </c>
      <c r="AM291" s="98" t="str">
        <f t="shared" si="181"/>
        <v>1+18.2210595791859i</v>
      </c>
      <c r="AN291" s="98">
        <f t="shared" si="197"/>
        <v>18.24847972265751</v>
      </c>
      <c r="AO291" s="98">
        <f t="shared" si="198"/>
        <v>1.5159697778054999</v>
      </c>
      <c r="AP291" s="168" t="str">
        <f t="shared" si="199"/>
        <v>-0.356148377852436+0.0314790442656573i</v>
      </c>
      <c r="AQ291" s="98">
        <f t="shared" si="200"/>
        <v>-8.9335838708978148</v>
      </c>
      <c r="AR291" s="169">
        <f t="shared" si="201"/>
        <v>174.94889893165771</v>
      </c>
      <c r="AS291" s="168" t="str">
        <f t="shared" si="202"/>
        <v>-0.0512365562946059+0.922509635566128i</v>
      </c>
      <c r="AT291" s="190">
        <f t="shared" si="203"/>
        <v>-0.68720556020963153</v>
      </c>
      <c r="AU291" s="169">
        <f t="shared" si="204"/>
        <v>93.178964573584082</v>
      </c>
      <c r="AV291" s="225"/>
      <c r="AX291">
        <f t="shared" si="205"/>
        <v>0</v>
      </c>
      <c r="AY291">
        <f t="shared" si="206"/>
        <v>0</v>
      </c>
    </row>
    <row r="292" spans="14:51" x14ac:dyDescent="0.2">
      <c r="N292" s="170">
        <v>74</v>
      </c>
      <c r="O292" s="199">
        <f t="shared" si="207"/>
        <v>5495.4087385762541</v>
      </c>
      <c r="P292" s="189" t="str">
        <f t="shared" si="173"/>
        <v>771.276595744681</v>
      </c>
      <c r="Q292" s="160" t="str">
        <f t="shared" si="174"/>
        <v>1+305.233455557611i</v>
      </c>
      <c r="R292" s="160">
        <f t="shared" si="182"/>
        <v>305.23509364363741</v>
      </c>
      <c r="S292" s="160">
        <f t="shared" si="183"/>
        <v>1.5675201576724482</v>
      </c>
      <c r="T292" s="160" t="str">
        <f t="shared" si="175"/>
        <v>1+0.00574557092814326i</v>
      </c>
      <c r="U292" s="160">
        <f t="shared" si="184"/>
        <v>1.0000165056564267</v>
      </c>
      <c r="V292" s="160">
        <f t="shared" si="185"/>
        <v>5.7455077059272493E-3</v>
      </c>
      <c r="W292" s="98" t="str">
        <f t="shared" si="176"/>
        <v>1-0.0234794965813546i</v>
      </c>
      <c r="X292" s="160">
        <f t="shared" si="186"/>
        <v>1.0002756054006885</v>
      </c>
      <c r="Y292" s="160">
        <f t="shared" si="187"/>
        <v>-2.3475183362760235E-2</v>
      </c>
      <c r="Z292" s="98" t="str">
        <f t="shared" si="177"/>
        <v>0.987920193118392-0.160759703448438i</v>
      </c>
      <c r="AA292" s="160">
        <f t="shared" si="188"/>
        <v>1.0009145768865146</v>
      </c>
      <c r="AB292" s="160">
        <f t="shared" si="189"/>
        <v>-0.16131149278137444</v>
      </c>
      <c r="AC292" s="171" t="str">
        <f t="shared" si="190"/>
        <v>0.369522488890122-2.4980740959184i</v>
      </c>
      <c r="AD292" s="190">
        <f t="shared" si="191"/>
        <v>8.0461104078016437</v>
      </c>
      <c r="AE292" s="169">
        <f t="shared" si="192"/>
        <v>-81.585657200257216</v>
      </c>
      <c r="AF292" s="98" t="str">
        <f t="shared" si="178"/>
        <v>-0.0000119284294234592</v>
      </c>
      <c r="AG292" s="98" t="str">
        <f t="shared" si="179"/>
        <v>0.00062265553213466i</v>
      </c>
      <c r="AH292" s="98">
        <f t="shared" si="193"/>
        <v>6.2265553213465997E-4</v>
      </c>
      <c r="AI292" s="98">
        <f t="shared" si="194"/>
        <v>1.5707963267948966</v>
      </c>
      <c r="AJ292" s="98" t="str">
        <f t="shared" si="180"/>
        <v>1+0.034120829873968i</v>
      </c>
      <c r="AK292" s="98">
        <f t="shared" si="195"/>
        <v>1.000581946184963</v>
      </c>
      <c r="AL292" s="98">
        <f t="shared" si="196"/>
        <v>3.4107597606337962E-2</v>
      </c>
      <c r="AM292" s="98" t="str">
        <f t="shared" si="181"/>
        <v>1+18.6454825793111i</v>
      </c>
      <c r="AN292" s="98">
        <f t="shared" si="197"/>
        <v>18.67227947025734</v>
      </c>
      <c r="AO292" s="98">
        <f t="shared" si="198"/>
        <v>1.5172153674674367</v>
      </c>
      <c r="AP292" s="168" t="str">
        <f t="shared" si="199"/>
        <v>-0.356129737725031+0.0313087913346239i</v>
      </c>
      <c r="AQ292" s="98">
        <f t="shared" si="200"/>
        <v>-8.9343981867383579</v>
      </c>
      <c r="AR292" s="169">
        <f t="shared" si="201"/>
        <v>174.97581577610075</v>
      </c>
      <c r="AS292" s="168" t="str">
        <f t="shared" si="202"/>
        <v>-0.0533862664444014+0.901207775095225i</v>
      </c>
      <c r="AT292" s="190">
        <f t="shared" si="203"/>
        <v>-0.88828777893671818</v>
      </c>
      <c r="AU292" s="169">
        <f t="shared" si="204"/>
        <v>93.390158575843543</v>
      </c>
      <c r="AV292" s="225"/>
      <c r="AX292">
        <f t="shared" si="205"/>
        <v>0</v>
      </c>
      <c r="AY292">
        <f t="shared" si="206"/>
        <v>0</v>
      </c>
    </row>
    <row r="293" spans="14:51" x14ac:dyDescent="0.2">
      <c r="N293" s="170">
        <v>75</v>
      </c>
      <c r="O293" s="199">
        <f t="shared" si="207"/>
        <v>5623.4132519034993</v>
      </c>
      <c r="P293" s="189" t="str">
        <f t="shared" si="173"/>
        <v>771.276595744681</v>
      </c>
      <c r="Q293" s="160" t="str">
        <f t="shared" si="174"/>
        <v>1+312.343256081743i</v>
      </c>
      <c r="R293" s="160">
        <f t="shared" si="182"/>
        <v>312.34485688057248</v>
      </c>
      <c r="S293" s="160">
        <f t="shared" si="183"/>
        <v>1.5675947318707557</v>
      </c>
      <c r="T293" s="160" t="str">
        <f t="shared" si="175"/>
        <v>1+0.00587940246742102i</v>
      </c>
      <c r="U293" s="160">
        <f t="shared" si="184"/>
        <v>1.0000172835373267</v>
      </c>
      <c r="V293" s="160">
        <f t="shared" si="185"/>
        <v>5.87933472365928E-3</v>
      </c>
      <c r="W293" s="98" t="str">
        <f t="shared" si="176"/>
        <v>1-0.0240264043139801i</v>
      </c>
      <c r="X293" s="160">
        <f t="shared" si="186"/>
        <v>1.0002885924093401</v>
      </c>
      <c r="Y293" s="160">
        <f t="shared" si="187"/>
        <v>-2.4021782689001042E-2</v>
      </c>
      <c r="Z293" s="98" t="str">
        <f t="shared" si="177"/>
        <v>0.987350889359326-0.164504277979919i</v>
      </c>
      <c r="AA293" s="160">
        <f t="shared" si="188"/>
        <v>1.0009612560895385</v>
      </c>
      <c r="AB293" s="160">
        <f t="shared" si="189"/>
        <v>-0.16509526267791133</v>
      </c>
      <c r="AC293" s="171" t="str">
        <f t="shared" si="190"/>
        <v>0.369144372180356-2.43992772787699i</v>
      </c>
      <c r="AD293" s="190">
        <f t="shared" si="191"/>
        <v>7.8458269636738613</v>
      </c>
      <c r="AE293" s="169">
        <f t="shared" si="192"/>
        <v>-81.396786052538019</v>
      </c>
      <c r="AF293" s="98" t="str">
        <f t="shared" si="178"/>
        <v>-0.0000119284294234592</v>
      </c>
      <c r="AG293" s="98" t="str">
        <f t="shared" si="179"/>
        <v>0.000637159042638241i</v>
      </c>
      <c r="AH293" s="98">
        <f t="shared" si="193"/>
        <v>6.3715904263824102E-4</v>
      </c>
      <c r="AI293" s="98">
        <f t="shared" si="194"/>
        <v>1.5707963267948966</v>
      </c>
      <c r="AJ293" s="98" t="str">
        <f t="shared" si="180"/>
        <v>1+0.0349156061008353i</v>
      </c>
      <c r="AK293" s="98">
        <f t="shared" si="195"/>
        <v>1.0006093641123837</v>
      </c>
      <c r="AL293" s="98">
        <f t="shared" si="196"/>
        <v>3.4901427936925841E-2</v>
      </c>
      <c r="AM293" s="98" t="str">
        <f t="shared" si="181"/>
        <v>1+19.0797916611019i</v>
      </c>
      <c r="AN293" s="98">
        <f t="shared" si="197"/>
        <v>19.105979426113009</v>
      </c>
      <c r="AO293" s="98">
        <f t="shared" si="198"/>
        <v>1.5184327648777727</v>
      </c>
      <c r="AP293" s="168" t="str">
        <f t="shared" si="199"/>
        <v>-0.356110221206649+0.031155078847219i</v>
      </c>
      <c r="AQ293" s="98">
        <f t="shared" si="200"/>
        <v>-8.9351968568402391</v>
      </c>
      <c r="AR293" s="169">
        <f t="shared" si="201"/>
        <v>175.000084382111</v>
      </c>
      <c r="AS293" s="168" t="str">
        <f t="shared" si="202"/>
        <v>-0.0554399432908126+0.880383924923798i</v>
      </c>
      <c r="AT293" s="190">
        <f t="shared" si="203"/>
        <v>-1.0893698931663738</v>
      </c>
      <c r="AU293" s="169">
        <f t="shared" si="204"/>
        <v>93.603298329572993</v>
      </c>
      <c r="AV293" s="225"/>
      <c r="AX293">
        <f t="shared" si="205"/>
        <v>0</v>
      </c>
      <c r="AY293">
        <f t="shared" si="206"/>
        <v>0</v>
      </c>
    </row>
    <row r="294" spans="14:51" x14ac:dyDescent="0.2">
      <c r="N294" s="170">
        <v>76</v>
      </c>
      <c r="O294" s="199">
        <f t="shared" si="207"/>
        <v>5754.399373371567</v>
      </c>
      <c r="P294" s="189" t="str">
        <f t="shared" si="173"/>
        <v>771.276595744681</v>
      </c>
      <c r="Q294" s="160" t="str">
        <f t="shared" si="174"/>
        <v>1+319.6186651346i</v>
      </c>
      <c r="R294" s="160">
        <f t="shared" si="182"/>
        <v>319.62022949497981</v>
      </c>
      <c r="S294" s="160">
        <f t="shared" si="183"/>
        <v>1.5676676085874743</v>
      </c>
      <c r="T294" s="160" t="str">
        <f t="shared" si="175"/>
        <v>1+0.00601635134371009i</v>
      </c>
      <c r="U294" s="160">
        <f t="shared" si="184"/>
        <v>1.0000180980779754</v>
      </c>
      <c r="V294" s="160">
        <f t="shared" si="185"/>
        <v>6.0162787550325277E-3</v>
      </c>
      <c r="W294" s="98" t="str">
        <f t="shared" si="176"/>
        <v>1-0.0245860511641998i</v>
      </c>
      <c r="X294" s="160">
        <f t="shared" si="186"/>
        <v>1.0003021912961345</v>
      </c>
      <c r="Y294" s="160">
        <f t="shared" si="187"/>
        <v>-2.4581099084609471E-2</v>
      </c>
      <c r="Z294" s="98" t="str">
        <f t="shared" si="177"/>
        <v>0.986754755140696-0.168336074857056i</v>
      </c>
      <c r="AA294" s="160">
        <f t="shared" si="188"/>
        <v>1.0010104799107025</v>
      </c>
      <c r="AB294" s="160">
        <f t="shared" si="189"/>
        <v>-0.16896902526916122</v>
      </c>
      <c r="AC294" s="171" t="str">
        <f t="shared" si="190"/>
        <v>0.368782497757106-2.38307351436786i</v>
      </c>
      <c r="AD294" s="190">
        <f t="shared" si="191"/>
        <v>7.6455269940729664</v>
      </c>
      <c r="AE294" s="169">
        <f t="shared" si="192"/>
        <v>-81.203211487370098</v>
      </c>
      <c r="AF294" s="98" t="str">
        <f t="shared" si="178"/>
        <v>-0.0000119284294234592</v>
      </c>
      <c r="AG294" s="98" t="str">
        <f t="shared" si="179"/>
        <v>0.000652000383300025i</v>
      </c>
      <c r="AH294" s="98">
        <f t="shared" si="193"/>
        <v>6.5200038330002499E-4</v>
      </c>
      <c r="AI294" s="98">
        <f t="shared" si="194"/>
        <v>1.5707963267948966</v>
      </c>
      <c r="AJ294" s="98" t="str">
        <f t="shared" si="180"/>
        <v>1+0.0357288950442198i</v>
      </c>
      <c r="AK294" s="98">
        <f t="shared" si="195"/>
        <v>1.0006380734017075</v>
      </c>
      <c r="AL294" s="98">
        <f t="shared" si="196"/>
        <v>3.5713703391042462E-2</v>
      </c>
      <c r="AM294" s="98" t="str">
        <f t="shared" si="181"/>
        <v>1+19.5242171009823i</v>
      </c>
      <c r="AN294" s="98">
        <f t="shared" si="197"/>
        <v>19.549809549105319</v>
      </c>
      <c r="AO294" s="98">
        <f t="shared" si="198"/>
        <v>1.5196226010745302</v>
      </c>
      <c r="AP294" s="168" t="str">
        <f t="shared" si="199"/>
        <v>-0.356089787195631+0.0310178210301736i</v>
      </c>
      <c r="AQ294" s="98">
        <f t="shared" si="200"/>
        <v>-8.9359815634958011</v>
      </c>
      <c r="AR294" s="169">
        <f t="shared" si="201"/>
        <v>175.02171701917413</v>
      </c>
      <c r="AS294" s="168" t="str">
        <f t="shared" si="202"/>
        <v>-0.057401933377392+0.860026970117286i</v>
      </c>
      <c r="AT294" s="190">
        <f t="shared" si="203"/>
        <v>-1.2904545694228344</v>
      </c>
      <c r="AU294" s="169">
        <f t="shared" si="204"/>
        <v>93.81850553180405</v>
      </c>
      <c r="AV294" s="225"/>
      <c r="AX294">
        <f t="shared" si="205"/>
        <v>0</v>
      </c>
      <c r="AY294">
        <f t="shared" si="206"/>
        <v>0</v>
      </c>
    </row>
    <row r="295" spans="14:51" x14ac:dyDescent="0.2">
      <c r="N295" s="170">
        <v>77</v>
      </c>
      <c r="O295" s="199">
        <f t="shared" si="207"/>
        <v>5888.4365535558973</v>
      </c>
      <c r="P295" s="189" t="str">
        <f t="shared" si="173"/>
        <v>771.276595744681</v>
      </c>
      <c r="Q295" s="160" t="str">
        <f t="shared" si="174"/>
        <v>1+327.063540234366i</v>
      </c>
      <c r="R295" s="160">
        <f t="shared" si="182"/>
        <v>327.06506898572451</v>
      </c>
      <c r="S295" s="160">
        <f t="shared" si="183"/>
        <v>1.5677388264597056</v>
      </c>
      <c r="T295" s="160" t="str">
        <f t="shared" si="175"/>
        <v>1+0.00615649016911745i</v>
      </c>
      <c r="U295" s="160">
        <f t="shared" si="184"/>
        <v>1.0000189510060309</v>
      </c>
      <c r="V295" s="160">
        <f t="shared" si="185"/>
        <v>6.1564123890277076E-3</v>
      </c>
      <c r="W295" s="98" t="str">
        <f t="shared" si="176"/>
        <v>1-0.0251587338641818i</v>
      </c>
      <c r="X295" s="160">
        <f t="shared" si="186"/>
        <v>1.0003164308805732</v>
      </c>
      <c r="Y295" s="160">
        <f t="shared" si="187"/>
        <v>-2.5153427705951026E-2</v>
      </c>
      <c r="Z295" s="98" t="str">
        <f t="shared" si="177"/>
        <v>0.986130525981899-0.172257125749274i</v>
      </c>
      <c r="AA295" s="160">
        <f t="shared" si="188"/>
        <v>1.0010624014739231</v>
      </c>
      <c r="AB295" s="160">
        <f t="shared" si="189"/>
        <v>-0.1729350063210715</v>
      </c>
      <c r="AC295" s="171" t="str">
        <f t="shared" si="190"/>
        <v>0.368436062900807-2.3274812195193i</v>
      </c>
      <c r="AD295" s="190">
        <f t="shared" si="191"/>
        <v>7.445209442930266</v>
      </c>
      <c r="AE295" s="169">
        <f t="shared" si="192"/>
        <v>-81.004820943673209</v>
      </c>
      <c r="AF295" s="98" t="str">
        <f t="shared" si="178"/>
        <v>-0.0000119284294234592</v>
      </c>
      <c r="AG295" s="98" t="str">
        <f t="shared" si="179"/>
        <v>0.000667187423195283i</v>
      </c>
      <c r="AH295" s="98">
        <f t="shared" si="193"/>
        <v>6.6718742319528304E-4</v>
      </c>
      <c r="AI295" s="98">
        <f t="shared" si="194"/>
        <v>1.5707963267948966</v>
      </c>
      <c r="AJ295" s="98" t="str">
        <f t="shared" si="180"/>
        <v>1+0.0365611279206848i</v>
      </c>
      <c r="AK295" s="98">
        <f t="shared" si="195"/>
        <v>1.0006681348353372</v>
      </c>
      <c r="AL295" s="98">
        <f t="shared" si="196"/>
        <v>3.6544850357977741E-2</v>
      </c>
      <c r="AM295" s="98" t="str">
        <f t="shared" si="181"/>
        <v>1+19.9789945392033i</v>
      </c>
      <c r="AN295" s="98">
        <f t="shared" si="197"/>
        <v>20.004005168903433</v>
      </c>
      <c r="AO295" s="98">
        <f t="shared" si="198"/>
        <v>1.5207854934412586</v>
      </c>
      <c r="AP295" s="168" t="str">
        <f t="shared" si="199"/>
        <v>-0.35606839267263+0.0308969405303952i</v>
      </c>
      <c r="AQ295" s="98">
        <f t="shared" si="200"/>
        <v>-8.9367539600814876</v>
      </c>
      <c r="AR295" s="169">
        <f t="shared" si="201"/>
        <v>175.04072463045517</v>
      </c>
      <c r="AS295" s="168" t="str">
        <f t="shared" si="202"/>
        <v>-0.0592763878946228+0.840126043934669i</v>
      </c>
      <c r="AT295" s="190">
        <f t="shared" si="203"/>
        <v>-1.4915445171512209</v>
      </c>
      <c r="AU295" s="169">
        <f t="shared" si="204"/>
        <v>94.035903686781992</v>
      </c>
      <c r="AV295" s="225"/>
      <c r="AX295">
        <f t="shared" si="205"/>
        <v>0</v>
      </c>
      <c r="AY295">
        <f t="shared" si="206"/>
        <v>0</v>
      </c>
    </row>
    <row r="296" spans="14:51" x14ac:dyDescent="0.2">
      <c r="N296" s="170">
        <v>78</v>
      </c>
      <c r="O296" s="199">
        <f t="shared" si="207"/>
        <v>6025.595860743585</v>
      </c>
      <c r="P296" s="189" t="str">
        <f t="shared" si="173"/>
        <v>771.276595744681</v>
      </c>
      <c r="Q296" s="160" t="str">
        <f t="shared" si="174"/>
        <v>1+334.681828752361i</v>
      </c>
      <c r="R296" s="160">
        <f t="shared" si="182"/>
        <v>334.68332270524729</v>
      </c>
      <c r="S296" s="160">
        <f t="shared" si="183"/>
        <v>1.5678084232452172</v>
      </c>
      <c r="T296" s="160" t="str">
        <f t="shared" si="175"/>
        <v>1+0.00629989324710324i</v>
      </c>
      <c r="U296" s="160">
        <f t="shared" si="184"/>
        <v>1.0000198441305677</v>
      </c>
      <c r="V296" s="160">
        <f t="shared" si="185"/>
        <v>6.2998099043248389E-3</v>
      </c>
      <c r="W296" s="98" t="str">
        <f t="shared" si="176"/>
        <v>1-0.0257447560578738i</v>
      </c>
      <c r="X296" s="160">
        <f t="shared" si="186"/>
        <v>1.0003313413386985</v>
      </c>
      <c r="Y296" s="160">
        <f t="shared" si="187"/>
        <v>-2.5739070508601115E-2</v>
      </c>
      <c r="Z296" s="98" t="str">
        <f t="shared" si="177"/>
        <v>0.985476877809196-0.176269509649657i</v>
      </c>
      <c r="AA296" s="160">
        <f t="shared" si="188"/>
        <v>1.0011171843139501</v>
      </c>
      <c r="AB296" s="160">
        <f t="shared" si="189"/>
        <v>-0.17699549230797812</v>
      </c>
      <c r="AC296" s="171" t="str">
        <f t="shared" si="190"/>
        <v>0.36810429426279-2.27312126946439i</v>
      </c>
      <c r="AD296" s="190">
        <f t="shared" si="191"/>
        <v>7.2448731765780616</v>
      </c>
      <c r="AE296" s="169">
        <f t="shared" si="192"/>
        <v>-80.801498624403777</v>
      </c>
      <c r="AF296" s="98" t="str">
        <f t="shared" si="178"/>
        <v>-0.0000119284294234592</v>
      </c>
      <c r="AG296" s="98" t="str">
        <f t="shared" si="179"/>
        <v>0.000682728214693587i</v>
      </c>
      <c r="AH296" s="98">
        <f t="shared" si="193"/>
        <v>6.8272821469358698E-4</v>
      </c>
      <c r="AI296" s="98">
        <f t="shared" si="194"/>
        <v>1.5707963267948966</v>
      </c>
      <c r="AJ296" s="98" t="str">
        <f t="shared" si="180"/>
        <v>1+0.037412745991117i</v>
      </c>
      <c r="AK296" s="98">
        <f t="shared" si="195"/>
        <v>1.0006996120527858</v>
      </c>
      <c r="AL296" s="98">
        <f t="shared" si="196"/>
        <v>3.7395304926946087E-2</v>
      </c>
      <c r="AM296" s="98" t="str">
        <f t="shared" si="181"/>
        <v>1+20.4443651047822i</v>
      </c>
      <c r="AN296" s="98">
        <f t="shared" si="197"/>
        <v>20.468807110763347</v>
      </c>
      <c r="AO296" s="98">
        <f t="shared" si="198"/>
        <v>1.5219220459709322</v>
      </c>
      <c r="AP296" s="168" t="str">
        <f t="shared" si="199"/>
        <v>-0.356045992612088+0.0307923683523471i</v>
      </c>
      <c r="AQ296" s="98">
        <f t="shared" si="200"/>
        <v>-8.9375156744716158</v>
      </c>
      <c r="AR296" s="169">
        <f t="shared" si="201"/>
        <v>175.05711683613089</v>
      </c>
      <c r="AS296" s="168" t="str">
        <f t="shared" si="202"/>
        <v>-0.0610672713966649+0.820670521735119i</v>
      </c>
      <c r="AT296" s="190">
        <f t="shared" si="203"/>
        <v>-1.6926424978935528</v>
      </c>
      <c r="AU296" s="169">
        <f t="shared" si="204"/>
        <v>94.255618211727111</v>
      </c>
      <c r="AV296" s="225"/>
      <c r="AX296">
        <f t="shared" si="205"/>
        <v>0</v>
      </c>
      <c r="AY296">
        <f t="shared" si="206"/>
        <v>0</v>
      </c>
    </row>
    <row r="297" spans="14:51" x14ac:dyDescent="0.2">
      <c r="N297" s="170">
        <v>79</v>
      </c>
      <c r="O297" s="199">
        <f t="shared" si="207"/>
        <v>6165.9500186148289</v>
      </c>
      <c r="P297" s="189" t="str">
        <f t="shared" si="173"/>
        <v>771.276595744681</v>
      </c>
      <c r="Q297" s="160" t="str">
        <f t="shared" si="174"/>
        <v>1+342.477570005998i</v>
      </c>
      <c r="R297" s="160">
        <f t="shared" si="182"/>
        <v>342.47902995251155</v>
      </c>
      <c r="S297" s="160">
        <f t="shared" si="183"/>
        <v>1.5678764358424473</v>
      </c>
      <c r="T297" s="160" t="str">
        <f t="shared" si="175"/>
        <v>1+0.0064466366118776i</v>
      </c>
      <c r="U297" s="160">
        <f t="shared" si="184"/>
        <v>1.0000207793459122</v>
      </c>
      <c r="V297" s="160">
        <f t="shared" si="185"/>
        <v>6.4465473085818115E-3</v>
      </c>
      <c r="W297" s="98" t="str">
        <f t="shared" si="176"/>
        <v>1-0.0263444284619998i</v>
      </c>
      <c r="X297" s="160">
        <f t="shared" si="186"/>
        <v>1.000346954266863</v>
      </c>
      <c r="Y297" s="160">
        <f t="shared" si="187"/>
        <v>-2.6338336400306781E-2</v>
      </c>
      <c r="Z297" s="98" t="str">
        <f t="shared" si="177"/>
        <v>0.984792424147177-0.180375353977258i</v>
      </c>
      <c r="AA297" s="160">
        <f t="shared" si="188"/>
        <v>1.0011750031738182</v>
      </c>
      <c r="AB297" s="160">
        <f t="shared" si="189"/>
        <v>-0.18115283241081284</v>
      </c>
      <c r="AC297" s="171" t="str">
        <f t="shared" si="190"/>
        <v>0.367786445902908-2.21996473627226i</v>
      </c>
      <c r="AD297" s="190">
        <f t="shared" si="191"/>
        <v>7.0445169774868521</v>
      </c>
      <c r="AE297" s="169">
        <f t="shared" si="192"/>
        <v>-80.593125389726154</v>
      </c>
      <c r="AF297" s="98" t="str">
        <f t="shared" si="178"/>
        <v>-0.0000119284294234592</v>
      </c>
      <c r="AG297" s="98" t="str">
        <f t="shared" si="179"/>
        <v>0.000698630997728297i</v>
      </c>
      <c r="AH297" s="98">
        <f t="shared" si="193"/>
        <v>6.9863099772829701E-4</v>
      </c>
      <c r="AI297" s="98">
        <f t="shared" si="194"/>
        <v>1.5707963267948966</v>
      </c>
      <c r="AJ297" s="98" t="str">
        <f t="shared" si="180"/>
        <v>1+0.0382842007946899i</v>
      </c>
      <c r="AK297" s="98">
        <f t="shared" si="195"/>
        <v>1.0007325716846076</v>
      </c>
      <c r="AL297" s="98">
        <f t="shared" si="196"/>
        <v>3.8265513096521431E-2</v>
      </c>
      <c r="AM297" s="98" t="str">
        <f t="shared" si="181"/>
        <v>1+20.9205755433528i</v>
      </c>
      <c r="AN297" s="98">
        <f t="shared" si="197"/>
        <v>20.944461823239365</v>
      </c>
      <c r="AO297" s="98">
        <f t="shared" si="198"/>
        <v>1.5230328495269254</v>
      </c>
      <c r="AP297" s="168" t="str">
        <f t="shared" si="199"/>
        <v>-0.356022539889735+0.0307040437983317i</v>
      </c>
      <c r="AQ297" s="98">
        <f t="shared" si="200"/>
        <v>-8.9382683124027906</v>
      </c>
      <c r="AR297" s="169">
        <f t="shared" si="201"/>
        <v>175.07090193634295</v>
      </c>
      <c r="AS297" s="168" t="str">
        <f t="shared" si="202"/>
        <v>-0.0627783701141165+0.801650015016731i</v>
      </c>
      <c r="AT297" s="190">
        <f t="shared" si="203"/>
        <v>-1.8937513349159438</v>
      </c>
      <c r="AU297" s="169">
        <f t="shared" si="204"/>
        <v>94.477776546616795</v>
      </c>
      <c r="AV297" s="225"/>
      <c r="AX297">
        <f t="shared" si="205"/>
        <v>0</v>
      </c>
      <c r="AY297">
        <f t="shared" si="206"/>
        <v>0</v>
      </c>
    </row>
    <row r="298" spans="14:51" x14ac:dyDescent="0.2">
      <c r="N298" s="170">
        <v>80</v>
      </c>
      <c r="O298" s="199">
        <f t="shared" si="207"/>
        <v>6309.5734448019384</v>
      </c>
      <c r="P298" s="189" t="str">
        <f t="shared" si="173"/>
        <v>771.276595744681</v>
      </c>
      <c r="Q298" s="160" t="str">
        <f t="shared" si="174"/>
        <v>1+350.454897400479i</v>
      </c>
      <c r="R298" s="160">
        <f t="shared" si="182"/>
        <v>350.45632411468944</v>
      </c>
      <c r="S298" s="160">
        <f t="shared" si="183"/>
        <v>1.5679429003100569</v>
      </c>
      <c r="T298" s="160" t="str">
        <f t="shared" si="175"/>
        <v>1+0.00659679806871488i</v>
      </c>
      <c r="U298" s="160">
        <f t="shared" si="184"/>
        <v>1.0000217586356606</v>
      </c>
      <c r="V298" s="160">
        <f t="shared" si="185"/>
        <v>6.5967023786218703E-3</v>
      </c>
      <c r="W298" s="98" t="str">
        <f t="shared" si="176"/>
        <v>1-0.026958069030806i</v>
      </c>
      <c r="X298" s="160">
        <f t="shared" si="186"/>
        <v>1.0003633027484913</v>
      </c>
      <c r="Y298" s="160">
        <f t="shared" si="187"/>
        <v>-2.6951541397124891E-2</v>
      </c>
      <c r="Z298" s="98" t="str">
        <f t="shared" si="177"/>
        <v>0.98407571317786-0.184576835705089i</v>
      </c>
      <c r="AA298" s="160">
        <f t="shared" si="188"/>
        <v>1.0012360448692492</v>
      </c>
      <c r="AB298" s="160">
        <f t="shared" si="189"/>
        <v>-0.18540944059745443</v>
      </c>
      <c r="AC298" s="171" t="str">
        <f t="shared" si="190"/>
        <v>0.367481797354757-2.1679833221962i</v>
      </c>
      <c r="AD298" s="190">
        <f t="shared" si="191"/>
        <v>6.8441395374574698</v>
      </c>
      <c r="AE298" s="169">
        <f t="shared" si="192"/>
        <v>-80.379578645580608</v>
      </c>
      <c r="AF298" s="98" t="str">
        <f t="shared" si="178"/>
        <v>-0.0000119284294234592</v>
      </c>
      <c r="AG298" s="98" t="str">
        <f t="shared" si="179"/>
        <v>0.000714904204165478i</v>
      </c>
      <c r="AH298" s="98">
        <f t="shared" si="193"/>
        <v>7.1490420416547797E-4</v>
      </c>
      <c r="AI298" s="98">
        <f t="shared" si="194"/>
        <v>1.5707963267948966</v>
      </c>
      <c r="AJ298" s="98" t="str">
        <f t="shared" si="180"/>
        <v>1+0.0391759543882754i</v>
      </c>
      <c r="AK298" s="98">
        <f t="shared" si="195"/>
        <v>1.0007670834925739</v>
      </c>
      <c r="AL298" s="98">
        <f t="shared" si="196"/>
        <v>3.9155930987778698E-2</v>
      </c>
      <c r="AM298" s="98" t="str">
        <f t="shared" si="181"/>
        <v>1+21.407878347993i</v>
      </c>
      <c r="AN298" s="98">
        <f t="shared" si="197"/>
        <v>21.43122150887503</v>
      </c>
      <c r="AO298" s="98">
        <f t="shared" si="198"/>
        <v>1.5241184821009288</v>
      </c>
      <c r="AP298" s="168" t="str">
        <f t="shared" si="199"/>
        <v>-0.355997985185906+0.0306319144115412i</v>
      </c>
      <c r="AQ298" s="98">
        <f t="shared" si="200"/>
        <v>-8.9390134607961294</v>
      </c>
      <c r="AR298" s="169">
        <f t="shared" si="201"/>
        <v>175.08208691376328</v>
      </c>
      <c r="AS298" s="168" t="str">
        <f t="shared" si="202"/>
        <v>-0.0644132998796261+0.783054365582864i</v>
      </c>
      <c r="AT298" s="190">
        <f t="shared" si="203"/>
        <v>-2.0948739233386631</v>
      </c>
      <c r="AU298" s="169">
        <f t="shared" si="204"/>
        <v>94.702508268182669</v>
      </c>
      <c r="AV298" s="225"/>
      <c r="AX298">
        <f t="shared" si="205"/>
        <v>0</v>
      </c>
      <c r="AY298">
        <f t="shared" si="206"/>
        <v>0</v>
      </c>
    </row>
    <row r="299" spans="14:51" x14ac:dyDescent="0.2">
      <c r="N299" s="170">
        <v>81</v>
      </c>
      <c r="O299" s="199">
        <f t="shared" si="207"/>
        <v>6456.5422903465615</v>
      </c>
      <c r="P299" s="189" t="str">
        <f t="shared" si="173"/>
        <v>771.276595744681</v>
      </c>
      <c r="Q299" s="160" t="str">
        <f t="shared" si="174"/>
        <v>1+358.618040620382i</v>
      </c>
      <c r="R299" s="160">
        <f t="shared" si="182"/>
        <v>358.61943485873979</v>
      </c>
      <c r="S299" s="160">
        <f t="shared" si="183"/>
        <v>1.5680078518860363</v>
      </c>
      <c r="T299" s="160" t="str">
        <f t="shared" si="175"/>
        <v>1+0.00675045723520717i</v>
      </c>
      <c r="U299" s="160">
        <f t="shared" si="184"/>
        <v>1.0000227840768852</v>
      </c>
      <c r="V299" s="160">
        <f t="shared" si="185"/>
        <v>6.7503547015513587E-3</v>
      </c>
      <c r="W299" s="98" t="str">
        <f t="shared" si="176"/>
        <v>1-0.0275860031246446i</v>
      </c>
      <c r="X299" s="160">
        <f t="shared" si="186"/>
        <v>1.0003804214239667</v>
      </c>
      <c r="Y299" s="160">
        <f t="shared" si="187"/>
        <v>-2.7579008782784787E-2</v>
      </c>
      <c r="Z299" s="98" t="str">
        <f t="shared" si="177"/>
        <v>0.983325224661187-0.188876182514374i</v>
      </c>
      <c r="AA299" s="160">
        <f t="shared" si="188"/>
        <v>1.001300509225965</v>
      </c>
      <c r="AB299" s="160">
        <f t="shared" si="189"/>
        <v>-0.18976779778889533</v>
      </c>
      <c r="AC299" s="171" t="str">
        <f t="shared" si="190"/>
        <v>0.367189651711462-2.11714934422963i</v>
      </c>
      <c r="AD299" s="190">
        <f t="shared" si="191"/>
        <v>6.6437394502193765</v>
      </c>
      <c r="AE299" s="169">
        <f t="shared" si="192"/>
        <v>-80.160732227441059</v>
      </c>
      <c r="AF299" s="98" t="str">
        <f t="shared" si="178"/>
        <v>-0.0000119284294234592</v>
      </c>
      <c r="AG299" s="98" t="str">
        <f t="shared" si="179"/>
        <v>0.000731556462274583i</v>
      </c>
      <c r="AH299" s="98">
        <f t="shared" si="193"/>
        <v>7.3155646227458305E-4</v>
      </c>
      <c r="AI299" s="98">
        <f t="shared" si="194"/>
        <v>1.5707963267948966</v>
      </c>
      <c r="AJ299" s="98" t="str">
        <f t="shared" si="180"/>
        <v>1+0.0400884795914328i</v>
      </c>
      <c r="AK299" s="98">
        <f t="shared" si="195"/>
        <v>1.0008032205163775</v>
      </c>
      <c r="AL299" s="98">
        <f t="shared" si="196"/>
        <v>4.0067025061147933E-2</v>
      </c>
      <c r="AM299" s="98" t="str">
        <f t="shared" si="181"/>
        <v>1+21.9065318931002i</v>
      </c>
      <c r="AN299" s="98">
        <f t="shared" si="197"/>
        <v>21.929344257943882</v>
      </c>
      <c r="AO299" s="98">
        <f t="shared" si="198"/>
        <v>1.5251795090676872</v>
      </c>
      <c r="AP299" s="168" t="str">
        <f t="shared" si="199"/>
        <v>-0.355972276884532+0.03057593592173i</v>
      </c>
      <c r="AQ299" s="98">
        <f t="shared" si="200"/>
        <v>-8.9397526910428322</v>
      </c>
      <c r="AR299" s="169">
        <f t="shared" si="201"/>
        <v>175.09067743576466</v>
      </c>
      <c r="AS299" s="168" t="str">
        <f t="shared" si="202"/>
        <v>-0.0659755136822696+0.764873639831867i</v>
      </c>
      <c r="AT299" s="190">
        <f t="shared" si="203"/>
        <v>-2.2960132408234588</v>
      </c>
      <c r="AU299" s="169">
        <f t="shared" si="204"/>
        <v>94.929945208323602</v>
      </c>
      <c r="AV299" s="225"/>
      <c r="AX299">
        <f t="shared" si="205"/>
        <v>0</v>
      </c>
      <c r="AY299">
        <f t="shared" si="206"/>
        <v>0</v>
      </c>
    </row>
    <row r="300" spans="14:51" x14ac:dyDescent="0.2">
      <c r="N300" s="170">
        <v>82</v>
      </c>
      <c r="O300" s="199">
        <f t="shared" si="207"/>
        <v>6606.9344800759654</v>
      </c>
      <c r="P300" s="189" t="str">
        <f t="shared" si="173"/>
        <v>771.276595744681</v>
      </c>
      <c r="Q300" s="160" t="str">
        <f t="shared" si="174"/>
        <v>1+366.971327872291i</v>
      </c>
      <c r="R300" s="160">
        <f t="shared" si="182"/>
        <v>366.97269037402839</v>
      </c>
      <c r="S300" s="160">
        <f t="shared" si="183"/>
        <v>1.5680713250063776</v>
      </c>
      <c r="T300" s="160" t="str">
        <f t="shared" si="175"/>
        <v>1+0.0069076955834784i</v>
      </c>
      <c r="U300" s="160">
        <f t="shared" si="184"/>
        <v>1.0000238578445386</v>
      </c>
      <c r="V300" s="160">
        <f t="shared" si="185"/>
        <v>6.9075857168283249E-3</v>
      </c>
      <c r="W300" s="98" t="str">
        <f t="shared" si="176"/>
        <v>1-0.0282285636824838i</v>
      </c>
      <c r="X300" s="160">
        <f t="shared" si="186"/>
        <v>1.0003983465637956</v>
      </c>
      <c r="Y300" s="160">
        <f t="shared" si="187"/>
        <v>-2.8221069271320114E-2</v>
      </c>
      <c r="Z300" s="98" t="str">
        <f t="shared" si="177"/>
        <v>0.982539366710393-0.193275673975699i</v>
      </c>
      <c r="AA300" s="160">
        <f t="shared" si="188"/>
        <v>1.0013686100964125</v>
      </c>
      <c r="AB300" s="160">
        <f t="shared" si="189"/>
        <v>-0.19423045411504766</v>
      </c>
      <c r="AC300" s="171" t="str">
        <f t="shared" si="190"/>
        <v>0.366909333724914-2.06743571896086i</v>
      </c>
      <c r="AD300" s="190">
        <f t="shared" si="191"/>
        <v>6.4433152033808883</v>
      </c>
      <c r="AE300" s="169">
        <f t="shared" si="192"/>
        <v>-79.936456279044492</v>
      </c>
      <c r="AF300" s="98" t="str">
        <f t="shared" si="178"/>
        <v>-0.0000119284294234592</v>
      </c>
      <c r="AG300" s="98" t="str">
        <f t="shared" si="179"/>
        <v>0.000748596601303281i</v>
      </c>
      <c r="AH300" s="98">
        <f t="shared" si="193"/>
        <v>7.4859660130328096E-4</v>
      </c>
      <c r="AI300" s="98">
        <f t="shared" si="194"/>
        <v>1.5707963267948966</v>
      </c>
      <c r="AJ300" s="98" t="str">
        <f t="shared" si="180"/>
        <v>1+0.0410222602371031i</v>
      </c>
      <c r="AK300" s="98">
        <f t="shared" si="195"/>
        <v>1.0008410592271686</v>
      </c>
      <c r="AL300" s="98">
        <f t="shared" si="196"/>
        <v>4.0999272336977144E-2</v>
      </c>
      <c r="AM300" s="98" t="str">
        <f t="shared" si="181"/>
        <v>1+22.4168005713842i</v>
      </c>
      <c r="AN300" s="98">
        <f t="shared" si="197"/>
        <v>22.439094185309955</v>
      </c>
      <c r="AO300" s="98">
        <f t="shared" si="198"/>
        <v>1.526216483436458</v>
      </c>
      <c r="AP300" s="168" t="str">
        <f t="shared" si="199"/>
        <v>-0.355945360967584+0.0305360721933571i</v>
      </c>
      <c r="AQ300" s="98">
        <f t="shared" si="200"/>
        <v>-8.9404875622603139</v>
      </c>
      <c r="AR300" s="169">
        <f t="shared" si="201"/>
        <v>175.09667785619089</v>
      </c>
      <c r="AS300" s="168" t="str">
        <f t="shared" si="202"/>
        <v>-0.0674683088657763+0.74709812316584i</v>
      </c>
      <c r="AT300" s="190">
        <f t="shared" si="203"/>
        <v>-2.497172358879431</v>
      </c>
      <c r="AU300" s="169">
        <f t="shared" si="204"/>
        <v>95.160221577146416</v>
      </c>
      <c r="AV300" s="225"/>
      <c r="AX300">
        <f t="shared" si="205"/>
        <v>0</v>
      </c>
      <c r="AY300">
        <f t="shared" si="206"/>
        <v>0</v>
      </c>
    </row>
    <row r="301" spans="14:51" x14ac:dyDescent="0.2">
      <c r="N301" s="170">
        <v>83</v>
      </c>
      <c r="O301" s="199">
        <f t="shared" si="207"/>
        <v>6760.8297539198229</v>
      </c>
      <c r="P301" s="189" t="str">
        <f t="shared" si="173"/>
        <v>771.276595744681</v>
      </c>
      <c r="Q301" s="160" t="str">
        <f t="shared" si="174"/>
        <v>1+375.519188179678i</v>
      </c>
      <c r="R301" s="160">
        <f t="shared" si="182"/>
        <v>375.52051966720063</v>
      </c>
      <c r="S301" s="160">
        <f t="shared" si="183"/>
        <v>1.5681333533233222</v>
      </c>
      <c r="T301" s="160" t="str">
        <f t="shared" si="175"/>
        <v>1+0.00706859648338216i</v>
      </c>
      <c r="U301" s="160">
        <f t="shared" si="184"/>
        <v>1.0000249822160669</v>
      </c>
      <c r="V301" s="160">
        <f t="shared" si="185"/>
        <v>7.0684787593044392E-3</v>
      </c>
      <c r="W301" s="98" t="str">
        <f t="shared" si="176"/>
        <v>1-0.0288860913984366i</v>
      </c>
      <c r="X301" s="160">
        <f t="shared" si="186"/>
        <v>1.0004171161452002</v>
      </c>
      <c r="Y301" s="160">
        <f t="shared" si="187"/>
        <v>-2.8878061173015675E-2</v>
      </c>
      <c r="Z301" s="98" t="str">
        <f t="shared" si="177"/>
        <v>0.981716472415405-0.197777642757673i</v>
      </c>
      <c r="AA301" s="160">
        <f t="shared" si="188"/>
        <v>1.0014405764629914</v>
      </c>
      <c r="AB301" s="160">
        <f t="shared" si="189"/>
        <v>-0.19880003126408846</v>
      </c>
      <c r="AC301" s="171" t="str">
        <f t="shared" si="190"/>
        <v>0.366640187910999-2.01881594771804i</v>
      </c>
      <c r="AD301" s="190">
        <f t="shared" si="191"/>
        <v>6.2428651696731237</v>
      </c>
      <c r="AE301" s="169">
        <f t="shared" si="192"/>
        <v>-79.706617125870807</v>
      </c>
      <c r="AF301" s="98" t="str">
        <f t="shared" si="178"/>
        <v>-0.0000119284294234592</v>
      </c>
      <c r="AG301" s="98" t="str">
        <f t="shared" si="179"/>
        <v>0.000766033656158837i</v>
      </c>
      <c r="AH301" s="98">
        <f t="shared" si="193"/>
        <v>7.6603365615883696E-4</v>
      </c>
      <c r="AI301" s="98">
        <f t="shared" si="194"/>
        <v>1.5707963267948966</v>
      </c>
      <c r="AJ301" s="98" t="str">
        <f t="shared" si="180"/>
        <v>1+0.041977791428145i</v>
      </c>
      <c r="AK301" s="98">
        <f t="shared" si="195"/>
        <v>1.0008806796882359</v>
      </c>
      <c r="AL301" s="98">
        <f t="shared" si="196"/>
        <v>4.195316061979968E-2</v>
      </c>
      <c r="AM301" s="98" t="str">
        <f t="shared" si="181"/>
        <v>1+22.9389549340527i</v>
      </c>
      <c r="AN301" s="98">
        <f t="shared" si="197"/>
        <v>22.960741570482881</v>
      </c>
      <c r="AO301" s="98">
        <f t="shared" si="198"/>
        <v>1.5272299460991012</v>
      </c>
      <c r="AP301" s="168" t="str">
        <f t="shared" si="199"/>
        <v>-0.355917180904825+0.0305122951760443i</v>
      </c>
      <c r="AQ301" s="98">
        <f t="shared" si="200"/>
        <v>-8.941219624523999</v>
      </c>
      <c r="AR301" s="169">
        <f t="shared" si="201"/>
        <v>175.10009121672172</v>
      </c>
      <c r="AS301" s="168" t="str">
        <f t="shared" si="202"/>
        <v>-0.0688948339848196+0.729718314514448i</v>
      </c>
      <c r="AT301" s="190">
        <f t="shared" si="203"/>
        <v>-2.6983544548508753</v>
      </c>
      <c r="AU301" s="169">
        <f t="shared" si="204"/>
        <v>95.393474090850916</v>
      </c>
      <c r="AV301" s="225"/>
      <c r="AX301">
        <f t="shared" si="205"/>
        <v>0</v>
      </c>
      <c r="AY301">
        <f t="shared" si="206"/>
        <v>0</v>
      </c>
    </row>
    <row r="302" spans="14:51" x14ac:dyDescent="0.2">
      <c r="N302" s="170">
        <v>84</v>
      </c>
      <c r="O302" s="199">
        <f t="shared" si="207"/>
        <v>6918.3097091893687</v>
      </c>
      <c r="P302" s="189" t="str">
        <f t="shared" si="173"/>
        <v>771.276595744681</v>
      </c>
      <c r="Q302" s="160" t="str">
        <f t="shared" si="174"/>
        <v>1+384.266153731222i</v>
      </c>
      <c r="R302" s="160">
        <f t="shared" si="182"/>
        <v>384.26745491049212</v>
      </c>
      <c r="S302" s="160">
        <f t="shared" si="183"/>
        <v>1.5681939697231946</v>
      </c>
      <c r="T302" s="160" t="str">
        <f t="shared" si="175"/>
        <v>1+0.00723324524670534i</v>
      </c>
      <c r="U302" s="160">
        <f t="shared" si="184"/>
        <v>1.0000261595762379</v>
      </c>
      <c r="V302" s="160">
        <f t="shared" si="185"/>
        <v>7.2331191032615873E-3</v>
      </c>
      <c r="W302" s="98" t="str">
        <f t="shared" si="176"/>
        <v>1-0.0295589349024016i</v>
      </c>
      <c r="X302" s="160">
        <f t="shared" si="186"/>
        <v>1.0004367699322954</v>
      </c>
      <c r="Y302" s="160">
        <f t="shared" si="187"/>
        <v>-2.9550330563712552E-2</v>
      </c>
      <c r="Z302" s="98" t="str">
        <f t="shared" si="177"/>
        <v>0.980854796307094-0.202384475863733i</v>
      </c>
      <c r="AA302" s="160">
        <f t="shared" si="188"/>
        <v>1.0015166536355093</v>
      </c>
      <c r="AB302" s="160">
        <f t="shared" si="189"/>
        <v>-0.20347922492934936</v>
      </c>
      <c r="AC302" s="171" t="str">
        <f t="shared" si="190"/>
        <v>0.366381576653122-1.97126410199597i</v>
      </c>
      <c r="AD302" s="190">
        <f t="shared" si="191"/>
        <v>6.0423875974244332</v>
      </c>
      <c r="AE302" s="169">
        <f t="shared" si="192"/>
        <v>-79.471077143145394</v>
      </c>
      <c r="AF302" s="98" t="str">
        <f t="shared" si="178"/>
        <v>-0.0000119284294234592</v>
      </c>
      <c r="AG302" s="98" t="str">
        <f t="shared" si="179"/>
        <v>0.000783876872198542i</v>
      </c>
      <c r="AH302" s="98">
        <f t="shared" si="193"/>
        <v>7.8387687219854199E-4</v>
      </c>
      <c r="AI302" s="98">
        <f t="shared" si="194"/>
        <v>1.5707963267948966</v>
      </c>
      <c r="AJ302" s="98" t="str">
        <f t="shared" si="180"/>
        <v>1+0.0429555797998439i</v>
      </c>
      <c r="AK302" s="98">
        <f t="shared" si="195"/>
        <v>1.00092216572316</v>
      </c>
      <c r="AL302" s="98">
        <f t="shared" si="196"/>
        <v>4.2929188726286392E-2</v>
      </c>
      <c r="AM302" s="98" t="str">
        <f t="shared" si="181"/>
        <v>1+23.4732718342601i</v>
      </c>
      <c r="AN302" s="98">
        <f t="shared" si="197"/>
        <v>23.494563000938502</v>
      </c>
      <c r="AO302" s="98">
        <f t="shared" si="198"/>
        <v>1.5282204260747201</v>
      </c>
      <c r="AP302" s="168" t="str">
        <f t="shared" si="199"/>
        <v>-0.355887677538625+0.0305045848571787i</v>
      </c>
      <c r="AQ302" s="98">
        <f t="shared" si="200"/>
        <v>-8.9419504220821935</v>
      </c>
      <c r="AR302" s="169">
        <f t="shared" si="201"/>
        <v>175.10091924782907</v>
      </c>
      <c r="AS302" s="168" t="str">
        <f t="shared" si="202"/>
        <v>-0.0702580953327731+0.712724920969731i</v>
      </c>
      <c r="AT302" s="190">
        <f t="shared" si="203"/>
        <v>-2.8995628246577625</v>
      </c>
      <c r="AU302" s="169">
        <f t="shared" si="204"/>
        <v>95.629842104683675</v>
      </c>
      <c r="AV302" s="225"/>
      <c r="AX302">
        <f t="shared" si="205"/>
        <v>0</v>
      </c>
      <c r="AY302">
        <f t="shared" si="206"/>
        <v>0</v>
      </c>
    </row>
    <row r="303" spans="14:51" x14ac:dyDescent="0.2">
      <c r="N303" s="170">
        <v>85</v>
      </c>
      <c r="O303" s="199">
        <f t="shared" si="207"/>
        <v>7079.4578438413828</v>
      </c>
      <c r="P303" s="189" t="str">
        <f t="shared" si="173"/>
        <v>771.276595744681</v>
      </c>
      <c r="Q303" s="160" t="str">
        <f t="shared" si="174"/>
        <v>1+393.216862283838i</v>
      </c>
      <c r="R303" s="160">
        <f t="shared" si="182"/>
        <v>393.21813384474888</v>
      </c>
      <c r="S303" s="160">
        <f t="shared" si="183"/>
        <v>1.5682532063438293</v>
      </c>
      <c r="T303" s="160" t="str">
        <f t="shared" si="175"/>
        <v>1+0.00740172917240165i</v>
      </c>
      <c r="U303" s="160">
        <f t="shared" si="184"/>
        <v>1.0000273924221983</v>
      </c>
      <c r="V303" s="160">
        <f t="shared" si="185"/>
        <v>7.4015940074664017E-3</v>
      </c>
      <c r="W303" s="98" t="str">
        <f t="shared" si="176"/>
        <v>1-0.0302474509449105i</v>
      </c>
      <c r="X303" s="160">
        <f t="shared" si="186"/>
        <v>1.0004573495600224</v>
      </c>
      <c r="Y303" s="160">
        <f t="shared" si="187"/>
        <v>-3.0238231457512667E-2</v>
      </c>
      <c r="Z303" s="98" t="str">
        <f t="shared" si="177"/>
        <v>0.979952510654909-0.207098615897771i</v>
      </c>
      <c r="AA303" s="160">
        <f t="shared" si="188"/>
        <v>1.0015971045513421</v>
      </c>
      <c r="AB303" s="160">
        <f t="shared" si="189"/>
        <v>-0.20827080735786338</v>
      </c>
      <c r="AC303" s="171" t="str">
        <f t="shared" si="190"/>
        <v>0.366132878295979-1.92475480915649i</v>
      </c>
      <c r="AD303" s="190">
        <f t="shared" si="191"/>
        <v>5.8418806001955348</v>
      </c>
      <c r="AE303" s="169">
        <f t="shared" si="192"/>
        <v>-79.229694618130694</v>
      </c>
      <c r="AF303" s="98" t="str">
        <f t="shared" si="178"/>
        <v>-0.0000119284294234592</v>
      </c>
      <c r="AG303" s="98" t="str">
        <f t="shared" si="179"/>
        <v>0.000802135710131725i</v>
      </c>
      <c r="AH303" s="98">
        <f t="shared" si="193"/>
        <v>8.0213571013172495E-4</v>
      </c>
      <c r="AI303" s="98">
        <f t="shared" si="194"/>
        <v>1.5707963267948966</v>
      </c>
      <c r="AJ303" s="98" t="str">
        <f t="shared" si="180"/>
        <v>1+0.043956143788537i</v>
      </c>
      <c r="AK303" s="98">
        <f t="shared" si="195"/>
        <v>1.0009656050917826</v>
      </c>
      <c r="AL303" s="98">
        <f t="shared" si="196"/>
        <v>4.3927866716864675E-2</v>
      </c>
      <c r="AM303" s="98" t="str">
        <f t="shared" si="181"/>
        <v>1+24.0200345738996i</v>
      </c>
      <c r="AN303" s="98">
        <f t="shared" si="197"/>
        <v>24.040841518784909</v>
      </c>
      <c r="AO303" s="98">
        <f t="shared" si="198"/>
        <v>1.5291884407507934</v>
      </c>
      <c r="AP303" s="168" t="str">
        <f t="shared" si="199"/>
        <v>-0.355856788963669+0.0305129292164907i</v>
      </c>
      <c r="AQ303" s="98">
        <f t="shared" si="200"/>
        <v>-8.9426814965593628</v>
      </c>
      <c r="AR303" s="169">
        <f t="shared" si="201"/>
        <v>175.09916236932204</v>
      </c>
      <c r="AS303" s="168" t="str">
        <f t="shared" si="202"/>
        <v>-0.0715609631535409+0.696108852528083i</v>
      </c>
      <c r="AT303" s="190">
        <f t="shared" si="203"/>
        <v>-3.1008008963638329</v>
      </c>
      <c r="AU303" s="169">
        <f t="shared" si="204"/>
        <v>95.86946775119138</v>
      </c>
      <c r="AV303" s="225"/>
      <c r="AX303">
        <f t="shared" si="205"/>
        <v>0</v>
      </c>
      <c r="AY303">
        <f t="shared" si="206"/>
        <v>0</v>
      </c>
    </row>
    <row r="304" spans="14:51" x14ac:dyDescent="0.2">
      <c r="N304" s="170">
        <v>86</v>
      </c>
      <c r="O304" s="199">
        <f t="shared" si="207"/>
        <v>7244.3596007499036</v>
      </c>
      <c r="P304" s="189" t="str">
        <f t="shared" si="173"/>
        <v>771.276595744681</v>
      </c>
      <c r="Q304" s="160" t="str">
        <f t="shared" si="174"/>
        <v>1+402.376059621679i</v>
      </c>
      <c r="R304" s="160">
        <f t="shared" si="182"/>
        <v>402.37730223842021</v>
      </c>
      <c r="S304" s="160">
        <f t="shared" si="183"/>
        <v>1.5683110945916032</v>
      </c>
      <c r="T304" s="160" t="str">
        <f t="shared" si="175"/>
        <v>1+0.00757413759287864i</v>
      </c>
      <c r="U304" s="160">
        <f t="shared" si="184"/>
        <v>1.0000286833687702</v>
      </c>
      <c r="V304" s="160">
        <f t="shared" si="185"/>
        <v>7.5739927612654906E-3</v>
      </c>
      <c r="W304" s="98" t="str">
        <f t="shared" si="176"/>
        <v>1-0.0309520045862828i</v>
      </c>
      <c r="X304" s="160">
        <f t="shared" si="186"/>
        <v>1.0004788986220094</v>
      </c>
      <c r="Y304" s="160">
        <f t="shared" si="187"/>
        <v>-3.0942125982925936E-2</v>
      </c>
      <c r="Z304" s="98" t="str">
        <f t="shared" si="177"/>
        <v>0.979007701590009-0.211922562359233i</v>
      </c>
      <c r="AA304" s="160">
        <f t="shared" si="188"/>
        <v>1.0016822111874879</v>
      </c>
      <c r="AB304" s="160">
        <f t="shared" si="189"/>
        <v>-0.21317763000471979</v>
      </c>
      <c r="AC304" s="171" t="str">
        <f t="shared" si="190"/>
        <v>0.365893485221132-1.87926323839444i</v>
      </c>
      <c r="AD304" s="190">
        <f t="shared" si="191"/>
        <v>5.6413421454992463</v>
      </c>
      <c r="AE304" s="169">
        <f t="shared" si="192"/>
        <v>-78.98232360646999</v>
      </c>
      <c r="AF304" s="98" t="str">
        <f t="shared" si="178"/>
        <v>-0.0000119284294234592</v>
      </c>
      <c r="AG304" s="98" t="str">
        <f t="shared" si="179"/>
        <v>0.00082081985103594i</v>
      </c>
      <c r="AH304" s="98">
        <f t="shared" si="193"/>
        <v>8.2081985103594005E-4</v>
      </c>
      <c r="AI304" s="98">
        <f t="shared" si="194"/>
        <v>1.5707963267948966</v>
      </c>
      <c r="AJ304" s="98" t="str">
        <f t="shared" si="180"/>
        <v>1+0.0449800139064951i</v>
      </c>
      <c r="AK304" s="98">
        <f t="shared" si="195"/>
        <v>1.0010110896743494</v>
      </c>
      <c r="AL304" s="98">
        <f t="shared" si="196"/>
        <v>4.4949716130972414E-2</v>
      </c>
      <c r="AM304" s="98" t="str">
        <f t="shared" si="181"/>
        <v>1+24.5795330538129i</v>
      </c>
      <c r="AN304" s="98">
        <f t="shared" si="197"/>
        <v>24.599866770848188</v>
      </c>
      <c r="AO304" s="98">
        <f t="shared" si="198"/>
        <v>1.5301344961207366</v>
      </c>
      <c r="AP304" s="168" t="str">
        <f t="shared" si="199"/>
        <v>-0.355824450401326+0.0305373241824223i</v>
      </c>
      <c r="AQ304" s="98">
        <f t="shared" si="200"/>
        <v>-8.9434143901545049</v>
      </c>
      <c r="AR304" s="169">
        <f t="shared" si="201"/>
        <v>175.0948196904792</v>
      </c>
      <c r="AS304" s="168" t="str">
        <f t="shared" si="202"/>
        <v>-0.0728061775492752+0.679861216935552i</v>
      </c>
      <c r="AT304" s="190">
        <f t="shared" si="203"/>
        <v>-3.3020722446552551</v>
      </c>
      <c r="AU304" s="169">
        <f t="shared" si="204"/>
        <v>96.112496084009194</v>
      </c>
      <c r="AV304" s="225"/>
      <c r="AX304">
        <f t="shared" si="205"/>
        <v>0</v>
      </c>
      <c r="AY304">
        <f t="shared" si="206"/>
        <v>0</v>
      </c>
    </row>
    <row r="305" spans="14:51" x14ac:dyDescent="0.2">
      <c r="N305" s="170">
        <v>87</v>
      </c>
      <c r="O305" s="199">
        <f t="shared" si="207"/>
        <v>7413.1024130091773</v>
      </c>
      <c r="P305" s="189" t="str">
        <f t="shared" si="173"/>
        <v>771.276595744681</v>
      </c>
      <c r="Q305" s="160" t="str">
        <f t="shared" si="174"/>
        <v>1+411.748602072407i</v>
      </c>
      <c r="R305" s="160">
        <f t="shared" si="182"/>
        <v>411.74981640382231</v>
      </c>
      <c r="S305" s="160">
        <f t="shared" si="183"/>
        <v>1.5683676651580785</v>
      </c>
      <c r="T305" s="160" t="str">
        <f t="shared" si="175"/>
        <v>1+0.00775056192136293i</v>
      </c>
      <c r="U305" s="160">
        <f t="shared" si="184"/>
        <v>1.0000300351539932</v>
      </c>
      <c r="V305" s="160">
        <f t="shared" si="185"/>
        <v>7.7504067317451658E-3</v>
      </c>
      <c r="W305" s="98" t="str">
        <f t="shared" si="176"/>
        <v>1-0.031672969390185i</v>
      </c>
      <c r="X305" s="160">
        <f t="shared" si="186"/>
        <v>1.0005014627625448</v>
      </c>
      <c r="Y305" s="160">
        <f t="shared" si="187"/>
        <v>-3.1662384562495968E-2</v>
      </c>
      <c r="Z305" s="98" t="str">
        <f t="shared" si="177"/>
        <v>0.978018365045695-0.216858872968384i</v>
      </c>
      <c r="AA305" s="160">
        <f t="shared" si="188"/>
        <v>1.0017722760946082</v>
      </c>
      <c r="AB305" s="160">
        <f t="shared" si="189"/>
        <v>-0.21820262629744519</v>
      </c>
      <c r="AC305" s="171" t="str">
        <f t="shared" si="190"/>
        <v>0.365662801895559-1.83476508696174i</v>
      </c>
      <c r="AD305" s="190">
        <f t="shared" si="191"/>
        <v>5.4407700425230487</v>
      </c>
      <c r="AE305" s="169">
        <f t="shared" si="192"/>
        <v>-78.728813782343494</v>
      </c>
      <c r="AF305" s="98" t="str">
        <f t="shared" si="178"/>
        <v>-0.0000119284294234592</v>
      </c>
      <c r="AG305" s="98" t="str">
        <f t="shared" si="179"/>
        <v>0.00083993920149001i</v>
      </c>
      <c r="AH305" s="98">
        <f t="shared" si="193"/>
        <v>8.3993920149000995E-4</v>
      </c>
      <c r="AI305" s="98">
        <f t="shared" si="194"/>
        <v>1.5707963267948966</v>
      </c>
      <c r="AJ305" s="98" t="str">
        <f t="shared" si="180"/>
        <v>1+0.0460277330232073i</v>
      </c>
      <c r="AK305" s="98">
        <f t="shared" si="195"/>
        <v>1.001058715664199</v>
      </c>
      <c r="AL305" s="98">
        <f t="shared" si="196"/>
        <v>4.5995270225908561E-2</v>
      </c>
      <c r="AM305" s="98" t="str">
        <f t="shared" si="181"/>
        <v>1+25.1520639274999i</v>
      </c>
      <c r="AN305" s="98">
        <f t="shared" si="197"/>
        <v>25.1719351622604</v>
      </c>
      <c r="AO305" s="98">
        <f t="shared" si="198"/>
        <v>1.5310590870178542</v>
      </c>
      <c r="AP305" s="168" t="str">
        <f t="shared" si="199"/>
        <v>-0.355790594068469+0.0305777735900911i</v>
      </c>
      <c r="AQ305" s="98">
        <f t="shared" si="200"/>
        <v>-8.9441506488405729</v>
      </c>
      <c r="AR305" s="169">
        <f t="shared" si="201"/>
        <v>175.08788900976779</v>
      </c>
      <c r="AS305" s="168" t="str">
        <f t="shared" si="202"/>
        <v>-0.0739963540950419+0.663973314632884i</v>
      </c>
      <c r="AT305" s="190">
        <f t="shared" si="203"/>
        <v>-3.5033806063175299</v>
      </c>
      <c r="AU305" s="169">
        <f t="shared" si="204"/>
        <v>96.359075227424285</v>
      </c>
      <c r="AV305" s="225"/>
      <c r="AX305">
        <f t="shared" si="205"/>
        <v>0</v>
      </c>
      <c r="AY305">
        <f t="shared" si="206"/>
        <v>0</v>
      </c>
    </row>
    <row r="306" spans="14:51" x14ac:dyDescent="0.2">
      <c r="N306" s="170">
        <v>88</v>
      </c>
      <c r="O306" s="199">
        <f t="shared" si="207"/>
        <v>7585.7757502918394</v>
      </c>
      <c r="P306" s="189" t="str">
        <f t="shared" si="173"/>
        <v>771.276595744681</v>
      </c>
      <c r="Q306" s="160" t="str">
        <f t="shared" si="174"/>
        <v>1+421.339459082091i</v>
      </c>
      <c r="R306" s="160">
        <f t="shared" si="182"/>
        <v>421.34064577202736</v>
      </c>
      <c r="S306" s="160">
        <f t="shared" si="183"/>
        <v>1.568422948036269</v>
      </c>
      <c r="T306" s="160" t="str">
        <f t="shared" si="175"/>
        <v>1+0.00793109570036874i</v>
      </c>
      <c r="U306" s="160">
        <f t="shared" si="184"/>
        <v>1.0000314506449326</v>
      </c>
      <c r="V306" s="160">
        <f t="shared" si="185"/>
        <v>7.9309294119797834E-3</v>
      </c>
      <c r="W306" s="98" t="str">
        <f t="shared" si="176"/>
        <v>1-0.0324107276216991i</v>
      </c>
      <c r="X306" s="160">
        <f t="shared" si="186"/>
        <v>1.0005250897728493</v>
      </c>
      <c r="Y306" s="160">
        <f t="shared" si="187"/>
        <v>-3.239938609594345E-2</v>
      </c>
      <c r="Z306" s="98" t="str">
        <f t="shared" si="177"/>
        <v>0.976982402506514-0.22191016502245i</v>
      </c>
      <c r="AA306" s="160">
        <f t="shared" si="188"/>
        <v>1.0018676240640232</v>
      </c>
      <c r="AB306" s="160">
        <f t="shared" si="189"/>
        <v>-0.22334881451466299</v>
      </c>
      <c r="AC306" s="171" t="str">
        <f t="shared" si="190"/>
        <v>0.365440242883853-1.7912365666421i</v>
      </c>
      <c r="AD306" s="190">
        <f t="shared" si="191"/>
        <v>5.2401619287637446</v>
      </c>
      <c r="AE306" s="169">
        <f t="shared" si="192"/>
        <v>-78.469010282194006</v>
      </c>
      <c r="AF306" s="98" t="str">
        <f t="shared" si="178"/>
        <v>-0.0000119284294234592</v>
      </c>
      <c r="AG306" s="98" t="str">
        <f t="shared" si="179"/>
        <v>0.000859503898826619i</v>
      </c>
      <c r="AH306" s="98">
        <f t="shared" si="193"/>
        <v>8.59503898826619E-4</v>
      </c>
      <c r="AI306" s="98">
        <f t="shared" si="194"/>
        <v>1.5707963267948966</v>
      </c>
      <c r="AJ306" s="98" t="str">
        <f t="shared" si="180"/>
        <v>1+0.0470998566532175i</v>
      </c>
      <c r="AK306" s="98">
        <f t="shared" si="195"/>
        <v>1.00110858376939</v>
      </c>
      <c r="AL306" s="98">
        <f t="shared" si="196"/>
        <v>4.7065074219231923E-2</v>
      </c>
      <c r="AM306" s="98" t="str">
        <f t="shared" si="181"/>
        <v>1+25.7379307584082i</v>
      </c>
      <c r="AN306" s="98">
        <f t="shared" si="197"/>
        <v>25.757350013629406</v>
      </c>
      <c r="AO306" s="98">
        <f t="shared" si="198"/>
        <v>1.5319626973456453</v>
      </c>
      <c r="AP306" s="168" t="str">
        <f t="shared" si="199"/>
        <v>-0.355755149040521+0.0306342891406492i</v>
      </c>
      <c r="AQ306" s="98">
        <f t="shared" si="200"/>
        <v>-8.9448918255711103</v>
      </c>
      <c r="AR306" s="169">
        <f t="shared" si="201"/>
        <v>175.078366814151</v>
      </c>
      <c r="AS306" s="168" t="str">
        <f t="shared" si="202"/>
        <v>-0.0751339891707315+0.648436633796724i</v>
      </c>
      <c r="AT306" s="190">
        <f t="shared" si="203"/>
        <v>-3.7047298968073719</v>
      </c>
      <c r="AU306" s="169">
        <f t="shared" si="204"/>
        <v>96.609356531956976</v>
      </c>
      <c r="AV306" s="225"/>
      <c r="AX306">
        <f t="shared" si="205"/>
        <v>0</v>
      </c>
      <c r="AY306">
        <f t="shared" si="206"/>
        <v>0</v>
      </c>
    </row>
    <row r="307" spans="14:51" x14ac:dyDescent="0.2">
      <c r="N307" s="170">
        <v>89</v>
      </c>
      <c r="O307" s="199">
        <f t="shared" si="207"/>
        <v>7762.4711662869322</v>
      </c>
      <c r="P307" s="189" t="str">
        <f t="shared" si="173"/>
        <v>771.276595744681</v>
      </c>
      <c r="Q307" s="160" t="str">
        <f t="shared" si="174"/>
        <v>1+431.153715850067i</v>
      </c>
      <c r="R307" s="160">
        <f t="shared" si="182"/>
        <v>431.15487552771606</v>
      </c>
      <c r="S307" s="160">
        <f t="shared" si="183"/>
        <v>1.5684769725365366</v>
      </c>
      <c r="T307" s="160" t="str">
        <f t="shared" si="175"/>
        <v>1+0.00811583465129536i</v>
      </c>
      <c r="U307" s="160">
        <f t="shared" si="184"/>
        <v>1.0000329328437576</v>
      </c>
      <c r="V307" s="160">
        <f t="shared" si="185"/>
        <v>8.1156564703932701E-3</v>
      </c>
      <c r="W307" s="98" t="str">
        <f t="shared" si="176"/>
        <v>1-0.033165670450005i</v>
      </c>
      <c r="X307" s="160">
        <f t="shared" si="186"/>
        <v>1.000549829691854</v>
      </c>
      <c r="Y307" s="160">
        <f t="shared" si="187"/>
        <v>-3.3153518146861342E-2</v>
      </c>
      <c r="Z307" s="98" t="str">
        <f t="shared" si="177"/>
        <v>0.975897616557026-0.227079116783339i</v>
      </c>
      <c r="AA307" s="160">
        <f t="shared" si="188"/>
        <v>1.0019686039396571</v>
      </c>
      <c r="AB307" s="160">
        <f t="shared" si="189"/>
        <v>-0.22861930078325043</v>
      </c>
      <c r="AC307" s="171" t="str">
        <f t="shared" si="190"/>
        <v>0.365225230814197-1.74865439046952i</v>
      </c>
      <c r="AD307" s="190">
        <f t="shared" si="191"/>
        <v>5.0395152554765748</v>
      </c>
      <c r="AE307" s="169">
        <f t="shared" si="192"/>
        <v>-78.202753541782087</v>
      </c>
      <c r="AF307" s="98" t="str">
        <f t="shared" si="178"/>
        <v>-0.0000119284294234592</v>
      </c>
      <c r="AG307" s="98" t="str">
        <f t="shared" si="179"/>
        <v>0.000879524316507267i</v>
      </c>
      <c r="AH307" s="98">
        <f t="shared" si="193"/>
        <v>8.7952431650726703E-4</v>
      </c>
      <c r="AI307" s="98">
        <f t="shared" si="194"/>
        <v>1.5707963267948966</v>
      </c>
      <c r="AJ307" s="98" t="str">
        <f t="shared" si="180"/>
        <v>1+0.0481969532506655i</v>
      </c>
      <c r="AK307" s="98">
        <f t="shared" si="195"/>
        <v>1.0011607994236724</v>
      </c>
      <c r="AL307" s="98">
        <f t="shared" si="196"/>
        <v>4.8159685534649888E-2</v>
      </c>
      <c r="AM307" s="98" t="str">
        <f t="shared" si="181"/>
        <v>1+26.3374441808864i</v>
      </c>
      <c r="AN307" s="98">
        <f t="shared" si="197"/>
        <v>26.356421721874671</v>
      </c>
      <c r="AO307" s="98">
        <f t="shared" si="198"/>
        <v>1.5328458003044323</v>
      </c>
      <c r="AP307" s="168" t="str">
        <f t="shared" si="199"/>
        <v>-0.355718041108477+0.0307068903618199i</v>
      </c>
      <c r="AQ307" s="98">
        <f t="shared" si="200"/>
        <v>-8.9456394835006652</v>
      </c>
      <c r="AR307" s="169">
        <f t="shared" si="201"/>
        <v>175.0662482779843</v>
      </c>
      <c r="AS307" s="168" t="str">
        <f t="shared" si="202"/>
        <v>-0.076221465019755+0.633242845473537i</v>
      </c>
      <c r="AT307" s="190">
        <f t="shared" si="203"/>
        <v>-3.9061242280240971</v>
      </c>
      <c r="AU307" s="169">
        <f t="shared" si="204"/>
        <v>96.863494736202213</v>
      </c>
      <c r="AV307" s="225"/>
      <c r="AX307">
        <f t="shared" si="205"/>
        <v>0</v>
      </c>
      <c r="AY307">
        <f t="shared" si="206"/>
        <v>0</v>
      </c>
    </row>
    <row r="308" spans="14:51" x14ac:dyDescent="0.2">
      <c r="N308" s="170">
        <v>90</v>
      </c>
      <c r="O308" s="199">
        <f t="shared" si="207"/>
        <v>7943.2823472428154</v>
      </c>
      <c r="P308" s="189" t="str">
        <f t="shared" si="173"/>
        <v>771.276595744681</v>
      </c>
      <c r="Q308" s="160" t="str">
        <f t="shared" si="174"/>
        <v>1+441.19657602518i</v>
      </c>
      <c r="R308" s="160">
        <f t="shared" si="182"/>
        <v>441.19770930541159</v>
      </c>
      <c r="S308" s="160">
        <f t="shared" si="183"/>
        <v>1.5685297673021237</v>
      </c>
      <c r="T308" s="160" t="str">
        <f t="shared" si="175"/>
        <v>1+0.00830487672517985i</v>
      </c>
      <c r="U308" s="160">
        <f t="shared" si="184"/>
        <v>1.0000344848941063</v>
      </c>
      <c r="V308" s="160">
        <f t="shared" si="185"/>
        <v>8.3046858012590149E-3</v>
      </c>
      <c r="W308" s="98" t="str">
        <f t="shared" si="176"/>
        <v>1-0.0339381981557829i</v>
      </c>
      <c r="X308" s="160">
        <f t="shared" si="186"/>
        <v>1.0005757349116864</v>
      </c>
      <c r="Y308" s="160">
        <f t="shared" si="187"/>
        <v>-3.3925177132992972E-2</v>
      </c>
      <c r="Z308" s="98" t="str">
        <f t="shared" si="177"/>
        <v>0.974761706220792-0.232368468897693i</v>
      </c>
      <c r="AA308" s="160">
        <f t="shared" si="188"/>
        <v>1.0020755905880192</v>
      </c>
      <c r="AB308" s="160">
        <f t="shared" si="189"/>
        <v>-0.23401728219820586</v>
      </c>
      <c r="AC308" s="171" t="str">
        <f t="shared" si="190"/>
        <v>0.365017194287725-1.70699575968401i</v>
      </c>
      <c r="AD308" s="190">
        <f t="shared" si="191"/>
        <v>4.8388272718318923</v>
      </c>
      <c r="AE308" s="169">
        <f t="shared" si="192"/>
        <v>-77.929879126329567</v>
      </c>
      <c r="AF308" s="98" t="str">
        <f t="shared" si="178"/>
        <v>-0.0000119284294234592</v>
      </c>
      <c r="AG308" s="98" t="str">
        <f t="shared" si="179"/>
        <v>0.000900011069622405i</v>
      </c>
      <c r="AH308" s="98">
        <f t="shared" si="193"/>
        <v>9.00011069622405E-4</v>
      </c>
      <c r="AI308" s="98">
        <f t="shared" si="194"/>
        <v>1.5707963267948966</v>
      </c>
      <c r="AJ308" s="98" t="str">
        <f t="shared" si="180"/>
        <v>1+0.0493196045106891i</v>
      </c>
      <c r="AK308" s="98">
        <f t="shared" si="195"/>
        <v>1.0012154730072298</v>
      </c>
      <c r="AL308" s="98">
        <f t="shared" si="196"/>
        <v>4.9279674051327937E-2</v>
      </c>
      <c r="AM308" s="98" t="str">
        <f t="shared" si="181"/>
        <v>1+26.9509220648865i</v>
      </c>
      <c r="AN308" s="98">
        <f t="shared" si="197"/>
        <v>26.969467924814275</v>
      </c>
      <c r="AO308" s="98">
        <f t="shared" si="198"/>
        <v>1.5337088586142995</v>
      </c>
      <c r="AP308" s="168" t="str">
        <f t="shared" si="199"/>
        <v>-0.355679192629689+0.0307956045693846i</v>
      </c>
      <c r="AQ308" s="98">
        <f t="shared" si="200"/>
        <v>-8.9463951992245168</v>
      </c>
      <c r="AR308" s="169">
        <f t="shared" si="201"/>
        <v>175.05152726150462</v>
      </c>
      <c r="AS308" s="168" t="str">
        <f t="shared" si="202"/>
        <v>-0.0772610545433673+0.618383798803022i</v>
      </c>
      <c r="AT308" s="190">
        <f t="shared" si="203"/>
        <v>-4.1075679273926262</v>
      </c>
      <c r="AU308" s="169">
        <f t="shared" si="204"/>
        <v>97.121648135175036</v>
      </c>
      <c r="AV308" s="225"/>
      <c r="AX308">
        <f t="shared" si="205"/>
        <v>0</v>
      </c>
      <c r="AY308">
        <f t="shared" si="206"/>
        <v>0</v>
      </c>
    </row>
    <row r="309" spans="14:51" x14ac:dyDescent="0.2">
      <c r="N309" s="170">
        <v>91</v>
      </c>
      <c r="O309" s="199">
        <f t="shared" si="207"/>
        <v>8128.3051616410066</v>
      </c>
      <c r="P309" s="189" t="str">
        <f t="shared" si="173"/>
        <v>771.276595744681</v>
      </c>
      <c r="Q309" s="160" t="str">
        <f t="shared" si="174"/>
        <v>1+451.473364464831i</v>
      </c>
      <c r="R309" s="160">
        <f t="shared" si="182"/>
        <v>451.47447194851907</v>
      </c>
      <c r="S309" s="160">
        <f t="shared" si="183"/>
        <v>1.5685813603243364</v>
      </c>
      <c r="T309" s="160" t="str">
        <f t="shared" si="175"/>
        <v>1+0.0084983221546321i</v>
      </c>
      <c r="U309" s="160">
        <f t="shared" si="184"/>
        <v>1.0000361100877528</v>
      </c>
      <c r="V309" s="160">
        <f t="shared" si="185"/>
        <v>8.4981175763640601E-3</v>
      </c>
      <c r="W309" s="98" t="str">
        <f t="shared" si="176"/>
        <v>1-0.0347287203434484i</v>
      </c>
      <c r="X309" s="160">
        <f t="shared" si="186"/>
        <v>1.0006028602880832</v>
      </c>
      <c r="Y309" s="160">
        <f t="shared" si="187"/>
        <v>-3.4714768520124797E-2</v>
      </c>
      <c r="Z309" s="98" t="str">
        <f t="shared" si="177"/>
        <v>0.973572262079696-0.237781025850018i</v>
      </c>
      <c r="AA309" s="160">
        <f t="shared" si="188"/>
        <v>1.0021889870404999</v>
      </c>
      <c r="AB309" s="160">
        <f t="shared" si="189"/>
        <v>-0.23954605006933441</v>
      </c>
      <c r="AC309" s="171" t="str">
        <f t="shared" si="190"/>
        <v>0.364815565720188-1.66623835091839i</v>
      </c>
      <c r="AD309" s="190">
        <f t="shared" si="191"/>
        <v>4.6380950076628054</v>
      </c>
      <c r="AE309" s="169">
        <f t="shared" si="192"/>
        <v>-77.65021755351674</v>
      </c>
      <c r="AF309" s="98" t="str">
        <f t="shared" si="178"/>
        <v>-0.0000119284294234592</v>
      </c>
      <c r="AG309" s="98" t="str">
        <f t="shared" si="179"/>
        <v>0.000920975020519714i</v>
      </c>
      <c r="AH309" s="98">
        <f t="shared" si="193"/>
        <v>9.2097502051971395E-4</v>
      </c>
      <c r="AI309" s="98">
        <f t="shared" si="194"/>
        <v>1.5707963267948966</v>
      </c>
      <c r="AJ309" s="98" t="str">
        <f t="shared" si="180"/>
        <v>1+0.0504684056778466i</v>
      </c>
      <c r="AK309" s="98">
        <f t="shared" si="195"/>
        <v>1.0012727200776339</v>
      </c>
      <c r="AL309" s="98">
        <f t="shared" si="196"/>
        <v>5.0425622356538018E-2</v>
      </c>
      <c r="AM309" s="98" t="str">
        <f t="shared" si="181"/>
        <v>1+27.5786896845032i</v>
      </c>
      <c r="AN309" s="98">
        <f t="shared" si="197"/>
        <v>27.596813669590976</v>
      </c>
      <c r="AO309" s="98">
        <f t="shared" si="198"/>
        <v>1.5345523247343242</v>
      </c>
      <c r="AP309" s="168" t="str">
        <f t="shared" si="199"/>
        <v>-0.355638522372139+0.0309004668293789i</v>
      </c>
      <c r="AQ309" s="98">
        <f t="shared" si="200"/>
        <v>-8.9471605660445803</v>
      </c>
      <c r="AR309" s="169">
        <f t="shared" si="201"/>
        <v>175.03419630891557</v>
      </c>
      <c r="AS309" s="168" t="str">
        <f t="shared" si="202"/>
        <v>-0.0782549258386909+0.603851516327784i</v>
      </c>
      <c r="AT309" s="190">
        <f t="shared" si="203"/>
        <v>-4.3090655583817705</v>
      </c>
      <c r="AU309" s="169">
        <f t="shared" si="204"/>
        <v>97.383978755398843</v>
      </c>
      <c r="AV309" s="225"/>
      <c r="AX309">
        <f t="shared" si="205"/>
        <v>0</v>
      </c>
      <c r="AY309">
        <f t="shared" si="206"/>
        <v>0</v>
      </c>
    </row>
    <row r="310" spans="14:51" x14ac:dyDescent="0.2">
      <c r="N310" s="170">
        <v>92</v>
      </c>
      <c r="O310" s="199">
        <f t="shared" si="207"/>
        <v>8317.6377110267094</v>
      </c>
      <c r="P310" s="189" t="str">
        <f t="shared" si="173"/>
        <v>771.276595744681</v>
      </c>
      <c r="Q310" s="160" t="str">
        <f t="shared" si="174"/>
        <v>1+461.989530058276i</v>
      </c>
      <c r="R310" s="160">
        <f t="shared" si="182"/>
        <v>461.99061233261733</v>
      </c>
      <c r="S310" s="160">
        <f t="shared" si="183"/>
        <v>1.5686317789573783</v>
      </c>
      <c r="T310" s="160" t="str">
        <f t="shared" si="175"/>
        <v>1+0.00869627350697929i</v>
      </c>
      <c r="U310" s="160">
        <f t="shared" si="184"/>
        <v>1.0000378118715854</v>
      </c>
      <c r="V310" s="160">
        <f t="shared" si="185"/>
        <v>8.6960542978632982E-3</v>
      </c>
      <c r="W310" s="98" t="str">
        <f t="shared" si="176"/>
        <v>1-0.0355376561583288i</v>
      </c>
      <c r="X310" s="160">
        <f t="shared" si="186"/>
        <v>1.0006312632559646</v>
      </c>
      <c r="Y310" s="160">
        <f t="shared" si="187"/>
        <v>-3.5522707019616344E-2</v>
      </c>
      <c r="Z310" s="98" t="str">
        <f t="shared" si="177"/>
        <v>0.972326761163242-0.243319657449652i</v>
      </c>
      <c r="AA310" s="160">
        <f t="shared" si="188"/>
        <v>1.0023092268235467</v>
      </c>
      <c r="AB310" s="160">
        <f t="shared" si="189"/>
        <v>-0.24520899329872528</v>
      </c>
      <c r="AC310" s="171" t="str">
        <f t="shared" si="190"/>
        <v>0.36461977910416-1.62636030361081i</v>
      </c>
      <c r="AD310" s="190">
        <f t="shared" si="191"/>
        <v>4.437315254678059</v>
      </c>
      <c r="AE310" s="169">
        <f t="shared" si="192"/>
        <v>-77.363594109106941</v>
      </c>
      <c r="AF310" s="98" t="str">
        <f t="shared" si="178"/>
        <v>-0.0000119284294234592</v>
      </c>
      <c r="AG310" s="98" t="str">
        <f t="shared" si="179"/>
        <v>0.000942427284563446i</v>
      </c>
      <c r="AH310" s="98">
        <f t="shared" si="193"/>
        <v>9.4242728456344596E-4</v>
      </c>
      <c r="AI310" s="98">
        <f t="shared" si="194"/>
        <v>1.5707963267948966</v>
      </c>
      <c r="AJ310" s="98" t="str">
        <f t="shared" si="180"/>
        <v>1+0.0516439658617225i</v>
      </c>
      <c r="AK310" s="98">
        <f t="shared" si="195"/>
        <v>1.0013326616114779</v>
      </c>
      <c r="AL310" s="98">
        <f t="shared" si="196"/>
        <v>5.1598126001550434E-2</v>
      </c>
      <c r="AM310" s="98" t="str">
        <f t="shared" si="181"/>
        <v>1+28.2210798904376i</v>
      </c>
      <c r="AN310" s="98">
        <f t="shared" si="197"/>
        <v>28.238791585024696</v>
      </c>
      <c r="AO310" s="98">
        <f t="shared" si="198"/>
        <v>1.5353766410780953</v>
      </c>
      <c r="AP310" s="168" t="str">
        <f t="shared" si="199"/>
        <v>-0.355595945351953+0.0310215199207428i</v>
      </c>
      <c r="AQ310" s="98">
        <f t="shared" si="200"/>
        <v>-8.947937197267585</v>
      </c>
      <c r="AR310" s="169">
        <f t="shared" si="201"/>
        <v>175.01424664607441</v>
      </c>
      <c r="AS310" s="168" t="str">
        <f t="shared" si="202"/>
        <v>-0.079205146487796+0.589638189386352i</v>
      </c>
      <c r="AT310" s="190">
        <f t="shared" si="203"/>
        <v>-4.5106219425895215</v>
      </c>
      <c r="AU310" s="169">
        <f t="shared" si="204"/>
        <v>97.65065253696747</v>
      </c>
      <c r="AV310" s="225"/>
      <c r="AX310">
        <f t="shared" si="205"/>
        <v>0</v>
      </c>
      <c r="AY310">
        <f t="shared" si="206"/>
        <v>0</v>
      </c>
    </row>
    <row r="311" spans="14:51" x14ac:dyDescent="0.2">
      <c r="N311" s="170">
        <v>93</v>
      </c>
      <c r="O311" s="199">
        <f t="shared" si="207"/>
        <v>8511.3803820237772</v>
      </c>
      <c r="P311" s="189" t="str">
        <f t="shared" si="173"/>
        <v>771.276595744681</v>
      </c>
      <c r="Q311" s="160" t="str">
        <f t="shared" si="174"/>
        <v>1+472.750648615713i</v>
      </c>
      <c r="R311" s="160">
        <f t="shared" si="182"/>
        <v>472.75170625453842</v>
      </c>
      <c r="S311" s="160">
        <f t="shared" si="183"/>
        <v>1.5686810499328505</v>
      </c>
      <c r="T311" s="160" t="str">
        <f t="shared" si="175"/>
        <v>1+0.0088988357386487i</v>
      </c>
      <c r="U311" s="160">
        <f t="shared" si="184"/>
        <v>1.0000395938549149</v>
      </c>
      <c r="V311" s="160">
        <f t="shared" si="185"/>
        <v>8.8986008523512967E-3</v>
      </c>
      <c r="W311" s="98" t="str">
        <f t="shared" si="176"/>
        <v>1-0.0363654345089009i</v>
      </c>
      <c r="X311" s="160">
        <f t="shared" si="186"/>
        <v>1.0006610039503994</v>
      </c>
      <c r="Y311" s="160">
        <f t="shared" si="187"/>
        <v>-3.6349416789595121E-2</v>
      </c>
      <c r="Z311" s="98" t="str">
        <f t="shared" si="177"/>
        <v>0.971022561597-0.248987300352383i</v>
      </c>
      <c r="AA311" s="160">
        <f t="shared" si="188"/>
        <v>1.0024367764937434</v>
      </c>
      <c r="AB311" s="160">
        <f t="shared" si="189"/>
        <v>-0.25100960189282773</v>
      </c>
      <c r="AC311" s="171" t="str">
        <f t="shared" si="190"/>
        <v>0.364429267679254-1.58734020763765i</v>
      </c>
      <c r="AD311" s="190">
        <f t="shared" si="191"/>
        <v>4.2364845460006437</v>
      </c>
      <c r="AE311" s="169">
        <f t="shared" si="192"/>
        <v>-77.069828654979588</v>
      </c>
      <c r="AF311" s="98" t="str">
        <f t="shared" si="178"/>
        <v>-0.0000119284294234592</v>
      </c>
      <c r="AG311" s="98" t="str">
        <f t="shared" si="179"/>
        <v>0.000964379236027956i</v>
      </c>
      <c r="AH311" s="98">
        <f t="shared" si="193"/>
        <v>9.6437923602795599E-4</v>
      </c>
      <c r="AI311" s="98">
        <f t="shared" si="194"/>
        <v>1.5707963267948966</v>
      </c>
      <c r="AJ311" s="98" t="str">
        <f t="shared" si="180"/>
        <v>1+0.0528469083598872i</v>
      </c>
      <c r="AK311" s="98">
        <f t="shared" si="195"/>
        <v>1.0013954242571703</v>
      </c>
      <c r="AL311" s="98">
        <f t="shared" si="196"/>
        <v>5.2797793760664666E-2</v>
      </c>
      <c r="AM311" s="98" t="str">
        <f t="shared" si="181"/>
        <v>1+28.8784332864802i</v>
      </c>
      <c r="AN311" s="98">
        <f t="shared" si="197"/>
        <v>28.89574205798646</v>
      </c>
      <c r="AO311" s="98">
        <f t="shared" si="198"/>
        <v>1.5361822402255241</v>
      </c>
      <c r="AP311" s="168" t="str">
        <f t="shared" si="199"/>
        <v>-0.355551372663902+0.0311588142981537i</v>
      </c>
      <c r="AQ311" s="98">
        <f t="shared" si="200"/>
        <v>-8.9487267295415265</v>
      </c>
      <c r="AR311" s="169">
        <f t="shared" si="201"/>
        <v>174.99166817778624</v>
      </c>
      <c r="AS311" s="168" t="str">
        <f t="shared" si="202"/>
        <v>-0.0801136876044851+0.5757361735866i</v>
      </c>
      <c r="AT311" s="190">
        <f t="shared" si="203"/>
        <v>-4.7122421835408783</v>
      </c>
      <c r="AU311" s="169">
        <f t="shared" si="204"/>
        <v>97.921839522806664</v>
      </c>
      <c r="AV311" s="225"/>
      <c r="AX311">
        <f t="shared" si="205"/>
        <v>0</v>
      </c>
      <c r="AY311">
        <f t="shared" si="206"/>
        <v>0</v>
      </c>
    </row>
    <row r="312" spans="14:51" x14ac:dyDescent="0.2">
      <c r="N312" s="170">
        <v>94</v>
      </c>
      <c r="O312" s="199">
        <f t="shared" si="207"/>
        <v>8709.6358995608189</v>
      </c>
      <c r="P312" s="189" t="str">
        <f t="shared" si="173"/>
        <v>771.276595744681</v>
      </c>
      <c r="Q312" s="160" t="str">
        <f t="shared" si="174"/>
        <v>1+483.76242582464i</v>
      </c>
      <c r="R312" s="160">
        <f t="shared" si="182"/>
        <v>483.7634593887185</v>
      </c>
      <c r="S312" s="160">
        <f t="shared" si="183"/>
        <v>1.5687291993739185</v>
      </c>
      <c r="T312" s="160" t="str">
        <f t="shared" si="175"/>
        <v>1+0.00910611625081674i</v>
      </c>
      <c r="U312" s="160">
        <f t="shared" si="184"/>
        <v>1.0000414598171286</v>
      </c>
      <c r="V312" s="160">
        <f t="shared" si="185"/>
        <v>9.1058645661780818E-3</v>
      </c>
      <c r="W312" s="98" t="str">
        <f t="shared" si="176"/>
        <v>1-0.0372124942942029i</v>
      </c>
      <c r="X312" s="160">
        <f t="shared" si="186"/>
        <v>1.0006921453332169</v>
      </c>
      <c r="Y312" s="160">
        <f t="shared" si="187"/>
        <v>-3.7195331639830388E-2</v>
      </c>
      <c r="Z312" s="98" t="str">
        <f t="shared" si="177"/>
        <v>0.969656896998833-0.254786959617497i</v>
      </c>
      <c r="AA312" s="160">
        <f t="shared" si="188"/>
        <v>1.0025721383963018</v>
      </c>
      <c r="AB312" s="160">
        <f t="shared" si="189"/>
        <v>-0.25695147061262974</v>
      </c>
      <c r="AC312" s="171" t="str">
        <f t="shared" si="190"/>
        <v>0.364243461497071-1.54915709116295i</v>
      </c>
      <c r="AD312" s="190">
        <f t="shared" si="191"/>
        <v>4.035599133884447</v>
      </c>
      <c r="AE312" s="169">
        <f t="shared" si="192"/>
        <v>-76.768735429370651</v>
      </c>
      <c r="AF312" s="98" t="str">
        <f t="shared" si="178"/>
        <v>-0.0000119284294234592</v>
      </c>
      <c r="AG312" s="98" t="str">
        <f t="shared" si="179"/>
        <v>0.000986842514128474i</v>
      </c>
      <c r="AH312" s="98">
        <f t="shared" si="193"/>
        <v>9.868425141284741E-4</v>
      </c>
      <c r="AI312" s="98">
        <f t="shared" si="194"/>
        <v>1.5707963267948966</v>
      </c>
      <c r="AJ312" s="98" t="str">
        <f t="shared" si="180"/>
        <v>1+0.0540778709883758i</v>
      </c>
      <c r="AK312" s="98">
        <f t="shared" si="195"/>
        <v>1.0014611405993921</v>
      </c>
      <c r="AL312" s="98">
        <f t="shared" si="196"/>
        <v>5.4025247893249029E-2</v>
      </c>
      <c r="AM312" s="98" t="str">
        <f t="shared" si="181"/>
        <v>1+29.5510984101024i</v>
      </c>
      <c r="AN312" s="98">
        <f t="shared" si="197"/>
        <v>29.568013413882856</v>
      </c>
      <c r="AO312" s="98">
        <f t="shared" si="198"/>
        <v>1.536969545130946</v>
      </c>
      <c r="AP312" s="168" t="str">
        <f t="shared" si="199"/>
        <v>-0.355504711304599+0.0313124080547525i</v>
      </c>
      <c r="AQ312" s="98">
        <f t="shared" si="200"/>
        <v>-8.9495308262373445</v>
      </c>
      <c r="AR312" s="169">
        <f t="shared" si="201"/>
        <v>174.96644948471391</v>
      </c>
      <c r="AS312" s="168" t="str">
        <f t="shared" si="202"/>
        <v>-0.0809824276446963+0.562137984357029i</v>
      </c>
      <c r="AT312" s="190">
        <f t="shared" si="203"/>
        <v>-4.9139316923528948</v>
      </c>
      <c r="AU312" s="169">
        <f t="shared" si="204"/>
        <v>98.197714055343241</v>
      </c>
      <c r="AV312" s="225"/>
      <c r="AX312">
        <f t="shared" si="205"/>
        <v>0</v>
      </c>
      <c r="AY312">
        <f t="shared" si="206"/>
        <v>0</v>
      </c>
    </row>
    <row r="313" spans="14:51" x14ac:dyDescent="0.2">
      <c r="N313" s="170">
        <v>95</v>
      </c>
      <c r="O313" s="199">
        <f t="shared" si="207"/>
        <v>8912.5093813374679</v>
      </c>
      <c r="P313" s="189" t="str">
        <f t="shared" si="173"/>
        <v>771.276595744681</v>
      </c>
      <c r="Q313" s="160" t="str">
        <f t="shared" si="174"/>
        <v>1+495.030700275093i</v>
      </c>
      <c r="R313" s="160">
        <f t="shared" si="182"/>
        <v>495.03171031242931</v>
      </c>
      <c r="S313" s="160">
        <f t="shared" si="183"/>
        <v>1.56877625280916</v>
      </c>
      <c r="T313" s="160" t="str">
        <f t="shared" si="175"/>
        <v>1+0.00931822494635466i</v>
      </c>
      <c r="U313" s="160">
        <f t="shared" si="184"/>
        <v>1.0000434137157002</v>
      </c>
      <c r="V313" s="160">
        <f t="shared" si="185"/>
        <v>9.3179552620378126E-3</v>
      </c>
      <c r="W313" s="98" t="str">
        <f t="shared" si="176"/>
        <v>1-0.0380792846365454i</v>
      </c>
      <c r="X313" s="160">
        <f t="shared" si="186"/>
        <v>1.0007247533255241</v>
      </c>
      <c r="Y313" s="160">
        <f t="shared" si="187"/>
        <v>-3.8060895240304919E-2</v>
      </c>
      <c r="Z313" s="98" t="str">
        <f t="shared" si="177"/>
        <v>0.968226870611029-0.260721710301104i</v>
      </c>
      <c r="AA313" s="160">
        <f t="shared" si="188"/>
        <v>1.0027158536672087</v>
      </c>
      <c r="AB313" s="160">
        <f t="shared" si="189"/>
        <v>-0.26303830276513823</v>
      </c>
      <c r="AC313" s="171" t="str">
        <f t="shared" si="190"/>
        <v>0.364061784866543-1.51179040870048i</v>
      </c>
      <c r="AD313" s="190">
        <f t="shared" si="191"/>
        <v>3.8346549654441757</v>
      </c>
      <c r="AE313" s="169">
        <f t="shared" si="192"/>
        <v>-76.460122839138947</v>
      </c>
      <c r="AF313" s="98" t="str">
        <f t="shared" si="178"/>
        <v>-0.0000119284294234592</v>
      </c>
      <c r="AG313" s="98" t="str">
        <f t="shared" si="179"/>
        <v>0.00100982902919239i</v>
      </c>
      <c r="AH313" s="98">
        <f t="shared" si="193"/>
        <v>1.0098290291923901E-3</v>
      </c>
      <c r="AI313" s="98">
        <f t="shared" si="194"/>
        <v>1.5707963267948966</v>
      </c>
      <c r="AJ313" s="98" t="str">
        <f t="shared" si="180"/>
        <v>1+0.0553375064198676i</v>
      </c>
      <c r="AK313" s="98">
        <f t="shared" si="195"/>
        <v>1.0015299494357466</v>
      </c>
      <c r="AL313" s="98">
        <f t="shared" si="196"/>
        <v>5.5281124408656054E-2</v>
      </c>
      <c r="AM313" s="98" t="str">
        <f t="shared" si="181"/>
        <v>1+30.2394319172567i</v>
      </c>
      <c r="AN313" s="98">
        <f t="shared" si="197"/>
        <v>30.255962101351251</v>
      </c>
      <c r="AO313" s="98">
        <f t="shared" si="198"/>
        <v>1.5377389693275307</v>
      </c>
      <c r="AP313" s="168" t="str">
        <f t="shared" si="199"/>
        <v>-0.355455863988137+0.0314823668844616i</v>
      </c>
      <c r="AQ313" s="98">
        <f t="shared" si="200"/>
        <v>-8.950351180881615</v>
      </c>
      <c r="AR313" s="169">
        <f t="shared" si="201"/>
        <v>174.93857781991102</v>
      </c>
      <c r="AS313" s="168" t="str">
        <f t="shared" si="202"/>
        <v>-0.0818131559856816+0.548836292573388i</v>
      </c>
      <c r="AT313" s="190">
        <f t="shared" si="203"/>
        <v>-5.1156962154374463</v>
      </c>
      <c r="AU313" s="169">
        <f t="shared" si="204"/>
        <v>98.478454980772071</v>
      </c>
      <c r="AV313" s="225"/>
      <c r="AX313">
        <f t="shared" si="205"/>
        <v>0</v>
      </c>
      <c r="AY313">
        <f t="shared" si="206"/>
        <v>0</v>
      </c>
    </row>
    <row r="314" spans="14:51" x14ac:dyDescent="0.2">
      <c r="N314" s="170">
        <v>96</v>
      </c>
      <c r="O314" s="199">
        <f t="shared" si="207"/>
        <v>9120.1083935591087</v>
      </c>
      <c r="P314" s="189" t="str">
        <f t="shared" si="173"/>
        <v>771.276595744681</v>
      </c>
      <c r="Q314" s="160" t="str">
        <f t="shared" si="174"/>
        <v>1+506.561446555336i</v>
      </c>
      <c r="R314" s="160">
        <f t="shared" si="182"/>
        <v>506.56243360146095</v>
      </c>
      <c r="S314" s="160">
        <f t="shared" si="183"/>
        <v>1.5688222351860954</v>
      </c>
      <c r="T314" s="160" t="str">
        <f t="shared" si="175"/>
        <v>1+0.00953527428810043i</v>
      </c>
      <c r="U314" s="160">
        <f t="shared" si="184"/>
        <v>1.0000454596945827</v>
      </c>
      <c r="V314" s="160">
        <f t="shared" si="185"/>
        <v>9.5349853168580634E-3</v>
      </c>
      <c r="W314" s="98" t="str">
        <f t="shared" si="176"/>
        <v>1-0.0389662651196411i</v>
      </c>
      <c r="X314" s="160">
        <f t="shared" si="186"/>
        <v>1.0007588969463994</v>
      </c>
      <c r="Y314" s="160">
        <f t="shared" si="187"/>
        <v>-3.8946561333491274E-2</v>
      </c>
      <c r="Z314" s="98" t="str">
        <f t="shared" si="177"/>
        <v>0.966729449155893-0.266794699086573i</v>
      </c>
      <c r="AA314" s="160">
        <f t="shared" si="188"/>
        <v>1.0028685055010709</v>
      </c>
      <c r="AB314" s="160">
        <f t="shared" si="189"/>
        <v>-0.26927391413888585</v>
      </c>
      <c r="AC314" s="171" t="str">
        <f t="shared" si="190"/>
        <v>0.363883653664597-1.47522002938602i</v>
      </c>
      <c r="AD314" s="190">
        <f t="shared" si="191"/>
        <v>3.6336476562227964</v>
      </c>
      <c r="AE314" s="169">
        <f t="shared" si="192"/>
        <v>-76.143793243898472</v>
      </c>
      <c r="AF314" s="98" t="str">
        <f t="shared" si="178"/>
        <v>-0.0000119284294234592</v>
      </c>
      <c r="AG314" s="98" t="str">
        <f t="shared" si="179"/>
        <v>0.00103335096897425i</v>
      </c>
      <c r="AH314" s="98">
        <f t="shared" si="193"/>
        <v>1.0333509689742499E-3</v>
      </c>
      <c r="AI314" s="98">
        <f t="shared" si="194"/>
        <v>1.5707963267948966</v>
      </c>
      <c r="AJ314" s="98" t="str">
        <f t="shared" si="180"/>
        <v>1+0.0566264825297418i</v>
      </c>
      <c r="AK314" s="98">
        <f t="shared" si="195"/>
        <v>1.0016019960661475</v>
      </c>
      <c r="AL314" s="98">
        <f t="shared" si="196"/>
        <v>5.656607333385219E-2</v>
      </c>
      <c r="AM314" s="98" t="str">
        <f t="shared" si="181"/>
        <v>1+30.9437987714798i</v>
      </c>
      <c r="AN314" s="98">
        <f t="shared" si="197"/>
        <v>30.95995288125992</v>
      </c>
      <c r="AO314" s="98">
        <f t="shared" si="198"/>
        <v>1.5384909171280128</v>
      </c>
      <c r="AP314" s="168" t="str">
        <f t="shared" si="199"/>
        <v>-0.355404728953868+0.0316687640435641i</v>
      </c>
      <c r="AQ314" s="98">
        <f t="shared" si="200"/>
        <v>-8.9511895206471426</v>
      </c>
      <c r="AR314" s="169">
        <f t="shared" si="201"/>
        <v>174.9080391049892</v>
      </c>
      <c r="AS314" s="168" t="str">
        <f t="shared" si="202"/>
        <v>-0.0826075762784437+0.53582392025847i</v>
      </c>
      <c r="AT314" s="190">
        <f t="shared" si="203"/>
        <v>-5.3175418644243386</v>
      </c>
      <c r="AU314" s="169">
        <f t="shared" si="204"/>
        <v>98.764245861090714</v>
      </c>
      <c r="AV314" s="225"/>
      <c r="AX314">
        <f t="shared" si="205"/>
        <v>0</v>
      </c>
      <c r="AY314">
        <f t="shared" si="206"/>
        <v>0</v>
      </c>
    </row>
    <row r="315" spans="14:51" x14ac:dyDescent="0.2">
      <c r="N315" s="170">
        <v>97</v>
      </c>
      <c r="O315" s="199">
        <f t="shared" si="207"/>
        <v>9332.5430079699217</v>
      </c>
      <c r="P315" s="189" t="str">
        <f t="shared" si="173"/>
        <v>771.276595744681</v>
      </c>
      <c r="Q315" s="160" t="str">
        <f t="shared" si="174"/>
        <v>1+518.360778419678i</v>
      </c>
      <c r="R315" s="160">
        <f t="shared" si="182"/>
        <v>518.36174299793242</v>
      </c>
      <c r="S315" s="160">
        <f t="shared" si="183"/>
        <v>1.5688671708844111</v>
      </c>
      <c r="T315" s="160" t="str">
        <f t="shared" si="175"/>
        <v>1+0.00975737935848803i</v>
      </c>
      <c r="U315" s="160">
        <f t="shared" si="184"/>
        <v>1.0000476020929931</v>
      </c>
      <c r="V315" s="160">
        <f t="shared" si="185"/>
        <v>9.7570697210191924E-3</v>
      </c>
      <c r="W315" s="98" t="str">
        <f t="shared" si="176"/>
        <v>1-0.0398739060322827i</v>
      </c>
      <c r="X315" s="160">
        <f t="shared" si="186"/>
        <v>1.0007946484580497</v>
      </c>
      <c r="Y315" s="160">
        <f t="shared" si="187"/>
        <v>-3.9852793950340831E-2</v>
      </c>
      <c r="Z315" s="98" t="str">
        <f t="shared" si="177"/>
        <v>0.965161456401757-0.273009145952942i</v>
      </c>
      <c r="AA315" s="160">
        <f t="shared" si="188"/>
        <v>1.0030307227086892</v>
      </c>
      <c r="AB315" s="160">
        <f t="shared" si="189"/>
        <v>-0.27566223708565629</v>
      </c>
      <c r="AC315" s="171" t="str">
        <f t="shared" si="190"/>
        <v>0.363708472495809-1.43942622545806i</v>
      </c>
      <c r="AD315" s="190">
        <f t="shared" si="191"/>
        <v>3.4325724614034496</v>
      </c>
      <c r="AE315" s="169">
        <f t="shared" si="192"/>
        <v>-75.819542731893463</v>
      </c>
      <c r="AF315" s="98" t="str">
        <f t="shared" si="178"/>
        <v>-0.0000119284294234592</v>
      </c>
      <c r="AG315" s="98" t="str">
        <f t="shared" si="179"/>
        <v>0.00105742080511788i</v>
      </c>
      <c r="AH315" s="98">
        <f t="shared" si="193"/>
        <v>1.05742080511788E-3</v>
      </c>
      <c r="AI315" s="98">
        <f t="shared" si="194"/>
        <v>1.5707963267948966</v>
      </c>
      <c r="AJ315" s="98" t="str">
        <f t="shared" si="180"/>
        <v>1+0.0579454827501933i</v>
      </c>
      <c r="AK315" s="98">
        <f t="shared" si="195"/>
        <v>1.0016774325955202</v>
      </c>
      <c r="AL315" s="98">
        <f t="shared" si="196"/>
        <v>5.7880758983586175E-2</v>
      </c>
      <c r="AM315" s="98" t="str">
        <f t="shared" si="181"/>
        <v>1+31.6645724374011i</v>
      </c>
      <c r="AN315" s="98">
        <f t="shared" si="197"/>
        <v>31.680359020115628</v>
      </c>
      <c r="AO315" s="98">
        <f t="shared" si="198"/>
        <v>1.5392257838217611</v>
      </c>
      <c r="AP315" s="168" t="str">
        <f t="shared" si="199"/>
        <v>-0.355351199766025+0.0318716803112047i</v>
      </c>
      <c r="AQ315" s="98">
        <f t="shared" si="200"/>
        <v>-8.9520476099081758</v>
      </c>
      <c r="AR315" s="169">
        <f t="shared" si="201"/>
        <v>174.87481792592951</v>
      </c>
      <c r="AS315" s="168" t="str">
        <f t="shared" si="202"/>
        <v>-0.0833673095770907+0.523093836353066i</v>
      </c>
      <c r="AT315" s="190">
        <f t="shared" si="203"/>
        <v>-5.5194751485047169</v>
      </c>
      <c r="AU315" s="169">
        <f t="shared" si="204"/>
        <v>99.055275194036028</v>
      </c>
      <c r="AV315" s="225"/>
      <c r="AX315">
        <f t="shared" si="205"/>
        <v>0</v>
      </c>
      <c r="AY315">
        <f t="shared" si="206"/>
        <v>0</v>
      </c>
    </row>
    <row r="316" spans="14:51" x14ac:dyDescent="0.2">
      <c r="N316" s="170">
        <v>98</v>
      </c>
      <c r="O316" s="199">
        <f t="shared" si="207"/>
        <v>9549.9258602143691</v>
      </c>
      <c r="P316" s="189" t="str">
        <f t="shared" si="173"/>
        <v>771.276595744681</v>
      </c>
      <c r="Q316" s="160" t="str">
        <f t="shared" si="174"/>
        <v>1+530.434952030053i</v>
      </c>
      <c r="R316" s="160">
        <f t="shared" si="182"/>
        <v>530.43589465186517</v>
      </c>
      <c r="S316" s="160">
        <f t="shared" si="183"/>
        <v>1.5689110837288831</v>
      </c>
      <c r="T316" s="160" t="str">
        <f t="shared" si="175"/>
        <v>1+0.00998465792056568i</v>
      </c>
      <c r="U316" s="160">
        <f t="shared" si="184"/>
        <v>1.0000498454546107</v>
      </c>
      <c r="V316" s="160">
        <f t="shared" si="185"/>
        <v>9.9843261389333353E-3</v>
      </c>
      <c r="W316" s="98" t="str">
        <f t="shared" si="176"/>
        <v>1-0.0408026886176962i</v>
      </c>
      <c r="X316" s="160">
        <f t="shared" si="186"/>
        <v>1.0008320835177262</v>
      </c>
      <c r="Y316" s="160">
        <f t="shared" si="187"/>
        <v>-4.078006762998334E-2</v>
      </c>
      <c r="Z316" s="98" t="str">
        <f t="shared" si="177"/>
        <v>0.963519566425764-0.279368345882199i</v>
      </c>
      <c r="AA316" s="160">
        <f t="shared" si="188"/>
        <v>1.0032031835905666</v>
      </c>
      <c r="AB316" s="160">
        <f t="shared" si="189"/>
        <v>-0.28220732474994081</v>
      </c>
      <c r="AC316" s="171" t="str">
        <f t="shared" si="190"/>
        <v>0.363535631683853-1.40438966094647i</v>
      </c>
      <c r="AD316" s="190">
        <f t="shared" si="191"/>
        <v>3.2314242444577301</v>
      </c>
      <c r="AE316" s="169">
        <f t="shared" si="192"/>
        <v>-75.487160887524766</v>
      </c>
      <c r="AF316" s="98" t="str">
        <f t="shared" si="178"/>
        <v>-0.0000119284294234592</v>
      </c>
      <c r="AG316" s="98" t="str">
        <f t="shared" si="179"/>
        <v>0.00108205129976899i</v>
      </c>
      <c r="AH316" s="98">
        <f t="shared" si="193"/>
        <v>1.0820512997689899E-3</v>
      </c>
      <c r="AI316" s="98">
        <f t="shared" si="194"/>
        <v>1.5707963267948966</v>
      </c>
      <c r="AJ316" s="98" t="str">
        <f t="shared" si="180"/>
        <v>1+0.0592952064325981i</v>
      </c>
      <c r="AK316" s="98">
        <f t="shared" si="195"/>
        <v>1.0017564182504071</v>
      </c>
      <c r="AL316" s="98">
        <f t="shared" si="196"/>
        <v>5.922586023290103E-2</v>
      </c>
      <c r="AM316" s="98" t="str">
        <f t="shared" si="181"/>
        <v>1+32.4021350787588i</v>
      </c>
      <c r="AN316" s="98">
        <f t="shared" si="197"/>
        <v>32.417562487980675</v>
      </c>
      <c r="AO316" s="98">
        <f t="shared" si="198"/>
        <v>1.5399439558682131</v>
      </c>
      <c r="AP316" s="168" t="str">
        <f t="shared" si="199"/>
        <v>-0.355295165104928+0.0320912039484408i</v>
      </c>
      <c r="AQ316" s="98">
        <f t="shared" si="200"/>
        <v>-8.9529272538659335</v>
      </c>
      <c r="AR316" s="169">
        <f t="shared" si="201"/>
        <v>174.83889752855202</v>
      </c>
      <c r="AS316" s="168" t="str">
        <f t="shared" si="202"/>
        <v>-0.084093897248124+0.510639152556522i</v>
      </c>
      <c r="AT316" s="190">
        <f t="shared" si="203"/>
        <v>-5.7215030094081953</v>
      </c>
      <c r="AU316" s="169">
        <f t="shared" si="204"/>
        <v>99.351736641027216</v>
      </c>
      <c r="AV316" s="225"/>
      <c r="AX316">
        <f t="shared" si="205"/>
        <v>0</v>
      </c>
      <c r="AY316">
        <f t="shared" si="206"/>
        <v>0</v>
      </c>
    </row>
    <row r="317" spans="14:51" x14ac:dyDescent="0.2">
      <c r="N317" s="170">
        <v>99</v>
      </c>
      <c r="O317" s="199">
        <f t="shared" si="207"/>
        <v>9772.3722095581161</v>
      </c>
      <c r="P317" s="189" t="str">
        <f t="shared" si="173"/>
        <v>771.276595744681</v>
      </c>
      <c r="Q317" s="160" t="str">
        <f t="shared" si="174"/>
        <v>1+542.790369273131i</v>
      </c>
      <c r="R317" s="160">
        <f t="shared" si="182"/>
        <v>542.791290438288</v>
      </c>
      <c r="S317" s="160">
        <f t="shared" si="183"/>
        <v>1.5689539970020046</v>
      </c>
      <c r="T317" s="160" t="str">
        <f t="shared" si="175"/>
        <v>1+0.0102172304804354i</v>
      </c>
      <c r="U317" s="160">
        <f t="shared" si="184"/>
        <v>1.0000521945372103</v>
      </c>
      <c r="V317" s="160">
        <f t="shared" si="185"/>
        <v>1.0216874971013333E-2</v>
      </c>
      <c r="W317" s="98" t="str">
        <f t="shared" si="176"/>
        <v>1-0.0417531053287022i</v>
      </c>
      <c r="X317" s="160">
        <f t="shared" si="186"/>
        <v>1.0008712813367111</v>
      </c>
      <c r="Y317" s="160">
        <f t="shared" si="187"/>
        <v>-4.1728867643130725E-2</v>
      </c>
      <c r="Z317" s="98" t="str">
        <f t="shared" si="177"/>
        <v>0.961800296559142-0.285875670606321i</v>
      </c>
      <c r="AA317" s="160">
        <f t="shared" si="188"/>
        <v>1.0033866201548969</v>
      </c>
      <c r="AB317" s="160">
        <f t="shared" si="189"/>
        <v>-0.28891335544678487</v>
      </c>
      <c r="AC317" s="171" t="str">
        <f t="shared" si="190"/>
        <v>0.363364504076152-1.37009138056996i</v>
      </c>
      <c r="AD317" s="190">
        <f t="shared" si="191"/>
        <v>3.030197443004234</v>
      </c>
      <c r="AE317" s="169">
        <f t="shared" si="192"/>
        <v>-75.146430550491871</v>
      </c>
      <c r="AF317" s="98" t="str">
        <f t="shared" si="178"/>
        <v>-0.0000119284294234592</v>
      </c>
      <c r="AG317" s="98" t="str">
        <f t="shared" si="179"/>
        <v>0.00110725551234189i</v>
      </c>
      <c r="AH317" s="98">
        <f t="shared" si="193"/>
        <v>1.10725551234189E-3</v>
      </c>
      <c r="AI317" s="98">
        <f t="shared" si="194"/>
        <v>1.5707963267948966</v>
      </c>
      <c r="AJ317" s="98" t="str">
        <f t="shared" si="180"/>
        <v>1+0.0606763692183184i</v>
      </c>
      <c r="AK317" s="98">
        <f t="shared" si="195"/>
        <v>1.0018391197101049</v>
      </c>
      <c r="AL317" s="98">
        <f t="shared" si="196"/>
        <v>6.0602070791769533E-2</v>
      </c>
      <c r="AM317" s="98" t="str">
        <f t="shared" si="181"/>
        <v>1+33.1568777610283i</v>
      </c>
      <c r="AN317" s="98">
        <f t="shared" si="197"/>
        <v>33.171954161004336</v>
      </c>
      <c r="AO317" s="98">
        <f t="shared" si="198"/>
        <v>1.5406458110867005</v>
      </c>
      <c r="AP317" s="168" t="str">
        <f t="shared" si="199"/>
        <v>-0.35523650854939+0.0323274306554549i</v>
      </c>
      <c r="AQ317" s="98">
        <f t="shared" si="200"/>
        <v>-8.9538303022530492</v>
      </c>
      <c r="AR317" s="169">
        <f t="shared" si="201"/>
        <v>174.80025981365603</v>
      </c>
      <c r="AS317" s="168" t="str">
        <f t="shared" si="202"/>
        <v>-0.084788803661781+0.498453119235462i</v>
      </c>
      <c r="AT317" s="190">
        <f t="shared" si="203"/>
        <v>-5.9236328592488094</v>
      </c>
      <c r="AU317" s="169">
        <f t="shared" si="204"/>
        <v>99.65382926316417</v>
      </c>
      <c r="AV317" s="225"/>
      <c r="AX317">
        <f t="shared" si="205"/>
        <v>0</v>
      </c>
      <c r="AY317">
        <f t="shared" si="206"/>
        <v>0</v>
      </c>
    </row>
    <row r="318" spans="14:51" x14ac:dyDescent="0.2">
      <c r="N318" s="170">
        <v>100</v>
      </c>
      <c r="O318" s="199">
        <f t="shared" si="207"/>
        <v>10000</v>
      </c>
      <c r="P318" s="189" t="str">
        <f t="shared" si="173"/>
        <v>771.276595744681</v>
      </c>
      <c r="Q318" s="160" t="str">
        <f t="shared" si="174"/>
        <v>1+555.433581154678i</v>
      </c>
      <c r="R318" s="160">
        <f t="shared" si="182"/>
        <v>555.43448135159042</v>
      </c>
      <c r="S318" s="160">
        <f t="shared" si="183"/>
        <v>1.5689959334563288</v>
      </c>
      <c r="T318" s="160" t="str">
        <f t="shared" si="175"/>
        <v>1+0.0104552203511468i</v>
      </c>
      <c r="U318" s="160">
        <f t="shared" si="184"/>
        <v>1.000054654322748</v>
      </c>
      <c r="V318" s="160">
        <f t="shared" si="185"/>
        <v>1.0454839417062243E-2</v>
      </c>
      <c r="W318" s="98" t="str">
        <f t="shared" si="176"/>
        <v>1-0.0427256600888211i</v>
      </c>
      <c r="X318" s="160">
        <f t="shared" si="186"/>
        <v>1.0009123248466998</v>
      </c>
      <c r="Y318" s="160">
        <f t="shared" si="187"/>
        <v>-4.2699690219172866E-2</v>
      </c>
      <c r="Z318" s="98" t="str">
        <f t="shared" si="177"/>
        <v>0.96-0.292534570395009i</v>
      </c>
      <c r="AA318" s="160">
        <f t="shared" si="188"/>
        <v>1.0035818227111293</v>
      </c>
      <c r="AB318" s="160">
        <f t="shared" si="189"/>
        <v>-0.29578463718770553</v>
      </c>
      <c r="AC318" s="171" t="str">
        <f t="shared" si="190"/>
        <v>0.36319444164211-1.33651279884447i</v>
      </c>
      <c r="AD318" s="190">
        <f t="shared" si="191"/>
        <v>2.8288860316316273</v>
      </c>
      <c r="AE318" s="169">
        <f t="shared" si="192"/>
        <v>-74.797127566562779</v>
      </c>
      <c r="AF318" s="98" t="str">
        <f t="shared" si="178"/>
        <v>-0.0000119284294234592</v>
      </c>
      <c r="AG318" s="98" t="str">
        <f t="shared" si="179"/>
        <v>0.00113304680644369i</v>
      </c>
      <c r="AH318" s="98">
        <f t="shared" si="193"/>
        <v>1.13304680644369E-3</v>
      </c>
      <c r="AI318" s="98">
        <f t="shared" si="194"/>
        <v>1.5707963267948966</v>
      </c>
      <c r="AJ318" s="98" t="str">
        <f t="shared" si="180"/>
        <v>1+0.0620897034181448i</v>
      </c>
      <c r="AK318" s="98">
        <f t="shared" si="195"/>
        <v>1.0019257114529765</v>
      </c>
      <c r="AL318" s="98">
        <f t="shared" si="196"/>
        <v>6.201009948161177E-2</v>
      </c>
      <c r="AM318" s="98" t="str">
        <f t="shared" si="181"/>
        <v>1+33.9292006587698i</v>
      </c>
      <c r="AN318" s="98">
        <f t="shared" si="197"/>
        <v>33.943934028675358</v>
      </c>
      <c r="AO318" s="98">
        <f t="shared" si="198"/>
        <v>1.5413317188426929</v>
      </c>
      <c r="AP318" s="168" t="str">
        <f t="shared" si="199"/>
        <v>-0.355175108350133+0.0325804635265142i</v>
      </c>
      <c r="AQ318" s="98">
        <f t="shared" si="200"/>
        <v>-8.9547586531209653</v>
      </c>
      <c r="AR318" s="169">
        <f t="shared" si="201"/>
        <v>174.75888533184838</v>
      </c>
      <c r="AS318" s="168" t="str">
        <f t="shared" si="202"/>
        <v>-0.0854534186669308+0.486529121399878i</v>
      </c>
      <c r="AT318" s="190">
        <f t="shared" si="203"/>
        <v>-6.1258726214893322</v>
      </c>
      <c r="AU318" s="169">
        <f t="shared" si="204"/>
        <v>99.961757765285597</v>
      </c>
      <c r="AV318" s="225"/>
      <c r="AX318">
        <f t="shared" si="205"/>
        <v>0</v>
      </c>
      <c r="AY318">
        <f t="shared" si="206"/>
        <v>0</v>
      </c>
    </row>
    <row r="319" spans="14:51" x14ac:dyDescent="0.2">
      <c r="N319" s="170">
        <v>1</v>
      </c>
      <c r="O319" s="199">
        <f>10^(4+(N319/100))</f>
        <v>10232.929922807549</v>
      </c>
      <c r="P319" s="189" t="str">
        <f t="shared" si="173"/>
        <v>771.276595744681</v>
      </c>
      <c r="Q319" s="160" t="str">
        <f t="shared" si="174"/>
        <v>1+568.371291272985i</v>
      </c>
      <c r="R319" s="160">
        <f t="shared" si="182"/>
        <v>568.37217097894609</v>
      </c>
      <c r="S319" s="160">
        <f t="shared" si="183"/>
        <v>1.5690369153265284</v>
      </c>
      <c r="T319" s="160" t="str">
        <f t="shared" si="175"/>
        <v>1+0.0106987537180797i</v>
      </c>
      <c r="U319" s="160">
        <f t="shared" si="184"/>
        <v>1.000057230027922</v>
      </c>
      <c r="V319" s="160">
        <f t="shared" si="185"/>
        <v>1.0698345541115642E-2</v>
      </c>
      <c r="W319" s="98" t="str">
        <f t="shared" si="176"/>
        <v>1-0.0437208685594602i</v>
      </c>
      <c r="X319" s="160">
        <f t="shared" si="186"/>
        <v>1.0009553008739169</v>
      </c>
      <c r="Y319" s="160">
        <f t="shared" si="187"/>
        <v>-4.3693042776944482E-2</v>
      </c>
      <c r="Z319" s="98" t="str">
        <f t="shared" si="177"/>
        <v>0.958114858077964-0.299348575885073i</v>
      </c>
      <c r="AA319" s="160">
        <f t="shared" si="188"/>
        <v>1.0037896448729575</v>
      </c>
      <c r="AB319" s="160">
        <f t="shared" si="189"/>
        <v>-0.30282561235316441</v>
      </c>
      <c r="AC319" s="171" t="str">
        <f t="shared" si="190"/>
        <v>0.3630247718439-1.30363568940666i</v>
      </c>
      <c r="AD319" s="190">
        <f t="shared" si="191"/>
        <v>2.6274834814221149</v>
      </c>
      <c r="AE319" s="169">
        <f t="shared" si="192"/>
        <v>-74.439020530059551</v>
      </c>
      <c r="AF319" s="98" t="str">
        <f t="shared" si="178"/>
        <v>-0.0000119284294234592</v>
      </c>
      <c r="AG319" s="98" t="str">
        <f t="shared" si="179"/>
        <v>0.00115943885695992i</v>
      </c>
      <c r="AH319" s="98">
        <f t="shared" si="193"/>
        <v>1.15943885695992E-3</v>
      </c>
      <c r="AI319" s="98">
        <f t="shared" si="194"/>
        <v>1.5707963267948966</v>
      </c>
      <c r="AJ319" s="98" t="str">
        <f t="shared" si="180"/>
        <v>1+0.0635359584005779i</v>
      </c>
      <c r="AK319" s="98">
        <f t="shared" si="195"/>
        <v>1.002016376118614</v>
      </c>
      <c r="AL319" s="98">
        <f t="shared" si="196"/>
        <v>6.3450670513429022E-2</v>
      </c>
      <c r="AM319" s="98" t="str">
        <f t="shared" si="181"/>
        <v>1+34.7195132678067i</v>
      </c>
      <c r="AN319" s="98">
        <f t="shared" si="197"/>
        <v>34.733911405907129</v>
      </c>
      <c r="AO319" s="98">
        <f t="shared" si="198"/>
        <v>1.542002040230495</v>
      </c>
      <c r="AP319" s="168" t="str">
        <f t="shared" si="199"/>
        <v>-0.355110837193768+0.0328504130022316i</v>
      </c>
      <c r="AQ319" s="98">
        <f t="shared" si="200"/>
        <v>-8.9557142567202348</v>
      </c>
      <c r="AR319" s="169">
        <f t="shared" si="201"/>
        <v>174.71475327807485</v>
      </c>
      <c r="AS319" s="168" t="str">
        <f t="shared" si="202"/>
        <v>-0.0860890598501063+0.474860674745987i</v>
      </c>
      <c r="AT319" s="190">
        <f t="shared" si="203"/>
        <v>-6.3282307752981204</v>
      </c>
      <c r="AU319" s="169">
        <f t="shared" si="204"/>
        <v>100.27573274801534</v>
      </c>
      <c r="AV319" s="225"/>
      <c r="AX319">
        <f t="shared" si="205"/>
        <v>0</v>
      </c>
      <c r="AY319">
        <f t="shared" si="206"/>
        <v>0</v>
      </c>
    </row>
    <row r="320" spans="14:51" x14ac:dyDescent="0.2">
      <c r="N320" s="170">
        <v>2</v>
      </c>
      <c r="O320" s="199">
        <f t="shared" ref="O320:O383" si="208">10^(4+(N320/100))</f>
        <v>10471.285480509003</v>
      </c>
      <c r="P320" s="189" t="str">
        <f t="shared" si="173"/>
        <v>771.276595744681</v>
      </c>
      <c r="Q320" s="160" t="str">
        <f t="shared" si="174"/>
        <v>1+581.610359373209i</v>
      </c>
      <c r="R320" s="160">
        <f t="shared" si="182"/>
        <v>581.61121905464768</v>
      </c>
      <c r="S320" s="160">
        <f t="shared" si="183"/>
        <v>1.5690769643411826</v>
      </c>
      <c r="T320" s="160" t="str">
        <f t="shared" si="175"/>
        <v>1+0.0109479597058486i</v>
      </c>
      <c r="U320" s="160">
        <f t="shared" si="184"/>
        <v>1.0000599271152308</v>
      </c>
      <c r="V320" s="160">
        <f t="shared" si="185"/>
        <v>1.0947522337767151E-2</v>
      </c>
      <c r="W320" s="98" t="str">
        <f t="shared" si="176"/>
        <v>1-0.0447392584133236i</v>
      </c>
      <c r="X320" s="160">
        <f t="shared" si="186"/>
        <v>1.0010003003213206</v>
      </c>
      <c r="Y320" s="160">
        <f t="shared" si="187"/>
        <v>-4.4709444159134283E-2</v>
      </c>
      <c r="Z320" s="98" t="str">
        <f t="shared" si="177"/>
        <v>0.956140872154272-0.306321299952419i</v>
      </c>
      <c r="AA320" s="160">
        <f t="shared" si="188"/>
        <v>1.0040110090076064</v>
      </c>
      <c r="AB320" s="160">
        <f t="shared" si="189"/>
        <v>-0.31004086250861385</v>
      </c>
      <c r="AC320" s="171" t="str">
        <f t="shared" si="190"/>
        <v>0.362854793757444-1.27144217455821i</v>
      </c>
      <c r="AD320" s="190">
        <f t="shared" si="191"/>
        <v>2.4259827158872374</v>
      </c>
      <c r="AE320" s="169">
        <f t="shared" si="192"/>
        <v>-74.071870518224557</v>
      </c>
      <c r="AF320" s="98" t="str">
        <f t="shared" si="178"/>
        <v>-0.0000119284294234592</v>
      </c>
      <c r="AG320" s="98" t="str">
        <f t="shared" si="179"/>
        <v>0.0011864456573051i</v>
      </c>
      <c r="AH320" s="98">
        <f t="shared" si="193"/>
        <v>1.1864456573051001E-3</v>
      </c>
      <c r="AI320" s="98">
        <f t="shared" si="194"/>
        <v>1.5707963267948966</v>
      </c>
      <c r="AJ320" s="98" t="str">
        <f t="shared" si="180"/>
        <v>1+0.0650159009891529i</v>
      </c>
      <c r="AK320" s="98">
        <f t="shared" si="195"/>
        <v>1.0021113048865538</v>
      </c>
      <c r="AL320" s="98">
        <f t="shared" si="196"/>
        <v>6.4924523767257589E-2</v>
      </c>
      <c r="AM320" s="98" t="str">
        <f t="shared" si="181"/>
        <v>1+35.5282346223453i</v>
      </c>
      <c r="AN320" s="98">
        <f t="shared" si="197"/>
        <v>35.542305150066099</v>
      </c>
      <c r="AO320" s="98">
        <f t="shared" si="198"/>
        <v>1.5426571282524328</v>
      </c>
      <c r="AP320" s="168" t="str">
        <f t="shared" si="199"/>
        <v>-0.355043561957117+0.0331373968186614i</v>
      </c>
      <c r="AQ320" s="98">
        <f t="shared" si="200"/>
        <v>-8.9566991194785022</v>
      </c>
      <c r="AR320" s="169">
        <f t="shared" si="201"/>
        <v>174.66784148587547</v>
      </c>
      <c r="AS320" s="168" t="str">
        <f t="shared" si="202"/>
        <v>-0.0866969745785408+0.463441421765943i</v>
      </c>
      <c r="AT320" s="190">
        <f t="shared" si="203"/>
        <v>-6.5307164035912715</v>
      </c>
      <c r="AU320" s="169">
        <f t="shared" si="204"/>
        <v>100.59597096765093</v>
      </c>
      <c r="AV320" s="225"/>
      <c r="AX320">
        <f t="shared" si="205"/>
        <v>0</v>
      </c>
      <c r="AY320">
        <f t="shared" si="206"/>
        <v>0</v>
      </c>
    </row>
    <row r="321" spans="14:51" x14ac:dyDescent="0.2">
      <c r="N321" s="170">
        <v>3</v>
      </c>
      <c r="O321" s="199">
        <f t="shared" si="208"/>
        <v>10715.193052376071</v>
      </c>
      <c r="P321" s="189" t="str">
        <f t="shared" si="173"/>
        <v>771.276595744681</v>
      </c>
      <c r="Q321" s="160" t="str">
        <f t="shared" si="174"/>
        <v>1+595.157804984496i</v>
      </c>
      <c r="R321" s="160">
        <f t="shared" si="182"/>
        <v>595.15864509722405</v>
      </c>
      <c r="S321" s="160">
        <f t="shared" si="183"/>
        <v>1.5691161017342947</v>
      </c>
      <c r="T321" s="160" t="str">
        <f t="shared" si="175"/>
        <v>1+0.011202970446767i</v>
      </c>
      <c r="U321" s="160">
        <f t="shared" si="184"/>
        <v>1.0000627513045524</v>
      </c>
      <c r="V321" s="160">
        <f t="shared" si="185"/>
        <v>1.1202501800012426E-2</v>
      </c>
      <c r="W321" s="98" t="str">
        <f t="shared" si="176"/>
        <v>1-0.0457813696141918i</v>
      </c>
      <c r="X321" s="160">
        <f t="shared" si="186"/>
        <v>1.0010474183592659</v>
      </c>
      <c r="Y321" s="160">
        <f t="shared" si="187"/>
        <v>-4.574942487030171E-2</v>
      </c>
      <c r="Z321" s="98" t="str">
        <f t="shared" si="177"/>
        <v>0.954073855140125-0.313456439627641i</v>
      </c>
      <c r="AA321" s="160">
        <f t="shared" si="188"/>
        <v>1.0042469121714923</v>
      </c>
      <c r="AB321" s="160">
        <f t="shared" si="189"/>
        <v>-0.31743511335949176</v>
      </c>
      <c r="AC321" s="171" t="str">
        <f t="shared" si="190"/>
        <v>0.362683773919876-1.23991471503915i</v>
      </c>
      <c r="AD321" s="190">
        <f t="shared" si="191"/>
        <v>2.2243760630067797</v>
      </c>
      <c r="AE321" s="169">
        <f t="shared" si="192"/>
        <v>-73.695430817730369</v>
      </c>
      <c r="AF321" s="98" t="str">
        <f t="shared" si="178"/>
        <v>-0.0000119284294234592</v>
      </c>
      <c r="AG321" s="98" t="str">
        <f t="shared" si="179"/>
        <v>0.00121408152684224i</v>
      </c>
      <c r="AH321" s="98">
        <f t="shared" si="193"/>
        <v>1.2140815268422401E-3</v>
      </c>
      <c r="AI321" s="98">
        <f t="shared" si="194"/>
        <v>1.5707963267948966</v>
      </c>
      <c r="AJ321" s="98" t="str">
        <f t="shared" si="180"/>
        <v>1+0.0665303158690195i</v>
      </c>
      <c r="AK321" s="98">
        <f t="shared" si="195"/>
        <v>1.0022106978722745</v>
      </c>
      <c r="AL321" s="98">
        <f t="shared" si="196"/>
        <v>6.6432415072621043E-2</v>
      </c>
      <c r="AM321" s="98" t="str">
        <f t="shared" si="181"/>
        <v>1+36.3557935171524i</v>
      </c>
      <c r="AN321" s="98">
        <f t="shared" si="197"/>
        <v>36.369543883059904</v>
      </c>
      <c r="AO321" s="98">
        <f t="shared" si="198"/>
        <v>1.5432973279945619</v>
      </c>
      <c r="AP321" s="168" t="str">
        <f t="shared" si="199"/>
        <v>-0.354973143451517+0.0334415399527263i</v>
      </c>
      <c r="AQ321" s="98">
        <f t="shared" si="200"/>
        <v>-8.957715308084115</v>
      </c>
      <c r="AR321" s="169">
        <f t="shared" si="201"/>
        <v>174.61812642138304</v>
      </c>
      <c r="AS321" s="168" t="str">
        <f t="shared" si="202"/>
        <v>-0.0872783418262427+0.452265127924986i</v>
      </c>
      <c r="AT321" s="190">
        <f t="shared" si="203"/>
        <v>-6.7333392450773353</v>
      </c>
      <c r="AU321" s="169">
        <f t="shared" si="204"/>
        <v>100.92269560365267</v>
      </c>
      <c r="AV321" s="225"/>
      <c r="AX321">
        <f t="shared" si="205"/>
        <v>0</v>
      </c>
      <c r="AY321">
        <f t="shared" si="206"/>
        <v>0</v>
      </c>
    </row>
    <row r="322" spans="14:51" x14ac:dyDescent="0.2">
      <c r="N322" s="170">
        <v>4</v>
      </c>
      <c r="O322" s="199">
        <f t="shared" si="208"/>
        <v>10964.781961431856</v>
      </c>
      <c r="P322" s="189" t="str">
        <f t="shared" si="173"/>
        <v>771.276595744681</v>
      </c>
      <c r="Q322" s="160" t="str">
        <f t="shared" si="174"/>
        <v>1+609.02081114183i</v>
      </c>
      <c r="R322" s="160">
        <f t="shared" si="182"/>
        <v>609.02163213128358</v>
      </c>
      <c r="S322" s="160">
        <f t="shared" si="183"/>
        <v>1.5691543482565489</v>
      </c>
      <c r="T322" s="160" t="str">
        <f t="shared" si="175"/>
        <v>1+0.011463921150905i</v>
      </c>
      <c r="U322" s="160">
        <f t="shared" si="184"/>
        <v>1.000065708585268</v>
      </c>
      <c r="V322" s="160">
        <f t="shared" si="185"/>
        <v>1.1463418988642109E-2</v>
      </c>
      <c r="W322" s="98" t="str">
        <f t="shared" si="176"/>
        <v>1-0.0468477547032175i</v>
      </c>
      <c r="X322" s="160">
        <f t="shared" si="186"/>
        <v>1.0010967546250127</v>
      </c>
      <c r="Y322" s="160">
        <f t="shared" si="187"/>
        <v>-4.6813527318453424E-2</v>
      </c>
      <c r="Z322" s="98" t="str">
        <f t="shared" si="177"/>
        <v>0.951909422615303-0.320757778056241i</v>
      </c>
      <c r="AA322" s="160">
        <f t="shared" si="188"/>
        <v>1.0044984325758683</v>
      </c>
      <c r="AB322" s="160">
        <f t="shared" si="189"/>
        <v>-0.32501323983854719</v>
      </c>
      <c r="AC322" s="171" t="str">
        <f t="shared" si="190"/>
        <v>0.36251094187834-1.20903610004089i</v>
      </c>
      <c r="AD322" s="190">
        <f t="shared" si="191"/>
        <v>2.0226552030368827</v>
      </c>
      <c r="AE322" s="169">
        <f t="shared" si="192"/>
        <v>-73.309446643708171</v>
      </c>
      <c r="AF322" s="98" t="str">
        <f t="shared" si="178"/>
        <v>-0.0000119284294234592</v>
      </c>
      <c r="AG322" s="98" t="str">
        <f t="shared" si="179"/>
        <v>0.00124236111847518i</v>
      </c>
      <c r="AH322" s="98">
        <f t="shared" si="193"/>
        <v>1.24236111847518E-3</v>
      </c>
      <c r="AI322" s="98">
        <f t="shared" si="194"/>
        <v>1.5707963267948966</v>
      </c>
      <c r="AJ322" s="98" t="str">
        <f t="shared" si="180"/>
        <v>1+0.0680800060029927i</v>
      </c>
      <c r="AK322" s="98">
        <f t="shared" si="195"/>
        <v>1.0023147645412431</v>
      </c>
      <c r="AL322" s="98">
        <f t="shared" si="196"/>
        <v>6.7975116489627022E-2</v>
      </c>
      <c r="AM322" s="98" t="str">
        <f t="shared" si="181"/>
        <v>1+37.2026287349081i</v>
      </c>
      <c r="AN322" s="98">
        <f t="shared" si="197"/>
        <v>37.216066218602556</v>
      </c>
      <c r="AO322" s="98">
        <f t="shared" si="198"/>
        <v>1.5439229767989413</v>
      </c>
      <c r="AP322" s="168" t="str">
        <f t="shared" si="199"/>
        <v>-0.354899436156761+0.0337629745634438i</v>
      </c>
      <c r="AQ322" s="98">
        <f t="shared" si="200"/>
        <v>-8.9587649536831062</v>
      </c>
      <c r="AR322" s="169">
        <f t="shared" si="201"/>
        <v>174.56558317708812</v>
      </c>
      <c r="AS322" s="168" t="str">
        <f t="shared" si="202"/>
        <v>-0.0878342737813134+0.44132567790729i</v>
      </c>
      <c r="AT322" s="190">
        <f t="shared" si="203"/>
        <v>-6.9361097506462155</v>
      </c>
      <c r="AU322" s="169">
        <f t="shared" si="204"/>
        <v>101.25613653337993</v>
      </c>
      <c r="AV322" s="225"/>
      <c r="AX322">
        <f t="shared" si="205"/>
        <v>0</v>
      </c>
      <c r="AY322">
        <f t="shared" si="206"/>
        <v>0</v>
      </c>
    </row>
    <row r="323" spans="14:51" x14ac:dyDescent="0.2">
      <c r="N323" s="170">
        <v>5</v>
      </c>
      <c r="O323" s="199">
        <f t="shared" si="208"/>
        <v>11220.184543019639</v>
      </c>
      <c r="P323" s="189" t="str">
        <f t="shared" si="173"/>
        <v>771.276595744681</v>
      </c>
      <c r="Q323" s="160" t="str">
        <f t="shared" si="174"/>
        <v>1+623.206728194575i</v>
      </c>
      <c r="R323" s="160">
        <f t="shared" si="182"/>
        <v>623.2075304960515</v>
      </c>
      <c r="S323" s="160">
        <f t="shared" si="183"/>
        <v>1.5691917241863096</v>
      </c>
      <c r="T323" s="160" t="str">
        <f t="shared" si="175"/>
        <v>1+0.0117309501777802i</v>
      </c>
      <c r="U323" s="160">
        <f t="shared" si="184"/>
        <v>1.000068805228957</v>
      </c>
      <c r="V323" s="160">
        <f t="shared" si="185"/>
        <v>1.1730412103220535E-2</v>
      </c>
      <c r="W323" s="98" t="str">
        <f t="shared" si="176"/>
        <v>1-0.0479389790918902i</v>
      </c>
      <c r="X323" s="160">
        <f t="shared" si="186"/>
        <v>1.0011484134314814</v>
      </c>
      <c r="Y323" s="160">
        <f t="shared" si="187"/>
        <v>-4.7902306060124425E-2</v>
      </c>
      <c r="Z323" s="98" t="str">
        <f t="shared" si="177"/>
        <v>0.949642983528233-0.328229186504497i</v>
      </c>
      <c r="AA323" s="160">
        <f t="shared" si="188"/>
        <v>1.0047667366298545</v>
      </c>
      <c r="AB323" s="160">
        <f t="shared" si="189"/>
        <v>-0.3327802713165246</v>
      </c>
      <c r="AC323" s="171" t="str">
        <f t="shared" si="190"/>
        <v>0.362335485413476-1.17878943747218i</v>
      </c>
      <c r="AD323" s="190">
        <f t="shared" si="191"/>
        <v>1.8208111117254802</v>
      </c>
      <c r="AE323" s="169">
        <f t="shared" si="192"/>
        <v>-72.913654851802278</v>
      </c>
      <c r="AF323" s="98" t="str">
        <f t="shared" si="178"/>
        <v>-0.0000119284294234592</v>
      </c>
      <c r="AG323" s="98" t="str">
        <f t="shared" si="179"/>
        <v>0.00127129942641773i</v>
      </c>
      <c r="AH323" s="98">
        <f t="shared" si="193"/>
        <v>1.2712994264177299E-3</v>
      </c>
      <c r="AI323" s="98">
        <f t="shared" si="194"/>
        <v>1.5707963267948966</v>
      </c>
      <c r="AJ323" s="98" t="str">
        <f t="shared" si="180"/>
        <v>1+0.0696657930572941i</v>
      </c>
      <c r="AK323" s="98">
        <f t="shared" si="195"/>
        <v>1.002423724141793</v>
      </c>
      <c r="AL323" s="98">
        <f t="shared" si="196"/>
        <v>6.9553416590320147E-2</v>
      </c>
      <c r="AM323" s="98" t="str">
        <f t="shared" si="181"/>
        <v>1+38.0691892788541i</v>
      </c>
      <c r="AN323" s="98">
        <f t="shared" si="197"/>
        <v>38.082320994776822</v>
      </c>
      <c r="AO323" s="98">
        <f t="shared" si="198"/>
        <v>1.5445344044325136</v>
      </c>
      <c r="AP323" s="168" t="str">
        <f t="shared" si="199"/>
        <v>-0.354822287944396+0.0341018399283853i</v>
      </c>
      <c r="AQ323" s="98">
        <f t="shared" si="200"/>
        <v>-8.9598502561957503</v>
      </c>
      <c r="AR323" s="169">
        <f t="shared" si="201"/>
        <v>174.51018546539467</v>
      </c>
      <c r="AS323" s="168" t="str">
        <f t="shared" si="202"/>
        <v>-0.0883658172319052+0.430617071932511i</v>
      </c>
      <c r="AT323" s="190">
        <f t="shared" si="203"/>
        <v>-7.1390391444702637</v>
      </c>
      <c r="AU323" s="169">
        <f t="shared" si="204"/>
        <v>101.59653061359238</v>
      </c>
      <c r="AV323" s="225"/>
      <c r="AX323">
        <f t="shared" si="205"/>
        <v>0</v>
      </c>
      <c r="AY323">
        <f t="shared" si="206"/>
        <v>0</v>
      </c>
    </row>
    <row r="324" spans="14:51" x14ac:dyDescent="0.2">
      <c r="N324" s="170">
        <v>6</v>
      </c>
      <c r="O324" s="199">
        <f t="shared" si="208"/>
        <v>11481.536214968832</v>
      </c>
      <c r="P324" s="189" t="str">
        <f t="shared" si="173"/>
        <v>771.276595744681</v>
      </c>
      <c r="Q324" s="160" t="str">
        <f t="shared" si="174"/>
        <v>1+637.723077703726i</v>
      </c>
      <c r="R324" s="160">
        <f t="shared" si="182"/>
        <v>637.72386174261374</v>
      </c>
      <c r="S324" s="160">
        <f t="shared" si="183"/>
        <v>1.5692282493403715</v>
      </c>
      <c r="T324" s="160" t="str">
        <f t="shared" si="175"/>
        <v>1+0.0120041991097172i</v>
      </c>
      <c r="U324" s="160">
        <f t="shared" si="184"/>
        <v>1.0000720478026899</v>
      </c>
      <c r="V324" s="160">
        <f t="shared" si="185"/>
        <v>1.2003622554682189E-2</v>
      </c>
      <c r="W324" s="98" t="str">
        <f t="shared" si="176"/>
        <v>1-0.0490556213618248i</v>
      </c>
      <c r="X324" s="160">
        <f t="shared" si="186"/>
        <v>1.0012025039856796</v>
      </c>
      <c r="Y324" s="160">
        <f t="shared" si="187"/>
        <v>-4.9016328048896891E-2</v>
      </c>
      <c r="Z324" s="98" t="str">
        <f t="shared" si="177"/>
        <v>0.947269730457744-0.335874626412064i</v>
      </c>
      <c r="AA324" s="160">
        <f t="shared" si="188"/>
        <v>1.0050530866123095</v>
      </c>
      <c r="AB324" s="160">
        <f t="shared" si="189"/>
        <v>-0.34074139692458727</v>
      </c>
      <c r="AC324" s="171" t="str">
        <f t="shared" si="190"/>
        <v>0.362156545409616-1.14915814449505i</v>
      </c>
      <c r="AD324" s="190">
        <f t="shared" si="191"/>
        <v>1.618833998549938</v>
      </c>
      <c r="AE324" s="169">
        <f t="shared" si="192"/>
        <v>-72.507783643914465</v>
      </c>
      <c r="AF324" s="98" t="str">
        <f t="shared" si="178"/>
        <v>-0.0000119284294234592</v>
      </c>
      <c r="AG324" s="98" t="str">
        <f t="shared" si="179"/>
        <v>0.00130091179414381i</v>
      </c>
      <c r="AH324" s="98">
        <f t="shared" si="193"/>
        <v>1.30091179414381E-3</v>
      </c>
      <c r="AI324" s="98">
        <f t="shared" si="194"/>
        <v>1.5707963267948966</v>
      </c>
      <c r="AJ324" s="98" t="str">
        <f t="shared" si="180"/>
        <v>1+0.0712885178372103i</v>
      </c>
      <c r="AK324" s="98">
        <f t="shared" si="195"/>
        <v>1.0025378061576662</v>
      </c>
      <c r="AL324" s="98">
        <f t="shared" si="196"/>
        <v>7.1168120739869056E-2</v>
      </c>
      <c r="AM324" s="98" t="str">
        <f t="shared" si="181"/>
        <v>1+38.955934610861i</v>
      </c>
      <c r="AN324" s="98">
        <f t="shared" si="197"/>
        <v>38.968767512017592</v>
      </c>
      <c r="AO324" s="98">
        <f t="shared" si="198"/>
        <v>1.5451319332526285</v>
      </c>
      <c r="AP324" s="168" t="str">
        <f t="shared" si="199"/>
        <v>-0.354741539790005+0.0344582823747643i</v>
      </c>
      <c r="AQ324" s="98">
        <f t="shared" si="200"/>
        <v>-8.9609734887612067</v>
      </c>
      <c r="AR324" s="169">
        <f t="shared" si="201"/>
        <v>174.45190561199325</v>
      </c>
      <c r="AS324" s="168" t="str">
        <f t="shared" si="202"/>
        <v>-0.0888739547273654+0.420133422145993i</v>
      </c>
      <c r="AT324" s="190">
        <f t="shared" si="203"/>
        <v>-7.3421394902112649</v>
      </c>
      <c r="AU324" s="169">
        <f t="shared" si="204"/>
        <v>101.94412196807879</v>
      </c>
      <c r="AV324" s="225"/>
      <c r="AX324">
        <f t="shared" si="205"/>
        <v>0</v>
      </c>
      <c r="AY324">
        <f t="shared" si="206"/>
        <v>0</v>
      </c>
    </row>
    <row r="325" spans="14:51" x14ac:dyDescent="0.2">
      <c r="N325" s="170">
        <v>7</v>
      </c>
      <c r="O325" s="199">
        <f t="shared" si="208"/>
        <v>11748.975549395318</v>
      </c>
      <c r="P325" s="189" t="str">
        <f t="shared" si="173"/>
        <v>771.276595744681</v>
      </c>
      <c r="Q325" s="160" t="str">
        <f t="shared" si="174"/>
        <v>1+652.577556429938i</v>
      </c>
      <c r="R325" s="160">
        <f t="shared" si="182"/>
        <v>652.57832262194313</v>
      </c>
      <c r="S325" s="160">
        <f t="shared" si="183"/>
        <v>1.5692639430844648</v>
      </c>
      <c r="T325" s="160" t="str">
        <f t="shared" si="175"/>
        <v>1+0.0122838128269165i</v>
      </c>
      <c r="U325" s="160">
        <f t="shared" si="184"/>
        <v>1.0000754431829464</v>
      </c>
      <c r="V325" s="160">
        <f t="shared" si="185"/>
        <v>1.2283195039582985E-2</v>
      </c>
      <c r="W325" s="98" t="str">
        <f t="shared" si="176"/>
        <v>1-0.0501982735715335i</v>
      </c>
      <c r="X325" s="160">
        <f t="shared" si="186"/>
        <v>1.0012591406172342</v>
      </c>
      <c r="Y325" s="160">
        <f t="shared" si="187"/>
        <v>-5.0156172887278465E-2</v>
      </c>
      <c r="Z325" s="98" t="str">
        <f t="shared" si="177"/>
        <v>0.944784629415884-0.343698151492382i</v>
      </c>
      <c r="AA325" s="160">
        <f t="shared" si="188"/>
        <v>1.00535884902844</v>
      </c>
      <c r="AB325" s="160">
        <f t="shared" si="189"/>
        <v>-0.3489019709736661</v>
      </c>
      <c r="AC325" s="171" t="str">
        <f t="shared" si="190"/>
        <v>0.361973210342235-1.12012593835077i</v>
      </c>
      <c r="AD325" s="190">
        <f t="shared" si="191"/>
        <v>1.4167132395585442</v>
      </c>
      <c r="AE325" s="169">
        <f t="shared" si="192"/>
        <v>-72.091552268476079</v>
      </c>
      <c r="AF325" s="98" t="str">
        <f t="shared" si="178"/>
        <v>-0.0000119284294234592</v>
      </c>
      <c r="AG325" s="98" t="str">
        <f t="shared" si="179"/>
        <v>0.00133121392252274i</v>
      </c>
      <c r="AH325" s="98">
        <f t="shared" si="193"/>
        <v>1.33121392252274E-3</v>
      </c>
      <c r="AI325" s="98">
        <f t="shared" si="194"/>
        <v>1.5707963267948966</v>
      </c>
      <c r="AJ325" s="98" t="str">
        <f t="shared" si="180"/>
        <v>1+0.072949040732899i</v>
      </c>
      <c r="AK325" s="98">
        <f t="shared" si="195"/>
        <v>1.0026572507810683</v>
      </c>
      <c r="AL325" s="98">
        <f t="shared" si="196"/>
        <v>7.2820051377126507E-2</v>
      </c>
      <c r="AM325" s="98" t="str">
        <f t="shared" si="181"/>
        <v>1+39.8633348950414i</v>
      </c>
      <c r="AN325" s="98">
        <f t="shared" si="197"/>
        <v>39.875875776642516</v>
      </c>
      <c r="AO325" s="98">
        <f t="shared" si="198"/>
        <v>1.5457158783692617</v>
      </c>
      <c r="AP325" s="168" t="str">
        <f t="shared" si="199"/>
        <v>-0.354657025474178+0.0348324552045135i</v>
      </c>
      <c r="AQ325" s="98">
        <f t="shared" si="200"/>
        <v>-8.9621370023170712</v>
      </c>
      <c r="AR325" s="169">
        <f t="shared" si="201"/>
        <v>174.39071454908043</v>
      </c>
      <c r="AS325" s="168" t="str">
        <f t="shared" si="202"/>
        <v>-0.0893596055102992+0.409868949086436i</v>
      </c>
      <c r="AT325" s="190">
        <f t="shared" si="203"/>
        <v>-7.5454237627585368</v>
      </c>
      <c r="AU325" s="169">
        <f t="shared" si="204"/>
        <v>102.29916228060435</v>
      </c>
      <c r="AV325" s="225"/>
      <c r="AX325">
        <f t="shared" si="205"/>
        <v>0</v>
      </c>
      <c r="AY325">
        <f t="shared" si="206"/>
        <v>0</v>
      </c>
    </row>
    <row r="326" spans="14:51" x14ac:dyDescent="0.2">
      <c r="N326" s="170">
        <v>8</v>
      </c>
      <c r="O326" s="199">
        <f t="shared" si="208"/>
        <v>12022.644346174151</v>
      </c>
      <c r="P326" s="189" t="str">
        <f t="shared" si="173"/>
        <v>771.276595744681</v>
      </c>
      <c r="Q326" s="160" t="str">
        <f t="shared" si="174"/>
        <v>1+667.778040414454i</v>
      </c>
      <c r="R326" s="160">
        <f t="shared" si="182"/>
        <v>667.77878916581949</v>
      </c>
      <c r="S326" s="160">
        <f t="shared" si="183"/>
        <v>1.5692988243435211</v>
      </c>
      <c r="T326" s="160" t="str">
        <f t="shared" si="175"/>
        <v>1+0.012569939584272i</v>
      </c>
      <c r="U326" s="160">
        <f t="shared" si="184"/>
        <v>1.0000789985701892</v>
      </c>
      <c r="V326" s="160">
        <f t="shared" si="185"/>
        <v>1.2569277616041732E-2</v>
      </c>
      <c r="W326" s="98" t="str">
        <f t="shared" si="176"/>
        <v>1-0.0513675415703424i</v>
      </c>
      <c r="X326" s="160">
        <f t="shared" si="186"/>
        <v>1.0013184430174953</v>
      </c>
      <c r="Y326" s="160">
        <f t="shared" si="187"/>
        <v>-5.1322433081847307E-2</v>
      </c>
      <c r="Z326" s="98" t="str">
        <f t="shared" si="177"/>
        <v>0.942182409170163-0.351703909882003i</v>
      </c>
      <c r="AA326" s="160">
        <f t="shared" si="188"/>
        <v>1.005685503711762</v>
      </c>
      <c r="AB326" s="160">
        <f t="shared" si="189"/>
        <v>-0.35726751845230614</v>
      </c>
      <c r="AC326" s="171" t="str">
        <f t="shared" si="190"/>
        <v>0.361784510351845-1.09167682750054i</v>
      </c>
      <c r="AD326" s="190">
        <f t="shared" si="191"/>
        <v>1.2144373043710144</v>
      </c>
      <c r="AE326" s="169">
        <f t="shared" si="192"/>
        <v>-71.664670716301231</v>
      </c>
      <c r="AF326" s="98" t="str">
        <f t="shared" si="178"/>
        <v>-0.0000119284294234592</v>
      </c>
      <c r="AG326" s="98" t="str">
        <f t="shared" si="179"/>
        <v>0.0013622218781441i</v>
      </c>
      <c r="AH326" s="98">
        <f t="shared" si="193"/>
        <v>1.3622218781441E-3</v>
      </c>
      <c r="AI326" s="98">
        <f t="shared" si="194"/>
        <v>1.5707963267948966</v>
      </c>
      <c r="AJ326" s="98" t="str">
        <f t="shared" si="180"/>
        <v>1+0.0746482421755787i</v>
      </c>
      <c r="AK326" s="98">
        <f t="shared" si="195"/>
        <v>1.0027823094071333</v>
      </c>
      <c r="AL326" s="98">
        <f t="shared" si="196"/>
        <v>7.4510048294060383E-2</v>
      </c>
      <c r="AM326" s="98" t="str">
        <f t="shared" si="181"/>
        <v>1+40.7918712470367i</v>
      </c>
      <c r="AN326" s="98">
        <f t="shared" si="197"/>
        <v>40.804126750058252</v>
      </c>
      <c r="AO326" s="98">
        <f t="shared" si="198"/>
        <v>1.5462865478039662</v>
      </c>
      <c r="AP326" s="168" t="str">
        <f t="shared" si="199"/>
        <v>-0.354568571271802+0.0352245186126648i</v>
      </c>
      <c r="AQ326" s="98">
        <f t="shared" si="200"/>
        <v>-8.9633432303226499</v>
      </c>
      <c r="AR326" s="169">
        <f t="shared" si="201"/>
        <v>174.3265818084557</v>
      </c>
      <c r="AS326" s="168" t="str">
        <f t="shared" si="202"/>
        <v>-0.0898236262144145+0.399817978236062i</v>
      </c>
      <c r="AT326" s="190">
        <f t="shared" si="203"/>
        <v>-7.7489059259516404</v>
      </c>
      <c r="AU326" s="169">
        <f t="shared" si="204"/>
        <v>102.66191109215448</v>
      </c>
      <c r="AV326" s="225"/>
      <c r="AX326">
        <f t="shared" si="205"/>
        <v>0</v>
      </c>
      <c r="AY326">
        <f t="shared" si="206"/>
        <v>0</v>
      </c>
    </row>
    <row r="327" spans="14:51" x14ac:dyDescent="0.2">
      <c r="N327" s="170">
        <v>9</v>
      </c>
      <c r="O327" s="199">
        <f t="shared" si="208"/>
        <v>12302.687708123816</v>
      </c>
      <c r="P327" s="189" t="str">
        <f t="shared" si="173"/>
        <v>771.276595744681</v>
      </c>
      <c r="Q327" s="160" t="str">
        <f t="shared" si="174"/>
        <v>1+683.332589155084i</v>
      </c>
      <c r="R327" s="160">
        <f t="shared" si="182"/>
        <v>683.3333208628062</v>
      </c>
      <c r="S327" s="160">
        <f t="shared" si="183"/>
        <v>1.5693329116117058</v>
      </c>
      <c r="T327" s="160" t="str">
        <f t="shared" si="175"/>
        <v>1+0.012862731089978i</v>
      </c>
      <c r="U327" s="160">
        <f t="shared" si="184"/>
        <v>1.0000827215041228</v>
      </c>
      <c r="V327" s="160">
        <f t="shared" si="185"/>
        <v>1.2862021781408503E-2</v>
      </c>
      <c r="W327" s="98" t="str">
        <f t="shared" si="176"/>
        <v>1-0.0525640453196216i</v>
      </c>
      <c r="X327" s="160">
        <f t="shared" si="186"/>
        <v>1.0013805364896819</v>
      </c>
      <c r="Y327" s="160">
        <f t="shared" si="187"/>
        <v>-5.2515714301561336E-2</v>
      </c>
      <c r="Z327" s="98" t="str">
        <f t="shared" si="177"/>
        <v>0.939457550062551-0.359896146339996i</v>
      </c>
      <c r="AA327" s="160">
        <f t="shared" si="188"/>
        <v>1.0060346537370919</v>
      </c>
      <c r="AB327" s="160">
        <f t="shared" si="189"/>
        <v>-0.3658437405804203</v>
      </c>
      <c r="AC327" s="171" t="str">
        <f t="shared" si="190"/>
        <v>0.361589410872406-1.06379510311002i</v>
      </c>
      <c r="AD327" s="190">
        <f t="shared" si="191"/>
        <v>1.0119936768604612</v>
      </c>
      <c r="AE327" s="169">
        <f t="shared" si="192"/>
        <v>-71.226839413304987</v>
      </c>
      <c r="AF327" s="98" t="str">
        <f t="shared" si="178"/>
        <v>-0.0000119284294234592</v>
      </c>
      <c r="AG327" s="98" t="str">
        <f t="shared" si="179"/>
        <v>0.00139395210183638i</v>
      </c>
      <c r="AH327" s="98">
        <f t="shared" si="193"/>
        <v>1.39395210183638E-3</v>
      </c>
      <c r="AI327" s="98">
        <f t="shared" si="194"/>
        <v>1.5707963267948966</v>
      </c>
      <c r="AJ327" s="98" t="str">
        <f t="shared" si="180"/>
        <v>1+0.0763870231043463i</v>
      </c>
      <c r="AK327" s="98">
        <f t="shared" si="195"/>
        <v>1.0029132451507179</v>
      </c>
      <c r="AL327" s="98">
        <f t="shared" si="196"/>
        <v>7.6238968913513477E-2</v>
      </c>
      <c r="AM327" s="98" t="str">
        <f t="shared" si="181"/>
        <v>1+41.7420359891114i</v>
      </c>
      <c r="AN327" s="98">
        <f t="shared" si="197"/>
        <v>41.754012603775834</v>
      </c>
      <c r="AO327" s="98">
        <f t="shared" si="198"/>
        <v>1.5468442426456086</v>
      </c>
      <c r="AP327" s="168" t="str">
        <f t="shared" si="199"/>
        <v>-0.354475995629407+0.0356346395983143i</v>
      </c>
      <c r="AQ327" s="98">
        <f t="shared" si="200"/>
        <v>-8.9645946936322787</v>
      </c>
      <c r="AR327" s="169">
        <f t="shared" si="201"/>
        <v>174.25947551453018</v>
      </c>
      <c r="AS327" s="168" t="str">
        <f t="shared" si="202"/>
        <v>-0.0902668113222697+0.389974936659617i</v>
      </c>
      <c r="AT327" s="190">
        <f t="shared" si="203"/>
        <v>-7.9526010167718191</v>
      </c>
      <c r="AU327" s="169">
        <f t="shared" si="204"/>
        <v>103.03263610122518</v>
      </c>
      <c r="AV327" s="225"/>
      <c r="AX327">
        <f t="shared" si="205"/>
        <v>0</v>
      </c>
      <c r="AY327">
        <f t="shared" si="206"/>
        <v>0</v>
      </c>
    </row>
    <row r="328" spans="14:51" x14ac:dyDescent="0.2">
      <c r="N328" s="170">
        <v>10</v>
      </c>
      <c r="O328" s="199">
        <f t="shared" si="208"/>
        <v>12589.254117941671</v>
      </c>
      <c r="P328" s="189" t="str">
        <f t="shared" si="173"/>
        <v>771.276595744681</v>
      </c>
      <c r="Q328" s="160" t="str">
        <f t="shared" si="174"/>
        <v>1+699.249449879461i</v>
      </c>
      <c r="R328" s="160">
        <f t="shared" si="182"/>
        <v>699.25016493149928</v>
      </c>
      <c r="S328" s="160">
        <f t="shared" si="183"/>
        <v>1.5693662229622229</v>
      </c>
      <c r="T328" s="160" t="str">
        <f t="shared" si="175"/>
        <v>1+0.0131623425859663i</v>
      </c>
      <c r="U328" s="160">
        <f t="shared" si="184"/>
        <v>1.0000866198796734</v>
      </c>
      <c r="V328" s="160">
        <f t="shared" si="185"/>
        <v>1.3161582551696005E-2</v>
      </c>
      <c r="W328" s="98" t="str">
        <f t="shared" si="176"/>
        <v>1-0.0537884192214967i</v>
      </c>
      <c r="X328" s="160">
        <f t="shared" si="186"/>
        <v>1.001445552210577</v>
      </c>
      <c r="Y328" s="160">
        <f t="shared" si="187"/>
        <v>-5.3736635639109319E-2</v>
      </c>
      <c r="Z328" s="98" t="str">
        <f t="shared" si="177"/>
        <v>0.936604272301555-0.368279204498566i</v>
      </c>
      <c r="AA328" s="160">
        <f t="shared" si="188"/>
        <v>1.0064080362157397</v>
      </c>
      <c r="AB328" s="160">
        <f t="shared" si="189"/>
        <v>-0.37463652039147199</v>
      </c>
      <c r="AC328" s="171" t="str">
        <f t="shared" si="190"/>
        <v>0.361386805781135-1.03646533091212i</v>
      </c>
      <c r="AD328" s="190">
        <f t="shared" si="191"/>
        <v>0.80936876900722421</v>
      </c>
      <c r="AE328" s="169">
        <f t="shared" si="192"/>
        <v>-70.777748911652182</v>
      </c>
      <c r="AF328" s="98" t="str">
        <f t="shared" si="178"/>
        <v>-0.0000119284294234592</v>
      </c>
      <c r="AG328" s="98" t="str">
        <f t="shared" si="179"/>
        <v>0.00142642141738419i</v>
      </c>
      <c r="AH328" s="98">
        <f t="shared" si="193"/>
        <v>1.4264214173841899E-3</v>
      </c>
      <c r="AI328" s="98">
        <f t="shared" si="194"/>
        <v>1.5707963267948966</v>
      </c>
      <c r="AJ328" s="98" t="str">
        <f t="shared" si="180"/>
        <v>1+0.0781663054438656i</v>
      </c>
      <c r="AK328" s="98">
        <f t="shared" si="195"/>
        <v>1.0030503333864875</v>
      </c>
      <c r="AL328" s="98">
        <f t="shared" si="196"/>
        <v>7.8007688564696295E-2</v>
      </c>
      <c r="AM328" s="98" t="str">
        <f t="shared" si="181"/>
        <v>1+42.7143329111887i</v>
      </c>
      <c r="AN328" s="98">
        <f t="shared" si="197"/>
        <v>42.726036980368988</v>
      </c>
      <c r="AO328" s="98">
        <f t="shared" si="198"/>
        <v>1.5473892572029309</v>
      </c>
      <c r="AP328" s="168" t="str">
        <f t="shared" si="199"/>
        <v>-0.354379108830194+0.0360629918673909i</v>
      </c>
      <c r="AQ328" s="98">
        <f t="shared" si="200"/>
        <v>-8.9658940055281171</v>
      </c>
      <c r="AR328" s="169">
        <f t="shared" si="201"/>
        <v>174.18936237728332</v>
      </c>
      <c r="AS328" s="168" t="str">
        <f t="shared" si="202"/>
        <v>-0.0906898933761926+0.380334349739897i</v>
      </c>
      <c r="AT328" s="190">
        <f t="shared" si="203"/>
        <v>-8.1565252365208885</v>
      </c>
      <c r="AU328" s="169">
        <f t="shared" si="204"/>
        <v>103.41161346563113</v>
      </c>
      <c r="AV328" s="225"/>
      <c r="AX328">
        <f t="shared" si="205"/>
        <v>0</v>
      </c>
      <c r="AY328">
        <f t="shared" si="206"/>
        <v>0</v>
      </c>
    </row>
    <row r="329" spans="14:51" x14ac:dyDescent="0.2">
      <c r="N329" s="170">
        <v>11</v>
      </c>
      <c r="O329" s="199">
        <f t="shared" si="208"/>
        <v>12882.49551693136</v>
      </c>
      <c r="P329" s="189" t="str">
        <f t="shared" si="173"/>
        <v>771.276595744681</v>
      </c>
      <c r="Q329" s="160" t="str">
        <f t="shared" si="174"/>
        <v>1+715.537061917826i</v>
      </c>
      <c r="R329" s="160">
        <f t="shared" si="182"/>
        <v>715.53776069330877</v>
      </c>
      <c r="S329" s="160">
        <f t="shared" si="183"/>
        <v>1.5693987760568953</v>
      </c>
      <c r="T329" s="160" t="str">
        <f t="shared" si="175"/>
        <v>1+0.0134689329302179i</v>
      </c>
      <c r="U329" s="160">
        <f t="shared" si="184"/>
        <v>1.0000907019637162</v>
      </c>
      <c r="V329" s="160">
        <f t="shared" si="185"/>
        <v>1.3468118542813691E-2</v>
      </c>
      <c r="W329" s="98" t="str">
        <f t="shared" si="176"/>
        <v>1-0.0550413124552171i</v>
      </c>
      <c r="X329" s="160">
        <f t="shared" si="186"/>
        <v>1.0015136275042855</v>
      </c>
      <c r="Y329" s="160">
        <f t="shared" si="187"/>
        <v>-5.4985829875168833E-2</v>
      </c>
      <c r="Z329" s="98" t="str">
        <f t="shared" si="177"/>
        <v>0.933616523702497-0.376857529166114i</v>
      </c>
      <c r="AA329" s="160">
        <f t="shared" si="188"/>
        <v>1.0068075340498421</v>
      </c>
      <c r="AB329" s="160">
        <f t="shared" si="189"/>
        <v>-0.38365192831017336</v>
      </c>
      <c r="AC329" s="171" t="str">
        <f t="shared" si="190"/>
        <v>0.361175510035892-1.00967234348858i</v>
      </c>
      <c r="AD329" s="190">
        <f t="shared" si="191"/>
        <v>0.60654782738399438</v>
      </c>
      <c r="AE329" s="169">
        <f t="shared" si="192"/>
        <v>-70.317079581214998</v>
      </c>
      <c r="AF329" s="98" t="str">
        <f t="shared" si="178"/>
        <v>-0.0000119284294234592</v>
      </c>
      <c r="AG329" s="98" t="str">
        <f t="shared" si="179"/>
        <v>0.00145964704044843i</v>
      </c>
      <c r="AH329" s="98">
        <f t="shared" si="193"/>
        <v>1.4596470404484301E-3</v>
      </c>
      <c r="AI329" s="98">
        <f t="shared" si="194"/>
        <v>1.5707963267948966</v>
      </c>
      <c r="AJ329" s="98" t="str">
        <f t="shared" si="180"/>
        <v>1+0.0799870325931848i</v>
      </c>
      <c r="AK329" s="98">
        <f t="shared" si="195"/>
        <v>1.0031938623132934</v>
      </c>
      <c r="AL329" s="98">
        <f t="shared" si="196"/>
        <v>7.9817100755777429E-2</v>
      </c>
      <c r="AM329" s="98" t="str">
        <f t="shared" si="181"/>
        <v>1+43.7092775379666i</v>
      </c>
      <c r="AN329" s="98">
        <f t="shared" si="197"/>
        <v>43.720715260514567</v>
      </c>
      <c r="AO329" s="98">
        <f t="shared" si="198"/>
        <v>1.5479218791539904</v>
      </c>
      <c r="AP329" s="168" t="str">
        <f t="shared" si="199"/>
        <v>-0.354277712646459+0.0365097557264227i</v>
      </c>
      <c r="AQ329" s="98">
        <f t="shared" si="200"/>
        <v>-8.9672438769198486</v>
      </c>
      <c r="AR329" s="169">
        <f t="shared" si="201"/>
        <v>174.11620768520658</v>
      </c>
      <c r="AS329" s="168" t="str">
        <f t="shared" si="202"/>
        <v>-0.0910935429349412+0.370890838019301i</v>
      </c>
      <c r="AT329" s="190">
        <f t="shared" si="203"/>
        <v>-8.3606960495358447</v>
      </c>
      <c r="AU329" s="169">
        <f t="shared" si="204"/>
        <v>103.79912810399156</v>
      </c>
      <c r="AV329" s="225"/>
      <c r="AX329">
        <f t="shared" si="205"/>
        <v>0</v>
      </c>
      <c r="AY329">
        <f t="shared" si="206"/>
        <v>0</v>
      </c>
    </row>
    <row r="330" spans="14:51" x14ac:dyDescent="0.2">
      <c r="N330" s="170">
        <v>12</v>
      </c>
      <c r="O330" s="199">
        <f t="shared" si="208"/>
        <v>13182.567385564091</v>
      </c>
      <c r="P330" s="189" t="str">
        <f t="shared" si="173"/>
        <v>771.276595744681</v>
      </c>
      <c r="Q330" s="160" t="str">
        <f t="shared" si="174"/>
        <v>1+732.204061177671i</v>
      </c>
      <c r="R330" s="160">
        <f t="shared" si="182"/>
        <v>732.20474404709671</v>
      </c>
      <c r="S330" s="160">
        <f t="shared" si="183"/>
        <v>1.5694305881555286</v>
      </c>
      <c r="T330" s="160" t="str">
        <f t="shared" si="175"/>
        <v>1+0.0137826646809914i</v>
      </c>
      <c r="U330" s="160">
        <f t="shared" si="184"/>
        <v>1.0000949764125948</v>
      </c>
      <c r="V330" s="160">
        <f t="shared" si="185"/>
        <v>1.3781792053641587E-2</v>
      </c>
      <c r="W330" s="98" t="str">
        <f t="shared" si="176"/>
        <v>1-0.0563233893213591i</v>
      </c>
      <c r="X330" s="160">
        <f t="shared" si="186"/>
        <v>1.0015849061286044</v>
      </c>
      <c r="Y330" s="160">
        <f t="shared" si="187"/>
        <v>-5.626394374541787E-2</v>
      </c>
      <c r="Z330" s="98" t="str">
        <f t="shared" si="177"/>
        <v>0.930487966850025-0.385635668683924i</v>
      </c>
      <c r="AA330" s="160">
        <f t="shared" si="188"/>
        <v>1.0072351887290227</v>
      </c>
      <c r="AB330" s="160">
        <f t="shared" si="189"/>
        <v>-0.39289622768638233</v>
      </c>
      <c r="AC330" s="171" t="str">
        <f t="shared" si="190"/>
        <v>0.360954251765662-0.98340123301711i</v>
      </c>
      <c r="AD330" s="190">
        <f t="shared" si="191"/>
        <v>0.40351483169533964</v>
      </c>
      <c r="AE330" s="169">
        <f t="shared" si="192"/>
        <v>-69.844501303578838</v>
      </c>
      <c r="AF330" s="98" t="str">
        <f t="shared" si="178"/>
        <v>-0.0000119284294234592</v>
      </c>
      <c r="AG330" s="98" t="str">
        <f t="shared" si="179"/>
        <v>0.00149364658769422i</v>
      </c>
      <c r="AH330" s="98">
        <f t="shared" si="193"/>
        <v>1.4936465876942201E-3</v>
      </c>
      <c r="AI330" s="98">
        <f t="shared" si="194"/>
        <v>1.5707963267948966</v>
      </c>
      <c r="AJ330" s="98" t="str">
        <f t="shared" si="180"/>
        <v>1+0.0818501699259382i</v>
      </c>
      <c r="AK330" s="98">
        <f t="shared" si="195"/>
        <v>1.0033441335438729</v>
      </c>
      <c r="AL330" s="98">
        <f t="shared" si="196"/>
        <v>8.1668117442874666E-2</v>
      </c>
      <c r="AM330" s="98" t="str">
        <f t="shared" si="181"/>
        <v>1+44.7273974022558i</v>
      </c>
      <c r="AN330" s="98">
        <f t="shared" si="197"/>
        <v>44.738574836256447</v>
      </c>
      <c r="AO330" s="98">
        <f t="shared" si="198"/>
        <v>1.5484423896925232</v>
      </c>
      <c r="AP330" s="168" t="str">
        <f t="shared" si="199"/>
        <v>-0.354171599979136+0.0369751179664213i</v>
      </c>
      <c r="AQ330" s="98">
        <f t="shared" si="200"/>
        <v>-8.9686471217189805</v>
      </c>
      <c r="AR330" s="169">
        <f t="shared" si="201"/>
        <v>174.03997529827765</v>
      </c>
      <c r="AS330" s="168" t="str">
        <f t="shared" si="202"/>
        <v>-0.0914783682679846+0.361639114158642i</v>
      </c>
      <c r="AT330" s="190">
        <f t="shared" si="203"/>
        <v>-8.565132290023632</v>
      </c>
      <c r="AU330" s="169">
        <f t="shared" si="204"/>
        <v>104.1954739946988</v>
      </c>
      <c r="AV330" s="225"/>
      <c r="AX330">
        <f t="shared" si="205"/>
        <v>0</v>
      </c>
      <c r="AY330">
        <f t="shared" si="206"/>
        <v>0</v>
      </c>
    </row>
    <row r="331" spans="14:51" x14ac:dyDescent="0.2">
      <c r="N331" s="170">
        <v>13</v>
      </c>
      <c r="O331" s="199">
        <f t="shared" si="208"/>
        <v>13489.628825916556</v>
      </c>
      <c r="P331" s="189" t="str">
        <f t="shared" si="173"/>
        <v>771.276595744681</v>
      </c>
      <c r="Q331" s="160" t="str">
        <f t="shared" si="174"/>
        <v>1+749.25928472262i</v>
      </c>
      <c r="R331" s="160">
        <f t="shared" si="182"/>
        <v>749.25995204805395</v>
      </c>
      <c r="S331" s="160">
        <f t="shared" si="183"/>
        <v>1.5694616761250608</v>
      </c>
      <c r="T331" s="160" t="str">
        <f t="shared" si="175"/>
        <v>1+0.014103704183014i</v>
      </c>
      <c r="U331" s="160">
        <f t="shared" si="184"/>
        <v>1.000099452290462</v>
      </c>
      <c r="V331" s="160">
        <f t="shared" si="185"/>
        <v>1.4102769150984197E-2</v>
      </c>
      <c r="W331" s="98" t="str">
        <f t="shared" si="176"/>
        <v>1-0.0576353295940474i</v>
      </c>
      <c r="X331" s="160">
        <f t="shared" si="186"/>
        <v>1.001659538574567</v>
      </c>
      <c r="Y331" s="160">
        <f t="shared" si="187"/>
        <v>-5.75716382101292E-2</v>
      </c>
      <c r="Z331" s="98" t="str">
        <f t="shared" si="177"/>
        <v>0.9272119656556-0.394618277337762i</v>
      </c>
      <c r="AA331" s="160">
        <f t="shared" si="188"/>
        <v>1.0076932142591537</v>
      </c>
      <c r="AB331" s="160">
        <f t="shared" si="189"/>
        <v>-0.40237588023877147</v>
      </c>
      <c r="AC331" s="171" t="str">
        <f t="shared" si="190"/>
        <v>0.360721663779694-0.957637344538755i</v>
      </c>
      <c r="AD331" s="190">
        <f t="shared" si="191"/>
        <v>0.20025238476572474</v>
      </c>
      <c r="AE331" s="169">
        <f t="shared" si="192"/>
        <v>-69.359673171246854</v>
      </c>
      <c r="AF331" s="98" t="str">
        <f t="shared" si="178"/>
        <v>-0.0000119284294234592</v>
      </c>
      <c r="AG331" s="98" t="str">
        <f t="shared" si="179"/>
        <v>0.00152843808613156i</v>
      </c>
      <c r="AH331" s="98">
        <f t="shared" si="193"/>
        <v>1.52843808613156E-3</v>
      </c>
      <c r="AI331" s="98">
        <f t="shared" si="194"/>
        <v>1.5707963267948966</v>
      </c>
      <c r="AJ331" s="98" t="str">
        <f t="shared" si="180"/>
        <v>1+0.0837567053022015i</v>
      </c>
      <c r="AK331" s="98">
        <f t="shared" si="195"/>
        <v>1.0035014627209469</v>
      </c>
      <c r="AL331" s="98">
        <f t="shared" si="196"/>
        <v>8.356166929470206E-2</v>
      </c>
      <c r="AM331" s="98" t="str">
        <f t="shared" si="181"/>
        <v>1+45.7692323246848i</v>
      </c>
      <c r="AN331" s="98">
        <f t="shared" si="197"/>
        <v>45.780155390638114</v>
      </c>
      <c r="AO331" s="98">
        <f t="shared" si="198"/>
        <v>1.5489510636712798</v>
      </c>
      <c r="AP331" s="168" t="str">
        <f t="shared" si="199"/>
        <v>-0.354060554484094+0.0374592717359655i</v>
      </c>
      <c r="AQ331" s="98">
        <f t="shared" si="200"/>
        <v>-8.9701066623979315</v>
      </c>
      <c r="AR331" s="169">
        <f t="shared" si="201"/>
        <v>173.96062764100967</v>
      </c>
      <c r="AS331" s="168" t="str">
        <f t="shared" si="202"/>
        <v>-0.0918449147786777+0.35257398002664i</v>
      </c>
      <c r="AT331" s="190">
        <f t="shared" si="203"/>
        <v>-8.769854277632211</v>
      </c>
      <c r="AU331" s="169">
        <f t="shared" si="204"/>
        <v>104.60095446976278</v>
      </c>
      <c r="AV331" s="225"/>
      <c r="AX331">
        <f t="shared" si="205"/>
        <v>0</v>
      </c>
      <c r="AY331">
        <f t="shared" si="206"/>
        <v>0</v>
      </c>
    </row>
    <row r="332" spans="14:51" x14ac:dyDescent="0.2">
      <c r="N332" s="170">
        <v>14</v>
      </c>
      <c r="O332" s="199">
        <f t="shared" si="208"/>
        <v>13803.842646028841</v>
      </c>
      <c r="P332" s="189" t="str">
        <f t="shared" si="173"/>
        <v>771.276595744681</v>
      </c>
      <c r="Q332" s="160" t="str">
        <f t="shared" si="174"/>
        <v>1+766.711775457945i</v>
      </c>
      <c r="R332" s="160">
        <f t="shared" si="182"/>
        <v>766.71242759321058</v>
      </c>
      <c r="S332" s="160">
        <f t="shared" si="183"/>
        <v>1.5694920564485044</v>
      </c>
      <c r="T332" s="160" t="str">
        <f t="shared" si="175"/>
        <v>1+0.0144322216556789i</v>
      </c>
      <c r="U332" s="160">
        <f t="shared" si="184"/>
        <v>1.0001041390884844</v>
      </c>
      <c r="V332" s="160">
        <f t="shared" si="185"/>
        <v>1.443121975644243E-2</v>
      </c>
      <c r="W332" s="98" t="str">
        <f t="shared" si="176"/>
        <v>1-0.0589778288813801i</v>
      </c>
      <c r="X332" s="160">
        <f t="shared" si="186"/>
        <v>1.0017376823797541</v>
      </c>
      <c r="Y332" s="160">
        <f t="shared" si="187"/>
        <v>-5.8909588726154295E-2</v>
      </c>
      <c r="Z332" s="98" t="str">
        <f t="shared" si="177"/>
        <v>0.92378157128147-0.403810117825635i</v>
      </c>
      <c r="AA332" s="160">
        <f t="shared" si="188"/>
        <v>1.0081840123199806</v>
      </c>
      <c r="AB332" s="160">
        <f t="shared" si="189"/>
        <v>-0.41209755135359061</v>
      </c>
      <c r="AC332" s="171" t="str">
        <f t="shared" si="190"/>
        <v>0.360476274461154-0.932366269808077i</v>
      </c>
      <c r="AD332" s="190">
        <f t="shared" si="191"/>
        <v>-3.2584066648343214E-3</v>
      </c>
      <c r="AE332" s="169">
        <f t="shared" si="192"/>
        <v>-68.862243195161341</v>
      </c>
      <c r="AF332" s="98" t="str">
        <f t="shared" si="178"/>
        <v>-0.0000119284294234592</v>
      </c>
      <c r="AG332" s="98" t="str">
        <f t="shared" si="179"/>
        <v>0.00156403998267343i</v>
      </c>
      <c r="AH332" s="98">
        <f t="shared" si="193"/>
        <v>1.56403998267343E-3</v>
      </c>
      <c r="AI332" s="98">
        <f t="shared" si="194"/>
        <v>1.5707963267948966</v>
      </c>
      <c r="AJ332" s="98" t="str">
        <f t="shared" si="180"/>
        <v>1+0.0857076495922669i</v>
      </c>
      <c r="AK332" s="98">
        <f t="shared" si="195"/>
        <v>1.0036661801608295</v>
      </c>
      <c r="AL332" s="98">
        <f t="shared" si="196"/>
        <v>8.5498705952059412E-2</v>
      </c>
      <c r="AM332" s="98" t="str">
        <f t="shared" si="181"/>
        <v>1+46.8353346999196i</v>
      </c>
      <c r="AN332" s="98">
        <f t="shared" si="197"/>
        <v>46.846009183851429</v>
      </c>
      <c r="AO332" s="98">
        <f t="shared" si="198"/>
        <v>1.5494481697423812</v>
      </c>
      <c r="AP332" s="168" t="str">
        <f t="shared" si="199"/>
        <v>-0.353944350185016+0.0379624164025087i</v>
      </c>
      <c r="AQ332" s="98">
        <f t="shared" si="200"/>
        <v>-8.9716255357398609</v>
      </c>
      <c r="AR332" s="169">
        <f t="shared" si="201"/>
        <v>173.87812569562533</v>
      </c>
      <c r="AS332" s="168" t="str">
        <f t="shared" si="202"/>
        <v>-0.0921936641471606+0.343690323935966i</v>
      </c>
      <c r="AT332" s="190">
        <f t="shared" si="203"/>
        <v>-8.9748839424047073</v>
      </c>
      <c r="AU332" s="169">
        <f t="shared" si="204"/>
        <v>105.015882500464</v>
      </c>
      <c r="AV332" s="225"/>
      <c r="AX332">
        <f t="shared" si="205"/>
        <v>0</v>
      </c>
      <c r="AY332">
        <f t="shared" si="206"/>
        <v>0</v>
      </c>
    </row>
    <row r="333" spans="14:51" x14ac:dyDescent="0.2">
      <c r="N333" s="170">
        <v>15</v>
      </c>
      <c r="O333" s="199">
        <f t="shared" si="208"/>
        <v>14125.375446227561</v>
      </c>
      <c r="P333" s="189" t="str">
        <f t="shared" si="173"/>
        <v>771.276595744681</v>
      </c>
      <c r="Q333" s="160" t="str">
        <f t="shared" si="174"/>
        <v>1+784.570786925252i</v>
      </c>
      <c r="R333" s="160">
        <f t="shared" si="182"/>
        <v>784.571424216119</v>
      </c>
      <c r="S333" s="160">
        <f t="shared" si="183"/>
        <v>1.5695217452336845</v>
      </c>
      <c r="T333" s="160" t="str">
        <f t="shared" si="175"/>
        <v>1+0.0147683912832988i</v>
      </c>
      <c r="U333" s="160">
        <f t="shared" si="184"/>
        <v>1.000109046744952</v>
      </c>
      <c r="V333" s="160">
        <f t="shared" si="185"/>
        <v>1.4767317735246919E-2</v>
      </c>
      <c r="W333" s="98" t="str">
        <f t="shared" si="176"/>
        <v>1-0.0603515989942499i</v>
      </c>
      <c r="X333" s="160">
        <f t="shared" si="186"/>
        <v>1.0018195024559877</v>
      </c>
      <c r="Y333" s="160">
        <f t="shared" si="187"/>
        <v>-6.0278485521085168E-2</v>
      </c>
      <c r="Z333" s="98" t="str">
        <f t="shared" si="177"/>
        <v>0.920189507401244-0.413216063783038i</v>
      </c>
      <c r="AA333" s="160">
        <f t="shared" si="188"/>
        <v>1.0087101887557655</v>
      </c>
      <c r="AB333" s="160">
        <f t="shared" si="189"/>
        <v>-0.42206811517464038</v>
      </c>
      <c r="AC333" s="171" t="str">
        <f t="shared" si="190"/>
        <v>0.360216498012247-0.907573841798016i</v>
      </c>
      <c r="AD333" s="190">
        <f t="shared" si="191"/>
        <v>-0.2070380610085534</v>
      </c>
      <c r="AE333" s="169">
        <f t="shared" si="192"/>
        <v>-68.351848024189266</v>
      </c>
      <c r="AF333" s="98" t="str">
        <f t="shared" si="178"/>
        <v>-0.0000119284294234592</v>
      </c>
      <c r="AG333" s="98" t="str">
        <f t="shared" si="179"/>
        <v>0.00160047115391663i</v>
      </c>
      <c r="AH333" s="98">
        <f t="shared" si="193"/>
        <v>1.6004711539166301E-3</v>
      </c>
      <c r="AI333" s="98">
        <f t="shared" si="194"/>
        <v>1.5707963267948966</v>
      </c>
      <c r="AJ333" s="98" t="str">
        <f t="shared" si="180"/>
        <v>1+0.0877040372126213i</v>
      </c>
      <c r="AK333" s="98">
        <f t="shared" si="195"/>
        <v>1.0038386315257015</v>
      </c>
      <c r="AL333" s="98">
        <f t="shared" si="196"/>
        <v>8.748019628129812E-2</v>
      </c>
      <c r="AM333" s="98" t="str">
        <f t="shared" si="181"/>
        <v>1+47.9262697895515i</v>
      </c>
      <c r="AN333" s="98">
        <f t="shared" si="197"/>
        <v>47.936701346055052</v>
      </c>
      <c r="AO333" s="98">
        <f t="shared" si="198"/>
        <v>1.5499339704947461</v>
      </c>
      <c r="AP333" s="168" t="str">
        <f t="shared" si="199"/>
        <v>-0.353822751072515+0.0384847574008651i</v>
      </c>
      <c r="AQ333" s="98">
        <f t="shared" si="200"/>
        <v>-8.9732068987899698</v>
      </c>
      <c r="AR333" s="169">
        <f t="shared" si="201"/>
        <v>173.79242899540878</v>
      </c>
      <c r="AS333" s="168" t="str">
        <f t="shared" si="202"/>
        <v>-0.0925250331834326+0.334983118044216i</v>
      </c>
      <c r="AT333" s="190">
        <f t="shared" si="203"/>
        <v>-9.1802449597985252</v>
      </c>
      <c r="AU333" s="169">
        <f t="shared" si="204"/>
        <v>105.44058097121953</v>
      </c>
      <c r="AV333" s="225"/>
      <c r="AX333">
        <f t="shared" si="205"/>
        <v>0</v>
      </c>
      <c r="AY333">
        <f t="shared" si="206"/>
        <v>0</v>
      </c>
    </row>
    <row r="334" spans="14:51" x14ac:dyDescent="0.2">
      <c r="N334" s="170">
        <v>16</v>
      </c>
      <c r="O334" s="199">
        <f t="shared" si="208"/>
        <v>14454.397707459291</v>
      </c>
      <c r="P334" s="189" t="str">
        <f t="shared" si="173"/>
        <v>771.276595744681</v>
      </c>
      <c r="Q334" s="160" t="str">
        <f t="shared" si="174"/>
        <v>1+802.845788208807i</v>
      </c>
      <c r="R334" s="160">
        <f t="shared" si="182"/>
        <v>802.846410993174</v>
      </c>
      <c r="S334" s="160">
        <f t="shared" si="183"/>
        <v>1.5695507582217787</v>
      </c>
      <c r="T334" s="160" t="str">
        <f t="shared" si="175"/>
        <v>1+0.0151123913074599i</v>
      </c>
      <c r="U334" s="160">
        <f t="shared" si="184"/>
        <v>1.0001141856663316</v>
      </c>
      <c r="V334" s="160">
        <f t="shared" si="185"/>
        <v>1.51112409870904E-2</v>
      </c>
      <c r="W334" s="98" t="str">
        <f t="shared" si="176"/>
        <v>1-0.0617573683237541i</v>
      </c>
      <c r="X334" s="160">
        <f t="shared" si="186"/>
        <v>1.0019051714320453</v>
      </c>
      <c r="Y334" s="160">
        <f t="shared" si="187"/>
        <v>-6.1679033869354964E-2</v>
      </c>
      <c r="Z334" s="98" t="str">
        <f t="shared" si="177"/>
        <v>0.916428154765838-0.42284110236702i</v>
      </c>
      <c r="AA334" s="160">
        <f t="shared" si="188"/>
        <v>1.0092745715108826</v>
      </c>
      <c r="AB334" s="160">
        <f t="shared" si="189"/>
        <v>-0.4322946594100619</v>
      </c>
      <c r="AC334" s="171" t="str">
        <f t="shared" si="190"/>
        <v>0.359940624019727-0.88324612994159i</v>
      </c>
      <c r="AD334" s="190">
        <f t="shared" si="191"/>
        <v>-0.41110886145925202</v>
      </c>
      <c r="AE334" s="169">
        <f t="shared" si="192"/>
        <v>-67.828112680817412</v>
      </c>
      <c r="AF334" s="98" t="str">
        <f t="shared" si="178"/>
        <v>-0.0000119284294234592</v>
      </c>
      <c r="AG334" s="98" t="str">
        <f t="shared" si="179"/>
        <v>0.00163775091615038i</v>
      </c>
      <c r="AH334" s="98">
        <f t="shared" si="193"/>
        <v>1.6377509161503801E-3</v>
      </c>
      <c r="AI334" s="98">
        <f t="shared" si="194"/>
        <v>1.5707963267948966</v>
      </c>
      <c r="AJ334" s="98" t="str">
        <f t="shared" si="180"/>
        <v>1+0.0897469266744059i</v>
      </c>
      <c r="AK334" s="98">
        <f t="shared" si="195"/>
        <v>1.0040191785257397</v>
      </c>
      <c r="AL334" s="98">
        <f t="shared" si="196"/>
        <v>8.950712862081861E-2</v>
      </c>
      <c r="AM334" s="98" t="str">
        <f t="shared" si="181"/>
        <v>1+49.0426160218048i</v>
      </c>
      <c r="AN334" s="98">
        <f t="shared" si="197"/>
        <v>49.052810177014166</v>
      </c>
      <c r="AO334" s="98">
        <f t="shared" si="198"/>
        <v>1.5504087225886369</v>
      </c>
      <c r="AP334" s="168" t="str">
        <f t="shared" si="199"/>
        <v>-0.353695510689296+0.0390265060677836i</v>
      </c>
      <c r="AQ334" s="98">
        <f t="shared" si="200"/>
        <v>-8.9748540350158752</v>
      </c>
      <c r="AR334" s="169">
        <f t="shared" si="201"/>
        <v>173.70349561829065</v>
      </c>
      <c r="AS334" s="168" t="str">
        <f t="shared" si="202"/>
        <v>-0.0928393723809694+0.326447415941383i</v>
      </c>
      <c r="AT334" s="190">
        <f t="shared" si="203"/>
        <v>-9.3859628964751192</v>
      </c>
      <c r="AU334" s="169">
        <f t="shared" si="204"/>
        <v>105.87538293747323</v>
      </c>
      <c r="AV334" s="225"/>
      <c r="AX334">
        <f t="shared" si="205"/>
        <v>0</v>
      </c>
      <c r="AY334">
        <f t="shared" si="206"/>
        <v>0</v>
      </c>
    </row>
    <row r="335" spans="14:51" x14ac:dyDescent="0.2">
      <c r="N335" s="170">
        <v>17</v>
      </c>
      <c r="O335" s="199">
        <f t="shared" si="208"/>
        <v>14791.083881682089</v>
      </c>
      <c r="P335" s="189" t="str">
        <f t="shared" si="173"/>
        <v>771.276595744681</v>
      </c>
      <c r="Q335" s="160" t="str">
        <f t="shared" si="174"/>
        <v>1+821.546468956191i</v>
      </c>
      <c r="R335" s="160">
        <f t="shared" si="182"/>
        <v>821.54707756426581</v>
      </c>
      <c r="S335" s="160">
        <f t="shared" si="183"/>
        <v>1.5695791107956618</v>
      </c>
      <c r="T335" s="160" t="str">
        <f t="shared" si="175"/>
        <v>1+0.0154644041215283i</v>
      </c>
      <c r="U335" s="160">
        <f t="shared" si="184"/>
        <v>1.0001195667493132</v>
      </c>
      <c r="V335" s="160">
        <f t="shared" si="185"/>
        <v>1.5463171539003742E-2</v>
      </c>
      <c r="W335" s="98" t="str">
        <f t="shared" si="176"/>
        <v>1-0.063195882227399i</v>
      </c>
      <c r="X335" s="160">
        <f t="shared" si="186"/>
        <v>1.0019948700120671</v>
      </c>
      <c r="Y335" s="160">
        <f t="shared" si="187"/>
        <v>-6.3111954370021636E-2</v>
      </c>
      <c r="Z335" s="98" t="str">
        <f t="shared" si="177"/>
        <v>0.912489535042018-0.432690336900441i</v>
      </c>
      <c r="AA335" s="160">
        <f t="shared" si="188"/>
        <v>1.0098802301303929</v>
      </c>
      <c r="AB335" s="160">
        <f t="shared" si="189"/>
        <v>-0.44278448976979157</v>
      </c>
      <c r="AC335" s="171" t="str">
        <f t="shared" si="190"/>
        <v>0.359646806312497-0.85936943620353i</v>
      </c>
      <c r="AD335" s="190">
        <f t="shared" si="191"/>
        <v>-0.61549500690905123</v>
      </c>
      <c r="AE335" s="169">
        <f t="shared" si="192"/>
        <v>-67.290650317978148</v>
      </c>
      <c r="AF335" s="98" t="str">
        <f t="shared" si="178"/>
        <v>-0.0000119284294234592</v>
      </c>
      <c r="AG335" s="98" t="str">
        <f t="shared" si="179"/>
        <v>0.00167589903559807i</v>
      </c>
      <c r="AH335" s="98">
        <f t="shared" si="193"/>
        <v>1.6758990355980701E-3</v>
      </c>
      <c r="AI335" s="98">
        <f t="shared" si="194"/>
        <v>1.5707963267948966</v>
      </c>
      <c r="AJ335" s="98" t="str">
        <f t="shared" si="180"/>
        <v>1+0.0918374011446542i</v>
      </c>
      <c r="AK335" s="98">
        <f t="shared" si="195"/>
        <v>1.0042081996523451</v>
      </c>
      <c r="AL335" s="98">
        <f t="shared" si="196"/>
        <v>9.158051101959537E-2</v>
      </c>
      <c r="AM335" s="98" t="str">
        <f t="shared" si="181"/>
        <v>1+50.1849652982287i</v>
      </c>
      <c r="AN335" s="98">
        <f t="shared" si="197"/>
        <v>50.194927452725928</v>
      </c>
      <c r="AO335" s="98">
        <f t="shared" si="198"/>
        <v>1.550872676887374</v>
      </c>
      <c r="AP335" s="168" t="str">
        <f t="shared" si="199"/>
        <v>-0.353562371701152+0.0395878794614389i</v>
      </c>
      <c r="AQ335" s="98">
        <f t="shared" si="200"/>
        <v>-8.9765703606858551</v>
      </c>
      <c r="AR335" s="169">
        <f t="shared" si="201"/>
        <v>173.61128218072861</v>
      </c>
      <c r="AS335" s="168" t="str">
        <f t="shared" si="202"/>
        <v>-0.0931369641613213+0.318078350448593i</v>
      </c>
      <c r="AT335" s="190">
        <f t="shared" si="203"/>
        <v>-9.5920653675948948</v>
      </c>
      <c r="AU335" s="169">
        <f t="shared" si="204"/>
        <v>106.32063186275045</v>
      </c>
      <c r="AV335" s="225"/>
      <c r="AX335">
        <f t="shared" si="205"/>
        <v>0</v>
      </c>
      <c r="AY335">
        <f t="shared" si="206"/>
        <v>0</v>
      </c>
    </row>
    <row r="336" spans="14:51" x14ac:dyDescent="0.2">
      <c r="N336" s="170">
        <v>18</v>
      </c>
      <c r="O336" s="199">
        <f t="shared" si="208"/>
        <v>15135.612484362096</v>
      </c>
      <c r="P336" s="189" t="str">
        <f t="shared" si="173"/>
        <v>771.276595744681</v>
      </c>
      <c r="Q336" s="160" t="str">
        <f t="shared" si="174"/>
        <v>1+840.682744515868i</v>
      </c>
      <c r="R336" s="160">
        <f t="shared" si="182"/>
        <v>840.68333927034143</v>
      </c>
      <c r="S336" s="160">
        <f t="shared" si="183"/>
        <v>1.5696068179880611</v>
      </c>
      <c r="T336" s="160" t="str">
        <f t="shared" si="175"/>
        <v>1+0.0158246163673575i</v>
      </c>
      <c r="U336" s="160">
        <f t="shared" si="184"/>
        <v>1.0001252014038913</v>
      </c>
      <c r="V336" s="160">
        <f t="shared" si="185"/>
        <v>1.5823295640316655E-2</v>
      </c>
      <c r="W336" s="98" t="str">
        <f t="shared" si="176"/>
        <v>1-0.0646679034242972i</v>
      </c>
      <c r="X336" s="160">
        <f t="shared" si="186"/>
        <v>1.0020887873503497</v>
      </c>
      <c r="Y336" s="160">
        <f t="shared" si="187"/>
        <v>-6.4577983225941035E-2</v>
      </c>
      <c r="Z336" s="98" t="str">
        <f t="shared" si="177"/>
        <v>0.908365293889289-0.442768989577819i</v>
      </c>
      <c r="AA336" s="160">
        <f t="shared" si="188"/>
        <v>1.0105304969541182</v>
      </c>
      <c r="AB336" s="160">
        <f t="shared" si="189"/>
        <v>-0.45354513393426599</v>
      </c>
      <c r="AC336" s="171" t="str">
        <f t="shared" si="190"/>
        <v>0.35933305108731-0.835930292087448i</v>
      </c>
      <c r="AD336" s="190">
        <f t="shared" si="191"/>
        <v>-0.82022277489608841</v>
      </c>
      <c r="AE336" s="169">
        <f t="shared" si="192"/>
        <v>-66.739062002680754</v>
      </c>
      <c r="AF336" s="98" t="str">
        <f t="shared" si="178"/>
        <v>-0.0000119284294234592</v>
      </c>
      <c r="AG336" s="98" t="str">
        <f t="shared" si="179"/>
        <v>0.00171493573889758i</v>
      </c>
      <c r="AH336" s="98">
        <f t="shared" si="193"/>
        <v>1.71493573889758E-3</v>
      </c>
      <c r="AI336" s="98">
        <f t="shared" si="194"/>
        <v>1.5707963267948966</v>
      </c>
      <c r="AJ336" s="98" t="str">
        <f t="shared" si="180"/>
        <v>1+0.0939765690206011i</v>
      </c>
      <c r="AK336" s="98">
        <f t="shared" si="195"/>
        <v>1.0044060909437398</v>
      </c>
      <c r="AL336" s="98">
        <f t="shared" si="196"/>
        <v>9.3701371466638705E-2</v>
      </c>
      <c r="AM336" s="98" t="str">
        <f t="shared" si="181"/>
        <v>1+51.3539233075303i</v>
      </c>
      <c r="AN336" s="98">
        <f t="shared" si="197"/>
        <v>51.363658739187414</v>
      </c>
      <c r="AO336" s="98">
        <f t="shared" si="198"/>
        <v>1.5513260785862666</v>
      </c>
      <c r="AP336" s="168" t="str">
        <f t="shared" si="199"/>
        <v>-0.353423065453604+0.0401691001646109i</v>
      </c>
      <c r="AQ336" s="98">
        <f t="shared" si="200"/>
        <v>-8.9783594314740274</v>
      </c>
      <c r="AR336" s="169">
        <f t="shared" si="201"/>
        <v>173.51574383194739</v>
      </c>
      <c r="AS336" s="168" t="str">
        <f t="shared" si="202"/>
        <v>-0.0934180208005805+0.309871131656654i</v>
      </c>
      <c r="AT336" s="190">
        <f t="shared" si="203"/>
        <v>-9.79858220637011</v>
      </c>
      <c r="AU336" s="169">
        <f t="shared" si="204"/>
        <v>106.77668182926664</v>
      </c>
      <c r="AV336" s="225"/>
      <c r="AX336">
        <f t="shared" si="205"/>
        <v>0</v>
      </c>
      <c r="AY336">
        <f t="shared" si="206"/>
        <v>0</v>
      </c>
    </row>
    <row r="337" spans="14:51" x14ac:dyDescent="0.2">
      <c r="N337" s="170">
        <v>19</v>
      </c>
      <c r="O337" s="199">
        <f t="shared" si="208"/>
        <v>15488.166189124853</v>
      </c>
      <c r="P337" s="189" t="str">
        <f t="shared" si="173"/>
        <v>771.276595744681</v>
      </c>
      <c r="Q337" s="160" t="str">
        <f t="shared" si="174"/>
        <v>1+860.26476119444i</v>
      </c>
      <c r="R337" s="160">
        <f t="shared" si="182"/>
        <v>860.26534241065815</v>
      </c>
      <c r="S337" s="160">
        <f t="shared" si="183"/>
        <v>1.5696338944895267</v>
      </c>
      <c r="T337" s="160" t="str">
        <f t="shared" si="175"/>
        <v>1+0.0161932190342482i</v>
      </c>
      <c r="U337" s="160">
        <f t="shared" si="184"/>
        <v>1.0001311015775338</v>
      </c>
      <c r="V337" s="160">
        <f t="shared" si="185"/>
        <v>1.6191803859745911E-2</v>
      </c>
      <c r="W337" s="98" t="str">
        <f t="shared" si="176"/>
        <v>1-0.066174212399572i</v>
      </c>
      <c r="X337" s="160">
        <f t="shared" si="186"/>
        <v>1.0021871214432481</v>
      </c>
      <c r="Y337" s="160">
        <f t="shared" si="187"/>
        <v>-6.6077872524017742E-2</v>
      </c>
      <c r="Z337" s="98" t="str">
        <f t="shared" si="177"/>
        <v>0.90404668323922-0.453082404234213i</v>
      </c>
      <c r="AA337" s="160">
        <f t="shared" si="188"/>
        <v>1.0112289901414464</v>
      </c>
      <c r="AB337" s="160">
        <f t="shared" si="189"/>
        <v>-0.46458434494018203</v>
      </c>
      <c r="AC337" s="171" t="str">
        <f t="shared" si="190"/>
        <v>0.358997204284134-0.812915456697331i</v>
      </c>
      <c r="AD337" s="190">
        <f t="shared" si="191"/>
        <v>-1.0253206973427293</v>
      </c>
      <c r="AE337" s="169">
        <f t="shared" si="192"/>
        <v>-66.172936532972855</v>
      </c>
      <c r="AF337" s="98" t="str">
        <f t="shared" si="178"/>
        <v>-0.0000119284294234592</v>
      </c>
      <c r="AG337" s="98" t="str">
        <f t="shared" si="179"/>
        <v>0.00175488172382571i</v>
      </c>
      <c r="AH337" s="98">
        <f t="shared" si="193"/>
        <v>1.7548817238257099E-3</v>
      </c>
      <c r="AI337" s="98">
        <f t="shared" si="194"/>
        <v>1.5707963267948966</v>
      </c>
      <c r="AJ337" s="98" t="str">
        <f t="shared" si="180"/>
        <v>1+0.0961655645173699i</v>
      </c>
      <c r="AK337" s="98">
        <f t="shared" si="195"/>
        <v>1.0046132667842609</v>
      </c>
      <c r="AL337" s="98">
        <f t="shared" si="196"/>
        <v>9.5870758110229645E-2</v>
      </c>
      <c r="AM337" s="98" t="str">
        <f t="shared" si="181"/>
        <v>1+52.5501098467191i</v>
      </c>
      <c r="AN337" s="98">
        <f t="shared" si="197"/>
        <v>52.559623713476526</v>
      </c>
      <c r="AO337" s="98">
        <f t="shared" si="198"/>
        <v>1.5517691673388119</v>
      </c>
      <c r="AP337" s="168" t="str">
        <f t="shared" si="199"/>
        <v>-0.353277311514027+0.0407703960702492i</v>
      </c>
      <c r="AQ337" s="98">
        <f t="shared" si="200"/>
        <v>-8.9802249493015793</v>
      </c>
      <c r="AR337" s="169">
        <f t="shared" si="201"/>
        <v>173.41683424860813</v>
      </c>
      <c r="AS337" s="168" t="str">
        <f t="shared" si="202"/>
        <v>-0.0936826820293731+0.301821045237007i</v>
      </c>
      <c r="AT337" s="190">
        <f t="shared" si="203"/>
        <v>-10.005545646644308</v>
      </c>
      <c r="AU337" s="169">
        <f t="shared" si="204"/>
        <v>107.24389771563528</v>
      </c>
      <c r="AV337" s="225"/>
      <c r="AX337">
        <f t="shared" si="205"/>
        <v>0</v>
      </c>
      <c r="AY337">
        <f t="shared" si="206"/>
        <v>0</v>
      </c>
    </row>
    <row r="338" spans="14:51" x14ac:dyDescent="0.2">
      <c r="N338" s="170">
        <v>20</v>
      </c>
      <c r="O338" s="199">
        <f t="shared" si="208"/>
        <v>15848.931924611146</v>
      </c>
      <c r="P338" s="189" t="str">
        <f t="shared" si="173"/>
        <v>771.276595744681</v>
      </c>
      <c r="Q338" s="160" t="str">
        <f t="shared" si="174"/>
        <v>1+880.302901636346i</v>
      </c>
      <c r="R338" s="160">
        <f t="shared" si="182"/>
        <v>880.30346962247643</v>
      </c>
      <c r="S338" s="160">
        <f t="shared" si="183"/>
        <v>1.5696603546562193</v>
      </c>
      <c r="T338" s="160" t="str">
        <f t="shared" si="175"/>
        <v>1+0.0165704075602135i</v>
      </c>
      <c r="U338" s="160">
        <f t="shared" si="184"/>
        <v>1.0001372797804866</v>
      </c>
      <c r="V338" s="160">
        <f t="shared" si="185"/>
        <v>1.6568891184655238E-2</v>
      </c>
      <c r="W338" s="98" t="str">
        <f t="shared" si="176"/>
        <v>1-0.0677156078181801i</v>
      </c>
      <c r="X338" s="160">
        <f t="shared" si="186"/>
        <v>1.0022900795389453</v>
      </c>
      <c r="Y338" s="160">
        <f t="shared" si="187"/>
        <v>-6.7612390516183854E-2</v>
      </c>
      <c r="Z338" s="98" t="str">
        <f t="shared" si="177"/>
        <v>0.899524542739617-0.463636049178586i</v>
      </c>
      <c r="AA338" s="160">
        <f t="shared" si="188"/>
        <v>1.011979638673054</v>
      </c>
      <c r="AB338" s="160">
        <f t="shared" si="189"/>
        <v>-0.47591010385257582</v>
      </c>
      <c r="AC338" s="171" t="str">
        <f t="shared" si="190"/>
        <v>0.358636938200275-0.790311915986698i</v>
      </c>
      <c r="AD338" s="190">
        <f t="shared" si="191"/>
        <v>-1.2308197498488764</v>
      </c>
      <c r="AE338" s="169">
        <f t="shared" si="192"/>
        <v>-65.591850295699501</v>
      </c>
      <c r="AF338" s="98" t="str">
        <f t="shared" si="178"/>
        <v>-0.0000119284294234592</v>
      </c>
      <c r="AG338" s="98" t="str">
        <f t="shared" si="179"/>
        <v>0.00179575817027242i</v>
      </c>
      <c r="AH338" s="98">
        <f t="shared" si="193"/>
        <v>1.79575817027242E-3</v>
      </c>
      <c r="AI338" s="98">
        <f t="shared" si="194"/>
        <v>1.5707963267948966</v>
      </c>
      <c r="AJ338" s="98" t="str">
        <f t="shared" si="180"/>
        <v>1+0.0984055482693472i</v>
      </c>
      <c r="AK338" s="98">
        <f t="shared" si="195"/>
        <v>1.0048301607387145</v>
      </c>
      <c r="AL338" s="98">
        <f t="shared" si="196"/>
        <v>9.8089739465675216E-2</v>
      </c>
      <c r="AM338" s="98" t="str">
        <f t="shared" si="181"/>
        <v>1+53.7741591497314i</v>
      </c>
      <c r="AN338" s="98">
        <f t="shared" si="197"/>
        <v>53.78345649231408</v>
      </c>
      <c r="AO338" s="98">
        <f t="shared" si="198"/>
        <v>1.5522021773802077</v>
      </c>
      <c r="AP338" s="168" t="str">
        <f t="shared" si="199"/>
        <v>-0.353124817199185+0.0413920001480463i</v>
      </c>
      <c r="AQ338" s="98">
        <f t="shared" si="200"/>
        <v>-8.9821707694222948</v>
      </c>
      <c r="AR338" s="169">
        <f t="shared" si="201"/>
        <v>173.31450562998165</v>
      </c>
      <c r="AS338" s="168" t="str">
        <f t="shared" si="202"/>
        <v>-0.0939310122993234+0.293923451062221i</v>
      </c>
      <c r="AT338" s="190">
        <f t="shared" si="203"/>
        <v>-10.212990519271173</v>
      </c>
      <c r="AU338" s="169">
        <f t="shared" si="204"/>
        <v>107.72265533428218</v>
      </c>
      <c r="AV338" s="225"/>
      <c r="AX338">
        <f t="shared" si="205"/>
        <v>0</v>
      </c>
      <c r="AY338">
        <f t="shared" si="206"/>
        <v>0</v>
      </c>
    </row>
    <row r="339" spans="14:51" x14ac:dyDescent="0.2">
      <c r="N339" s="170">
        <v>21</v>
      </c>
      <c r="O339" s="199">
        <f t="shared" si="208"/>
        <v>16218.100973589309</v>
      </c>
      <c r="P339" s="189" t="str">
        <f t="shared" ref="P339:P402" si="209">COMPLEX(Adc,0)</f>
        <v>771.276595744681</v>
      </c>
      <c r="Q339" s="160" t="str">
        <f t="shared" ref="Q339:Q402" si="210">IMSUM(COMPLEX(1,0),IMDIV(COMPLEX(0,2*PI()*O339),COMPLEX(wp_lf,0)))</f>
        <v>1+900.807790328884i</v>
      </c>
      <c r="R339" s="160">
        <f t="shared" si="182"/>
        <v>900.80834538607974</v>
      </c>
      <c r="S339" s="160">
        <f t="shared" si="183"/>
        <v>1.5696862125175208</v>
      </c>
      <c r="T339" s="160" t="str">
        <f t="shared" ref="T339:T402" si="211">IMSUM(COMPLEX(1,0),IMDIV(COMPLEX(0,2*PI()*O339),COMPLEX(wz_esr,0)))</f>
        <v>1+0.0169563819356025i</v>
      </c>
      <c r="U339" s="160">
        <f t="shared" si="184"/>
        <v>1.0001437491122693</v>
      </c>
      <c r="V339" s="160">
        <f t="shared" si="185"/>
        <v>1.6954757122530462E-2</v>
      </c>
      <c r="W339" s="98" t="str">
        <f t="shared" ref="W339:W402" si="212">IMSUB(COMPLEX(1,0),IMDIV(COMPLEX(0,2*PI()*O339),COMPLEX(wz_rhp,0)))</f>
        <v>1-0.0692929069483754i</v>
      </c>
      <c r="X339" s="160">
        <f t="shared" si="186"/>
        <v>1.0023978785658698</v>
      </c>
      <c r="Y339" s="160">
        <f t="shared" si="187"/>
        <v>-6.9182321900729829E-2</v>
      </c>
      <c r="Z339" s="98" t="str">
        <f t="shared" ref="Z339:Z402" si="213">IF(Dc_Mode_Loop="CCM",IMSUM(COMPLEX(1,0),IMDIV(COMPLEX(0,2*PI()*O339),COMPLEX(Q*(wsl/2),0)),IMDIV(IMPOWER(COMPLEX(0,2*PI()*O339),2),IMPOWER(COMPLEX(wsl/2,0),2))),COMPLEX(1,0))</f>
        <v>0.894789280324185-0.474435520093181i</v>
      </c>
      <c r="AA339" s="160">
        <f t="shared" si="188"/>
        <v>1.0127867094848551</v>
      </c>
      <c r="AB339" s="160">
        <f t="shared" si="189"/>
        <v>-0.48753062157420324</v>
      </c>
      <c r="AC339" s="171" t="str">
        <f t="shared" si="190"/>
        <v>0.358249737341999-0.768106883344236i</v>
      </c>
      <c r="AD339" s="190">
        <f t="shared" si="191"/>
        <v>-1.4367535553006809</v>
      </c>
      <c r="AE339" s="169">
        <f t="shared" si="192"/>
        <v>-64.995367173574564</v>
      </c>
      <c r="AF339" s="98" t="str">
        <f t="shared" ref="AF339:AF402" si="214">COMPLEX(Adc_ea,0)</f>
        <v>-0.0000119284294234592</v>
      </c>
      <c r="AG339" s="98" t="str">
        <f t="shared" ref="AG339:AG402" si="215">COMPLEX(0,2*PI()*O339*wp0_ea)</f>
        <v>0.00183758675147067i</v>
      </c>
      <c r="AH339" s="98">
        <f t="shared" si="193"/>
        <v>1.83758675147067E-3</v>
      </c>
      <c r="AI339" s="98">
        <f t="shared" si="194"/>
        <v>1.5707963267948966</v>
      </c>
      <c r="AJ339" s="98" t="str">
        <f t="shared" ref="AJ339:AJ402" si="216">IMSUM(COMPLEX(1,0),IMDIV(COMPLEX(0,2*PI()*O339),COMPLEX(wp1_ea,0)))</f>
        <v>1+0.100697707945568i</v>
      </c>
      <c r="AK339" s="98">
        <f t="shared" si="195"/>
        <v>1.0050572264231976</v>
      </c>
      <c r="AL339" s="98">
        <f t="shared" si="196"/>
        <v>0.1003594046102472</v>
      </c>
      <c r="AM339" s="98" t="str">
        <f t="shared" ref="AM339:AM402" si="217">IMSUM(COMPLEX(1,0),IMDIV(COMPLEX(0,2*PI()*O339),COMPLEX(wz_ea,0)))</f>
        <v>1+55.02672022371i</v>
      </c>
      <c r="AN339" s="98">
        <f t="shared" si="197"/>
        <v>55.035805968282645</v>
      </c>
      <c r="AO339" s="98">
        <f t="shared" si="198"/>
        <v>1.5526253376482302</v>
      </c>
      <c r="AP339" s="168" t="str">
        <f t="shared" si="199"/>
        <v>-0.352965277088089+0.0420341501905696i</v>
      </c>
      <c r="AQ339" s="98">
        <f t="shared" si="200"/>
        <v>-8.9842009077617853</v>
      </c>
      <c r="AR339" s="169">
        <f t="shared" si="201"/>
        <v>173.20870869370506</v>
      </c>
      <c r="AS339" s="168" t="str">
        <f t="shared" si="202"/>
        <v>-0.0941629977107518+0.286173782178032i</v>
      </c>
      <c r="AT339" s="190">
        <f t="shared" si="203"/>
        <v>-10.420954463062479</v>
      </c>
      <c r="AU339" s="169">
        <f t="shared" si="204"/>
        <v>108.2133415201305</v>
      </c>
      <c r="AV339" s="225"/>
      <c r="AX339">
        <f t="shared" si="205"/>
        <v>0</v>
      </c>
      <c r="AY339">
        <f t="shared" si="206"/>
        <v>0</v>
      </c>
    </row>
    <row r="340" spans="14:51" x14ac:dyDescent="0.2">
      <c r="N340" s="170">
        <v>22</v>
      </c>
      <c r="O340" s="199">
        <f t="shared" si="208"/>
        <v>16595.869074375616</v>
      </c>
      <c r="P340" s="189" t="str">
        <f t="shared" si="209"/>
        <v>771.276595744681</v>
      </c>
      <c r="Q340" s="160" t="str">
        <f t="shared" si="210"/>
        <v>1+921.790299235461i</v>
      </c>
      <c r="R340" s="160">
        <f t="shared" ref="R340:R403" si="218">IMABS(Q340)</f>
        <v>921.79084165801987</v>
      </c>
      <c r="S340" s="160">
        <f t="shared" ref="S340:S403" si="219">IMARGUMENT(Q340)</f>
        <v>1.5697114817834736</v>
      </c>
      <c r="T340" s="160" t="str">
        <f t="shared" si="211"/>
        <v>1+0.017351346809138i</v>
      </c>
      <c r="U340" s="160">
        <f t="shared" ref="U340:U403" si="220">IMABS(T340)</f>
        <v>1.0001505232894152</v>
      </c>
      <c r="V340" s="160">
        <f t="shared" ref="V340:V403" si="221">IMARGUMENT(T340)</f>
        <v>1.7349605804715243E-2</v>
      </c>
      <c r="W340" s="98" t="str">
        <f t="shared" si="212"/>
        <v>1-0.0709069460950351i</v>
      </c>
      <c r="X340" s="160">
        <f t="shared" ref="X340:X403" si="222">IMABS(W340)</f>
        <v>1.0025107455805768</v>
      </c>
      <c r="Y340" s="160">
        <f t="shared" ref="Y340:Y403" si="223">IMARGUMENT(W340)</f>
        <v>-7.0788468103569591E-2</v>
      </c>
      <c r="Z340" s="98" t="str">
        <f t="shared" si="213"/>
        <v>0.889830851866473-0.485486543000428i</v>
      </c>
      <c r="AA340" s="160">
        <f t="shared" ref="AA340:AA403" si="224">IMABS(Z340)</f>
        <v>1.013654836898596</v>
      </c>
      <c r="AB340" s="160">
        <f t="shared" ref="AB340:AB403" si="225">IMARGUMENT(Z340)</f>
        <v>-0.4994543396228992</v>
      </c>
      <c r="AC340" s="171" t="str">
        <f t="shared" ref="AC340:AC403" si="226">(IMDIV(IMPRODUCT(P340,T340,W340),IMPRODUCT(Q340,Z340)))</f>
        <v>0.357832883524575-0.746287801681287i</v>
      </c>
      <c r="AD340" s="190">
        <f t="shared" ref="AD340:AD403" si="227">20*LOG(IMABS(AC340))</f>
        <v>-1.6431586025372178</v>
      </c>
      <c r="AE340" s="169">
        <f t="shared" ref="AE340:AE403" si="228">(180/PI())*IMARGUMENT(AC340)</f>
        <v>-64.383038511239036</v>
      </c>
      <c r="AF340" s="98" t="str">
        <f t="shared" si="214"/>
        <v>-0.0000119284294234592</v>
      </c>
      <c r="AG340" s="98" t="str">
        <f t="shared" si="215"/>
        <v>0.0018803896454879i</v>
      </c>
      <c r="AH340" s="98">
        <f t="shared" ref="AH340:AH403" si="229">IMABS(AG340)</f>
        <v>1.8803896454879E-3</v>
      </c>
      <c r="AI340" s="98">
        <f t="shared" ref="AI340:AI403" si="230">IMARGUMENT(AG340)</f>
        <v>1.5707963267948966</v>
      </c>
      <c r="AJ340" s="98" t="str">
        <f t="shared" si="216"/>
        <v>1+0.103043258879434i</v>
      </c>
      <c r="AK340" s="98">
        <f t="shared" ref="AK340:AK403" si="231">IMABS(AJ340)</f>
        <v>1.0052949384138439</v>
      </c>
      <c r="AL340" s="98">
        <f t="shared" ref="AL340:AL403" si="232">IMARGUMENT(AJ340)</f>
        <v>0.10268086336386532</v>
      </c>
      <c r="AM340" s="98" t="str">
        <f t="shared" si="217"/>
        <v>1+56.3084571931163i</v>
      </c>
      <c r="AN340" s="98">
        <f t="shared" ref="AN340:AN403" si="233">IMABS(AM340)</f>
        <v>56.317336153879033</v>
      </c>
      <c r="AO340" s="98">
        <f t="shared" ref="AO340:AO403" si="234">IMARGUMENT(AM340)</f>
        <v>1.5530388719015225</v>
      </c>
      <c r="AP340" s="168" t="str">
        <f t="shared" ref="AP340:AP403" si="235">IMPRODUCT(AF340,IMDIV(AM340,IMPRODUCT(AG340,AJ340)))</f>
        <v>-0.35279837252016+0.0426970885374139i</v>
      </c>
      <c r="AQ340" s="98">
        <f t="shared" ref="AQ340:AQ403" si="236">20*LOG(IMABS(AP340))</f>
        <v>-8.986319548519548</v>
      </c>
      <c r="AR340" s="169">
        <f t="shared" ref="AR340:AR403" si="237">(180/PI())*IMARGUMENT(AP340)</f>
        <v>173.09939267220679</v>
      </c>
      <c r="AS340" s="168" t="str">
        <f t="shared" ref="AS340:AS403" si="238">IMPRODUCT(AC340,AP340)</f>
        <v>-0.0943785425988881+0.278567544174253i</v>
      </c>
      <c r="AT340" s="190">
        <f t="shared" ref="AT340:AT403" si="239">20*LOG(IMABS(AS340))</f>
        <v>-10.629478151056764</v>
      </c>
      <c r="AU340" s="169">
        <f t="shared" ref="AU340:AU403" si="240">(180/PI())*IMARGUMENT(AS340)</f>
        <v>108.71635416096774</v>
      </c>
      <c r="AV340" s="225"/>
      <c r="AX340">
        <f t="shared" ref="AX340:AX403" si="241">SUM((AT341&lt;0)*(AT340&gt;0))*O340</f>
        <v>0</v>
      </c>
      <c r="AY340">
        <f t="shared" ref="AY340:AY403" si="242">IF(AX340&gt;0,AU340,0)</f>
        <v>0</v>
      </c>
    </row>
    <row r="341" spans="14:51" x14ac:dyDescent="0.2">
      <c r="N341" s="170">
        <v>23</v>
      </c>
      <c r="O341" s="199">
        <f t="shared" si="208"/>
        <v>16982.436524617482</v>
      </c>
      <c r="P341" s="189" t="str">
        <f t="shared" si="209"/>
        <v>771.276595744681</v>
      </c>
      <c r="Q341" s="160" t="str">
        <f t="shared" si="210"/>
        <v>1+943.261553560032i</v>
      </c>
      <c r="R341" s="160">
        <f t="shared" si="218"/>
        <v>943.26208363555293</v>
      </c>
      <c r="S341" s="160">
        <f t="shared" si="219"/>
        <v>1.5697361758520476</v>
      </c>
      <c r="T341" s="160" t="str">
        <f t="shared" si="211"/>
        <v>1+0.0177555115964241i</v>
      </c>
      <c r="U341" s="160">
        <f t="shared" si="220"/>
        <v>1.0001576166745174</v>
      </c>
      <c r="V341" s="160">
        <f t="shared" si="221"/>
        <v>1.775364609245236E-2</v>
      </c>
      <c r="W341" s="98" t="str">
        <f t="shared" si="212"/>
        <v>1-0.0725585810430791i</v>
      </c>
      <c r="X341" s="160">
        <f t="shared" si="222"/>
        <v>1.0026289182359469</v>
      </c>
      <c r="Y341" s="160">
        <f t="shared" si="223"/>
        <v>-7.2431647558989468E-2</v>
      </c>
      <c r="Z341" s="98" t="str">
        <f t="shared" si="213"/>
        <v>0.884638739874934-0.49679497729895i</v>
      </c>
      <c r="AA341" s="160">
        <f t="shared" si="224"/>
        <v>1.0145890545225567</v>
      </c>
      <c r="AB341" s="160">
        <f t="shared" si="225"/>
        <v>-0.51168992968532856</v>
      </c>
      <c r="AC341" s="171" t="str">
        <f t="shared" si="226"/>
        <v>0.357383440246899-0.724842347203965i</v>
      </c>
      <c r="AD341" s="190">
        <f t="shared" si="227"/>
        <v>-1.8500744807833818</v>
      </c>
      <c r="AE341" s="169">
        <f t="shared" si="228"/>
        <v>-63.754403151255495</v>
      </c>
      <c r="AF341" s="98" t="str">
        <f t="shared" si="214"/>
        <v>-0.0000119284294234592</v>
      </c>
      <c r="AG341" s="98" t="str">
        <f t="shared" si="215"/>
        <v>0.00192418954698506i</v>
      </c>
      <c r="AH341" s="98">
        <f t="shared" si="229"/>
        <v>1.9241895469850601E-3</v>
      </c>
      <c r="AI341" s="98">
        <f t="shared" si="230"/>
        <v>1.5707963267948966</v>
      </c>
      <c r="AJ341" s="98" t="str">
        <f t="shared" si="216"/>
        <v>1+0.105443444713097i</v>
      </c>
      <c r="AK341" s="98">
        <f t="shared" si="231"/>
        <v>1.0055437931949875</v>
      </c>
      <c r="AL341" s="98">
        <f t="shared" si="232"/>
        <v>0.10505524645398744</v>
      </c>
      <c r="AM341" s="98" t="str">
        <f t="shared" si="217"/>
        <v>1+57.620049651857i</v>
      </c>
      <c r="AN341" s="98">
        <f t="shared" si="233"/>
        <v>57.628726533582757</v>
      </c>
      <c r="AO341" s="98">
        <f t="shared" si="234"/>
        <v>1.5534429988353451</v>
      </c>
      <c r="AP341" s="168" t="str">
        <f t="shared" si="235"/>
        <v>-0.352623771078772+0.0433810617757679i</v>
      </c>
      <c r="AQ341" s="98">
        <f t="shared" si="236"/>
        <v>-8.9885310520419708</v>
      </c>
      <c r="AR341" s="169">
        <f t="shared" si="237"/>
        <v>172.98650530989116</v>
      </c>
      <c r="AS341" s="168" t="str">
        <f t="shared" si="238"/>
        <v>-0.0945774657792187+0.271100315007638i</v>
      </c>
      <c r="AT341" s="190">
        <f t="shared" si="239"/>
        <v>-10.838605532825348</v>
      </c>
      <c r="AU341" s="169">
        <f t="shared" si="240"/>
        <v>109.23210215863566</v>
      </c>
      <c r="AV341" s="225"/>
      <c r="AX341">
        <f t="shared" si="241"/>
        <v>0</v>
      </c>
      <c r="AY341">
        <f t="shared" si="242"/>
        <v>0</v>
      </c>
    </row>
    <row r="342" spans="14:51" x14ac:dyDescent="0.2">
      <c r="N342" s="170">
        <v>24</v>
      </c>
      <c r="O342" s="199">
        <f t="shared" si="208"/>
        <v>17378.008287493791</v>
      </c>
      <c r="P342" s="189" t="str">
        <f t="shared" si="209"/>
        <v>771.276595744681</v>
      </c>
      <c r="Q342" s="160" t="str">
        <f t="shared" si="210"/>
        <v>1+965.232937645833i</v>
      </c>
      <c r="R342" s="160">
        <f t="shared" si="218"/>
        <v>965.23345565536863</v>
      </c>
      <c r="S342" s="160">
        <f t="shared" si="219"/>
        <v>1.5697603078162441</v>
      </c>
      <c r="T342" s="160" t="str">
        <f t="shared" si="211"/>
        <v>1+0.0181690905909803i</v>
      </c>
      <c r="U342" s="160">
        <f t="shared" si="220"/>
        <v>1.0001650443066401</v>
      </c>
      <c r="V342" s="160">
        <f t="shared" si="221"/>
        <v>1.8167091685275336E-2</v>
      </c>
      <c r="W342" s="98" t="str">
        <f t="shared" si="212"/>
        <v>1-0.0742486875112176i</v>
      </c>
      <c r="X342" s="160">
        <f t="shared" si="222"/>
        <v>1.0027526452705764</v>
      </c>
      <c r="Y342" s="160">
        <f t="shared" si="223"/>
        <v>-7.4112695989388924E-2</v>
      </c>
      <c r="Z342" s="98" t="str">
        <f t="shared" si="213"/>
        <v>0.879201931183919-0.508366818870289i</v>
      </c>
      <c r="AA342" s="160">
        <f t="shared" si="224"/>
        <v>1.0155948298045976</v>
      </c>
      <c r="AB342" s="160">
        <f t="shared" si="225"/>
        <v>-0.52424629173115811</v>
      </c>
      <c r="AC342" s="171" t="str">
        <f t="shared" si="226"/>
        <v>0.356898236385549-0.703758435070701i</v>
      </c>
      <c r="AD342" s="190">
        <f t="shared" si="227"/>
        <v>-2.057544130503965</v>
      </c>
      <c r="AE342" s="169">
        <f t="shared" si="228"/>
        <v>-63.10898755238297</v>
      </c>
      <c r="AF342" s="98" t="str">
        <f t="shared" si="214"/>
        <v>-0.0000119284294234592</v>
      </c>
      <c r="AG342" s="98" t="str">
        <f t="shared" si="215"/>
        <v>0.00196900967924969i</v>
      </c>
      <c r="AH342" s="98">
        <f t="shared" si="229"/>
        <v>1.9690096792496902E-3</v>
      </c>
      <c r="AI342" s="98">
        <f t="shared" si="230"/>
        <v>1.5707963267948966</v>
      </c>
      <c r="AJ342" s="98" t="str">
        <f t="shared" si="216"/>
        <v>1+0.107899538056855i</v>
      </c>
      <c r="AK342" s="98">
        <f t="shared" si="231"/>
        <v>1.0058043101482925</v>
      </c>
      <c r="AL342" s="98">
        <f t="shared" si="232"/>
        <v>0.10748370566307172</v>
      </c>
      <c r="AM342" s="98" t="str">
        <f t="shared" si="217"/>
        <v>1+58.9621930236141i</v>
      </c>
      <c r="AN342" s="98">
        <f t="shared" si="233"/>
        <v>58.970672424128992</v>
      </c>
      <c r="AO342" s="98">
        <f t="shared" si="234"/>
        <v>1.553837932194833</v>
      </c>
      <c r="AP342" s="168" t="str">
        <f t="shared" si="235"/>
        <v>-0.352441126060239+0.0440863204156891i</v>
      </c>
      <c r="AQ342" s="98">
        <f t="shared" si="236"/>
        <v>-8.9908399629761977</v>
      </c>
      <c r="AR342" s="169">
        <f t="shared" si="237"/>
        <v>172.8699928611785</v>
      </c>
      <c r="AS342" s="168" t="str">
        <f t="shared" si="238"/>
        <v>-0.0947594964568654+0.263767745335797i</v>
      </c>
      <c r="AT342" s="190">
        <f t="shared" si="239"/>
        <v>-11.048384093480168</v>
      </c>
      <c r="AU342" s="169">
        <f t="shared" si="240"/>
        <v>109.76100530879556</v>
      </c>
      <c r="AV342" s="225"/>
      <c r="AX342">
        <f t="shared" si="241"/>
        <v>0</v>
      </c>
      <c r="AY342">
        <f t="shared" si="242"/>
        <v>0</v>
      </c>
    </row>
    <row r="343" spans="14:51" x14ac:dyDescent="0.2">
      <c r="N343" s="170">
        <v>25</v>
      </c>
      <c r="O343" s="199">
        <f t="shared" si="208"/>
        <v>17782.794100389234</v>
      </c>
      <c r="P343" s="189" t="str">
        <f t="shared" si="209"/>
        <v>771.276595744681</v>
      </c>
      <c r="Q343" s="160" t="str">
        <f t="shared" si="210"/>
        <v>1+987.716101011542i</v>
      </c>
      <c r="R343" s="160">
        <f t="shared" si="218"/>
        <v>987.71660722974718</v>
      </c>
      <c r="S343" s="160">
        <f t="shared" si="219"/>
        <v>1.5697838904710379</v>
      </c>
      <c r="T343" s="160" t="str">
        <f t="shared" si="211"/>
        <v>1+0.0185923030778643i</v>
      </c>
      <c r="U343" s="160">
        <f t="shared" si="220"/>
        <v>1.0001728219331592</v>
      </c>
      <c r="V343" s="160">
        <f t="shared" si="221"/>
        <v>1.8590161231800129E-2</v>
      </c>
      <c r="W343" s="98" t="str">
        <f t="shared" si="212"/>
        <v>1-0.0759781616162721i</v>
      </c>
      <c r="X343" s="160">
        <f t="shared" si="222"/>
        <v>1.0028821870202842</v>
      </c>
      <c r="Y343" s="160">
        <f t="shared" si="223"/>
        <v>-7.5832466683483493E-2</v>
      </c>
      <c r="Z343" s="98" t="str">
        <f t="shared" si="213"/>
        <v>0.873508893593265-0.520208203258024i</v>
      </c>
      <c r="AA343" s="160">
        <f t="shared" si="224"/>
        <v>1.0166781014281125</v>
      </c>
      <c r="AB343" s="160">
        <f t="shared" si="225"/>
        <v>-0.53713255044518804</v>
      </c>
      <c r="AC343" s="171" t="str">
        <f t="shared" si="226"/>
        <v>0.35637384927595-0.683024227154446i</v>
      </c>
      <c r="AD343" s="190">
        <f t="shared" si="227"/>
        <v>-2.2656141112557835</v>
      </c>
      <c r="AE343" s="169">
        <f t="shared" si="228"/>
        <v>-62.446306003990316</v>
      </c>
      <c r="AF343" s="98" t="str">
        <f t="shared" si="214"/>
        <v>-0.0000119284294234592</v>
      </c>
      <c r="AG343" s="98" t="str">
        <f t="shared" si="215"/>
        <v>0.00201487380650918i</v>
      </c>
      <c r="AH343" s="98">
        <f t="shared" si="229"/>
        <v>2.0148738065091801E-3</v>
      </c>
      <c r="AI343" s="98">
        <f t="shared" si="230"/>
        <v>1.5707963267948966</v>
      </c>
      <c r="AJ343" s="98" t="str">
        <f t="shared" si="216"/>
        <v>1+0.11041284116391i</v>
      </c>
      <c r="AK343" s="98">
        <f t="shared" si="231"/>
        <v>1.0060770325844273</v>
      </c>
      <c r="AL343" s="98">
        <f t="shared" si="232"/>
        <v>0.1099674139568579</v>
      </c>
      <c r="AM343" s="98" t="str">
        <f t="shared" si="217"/>
        <v>1+60.3355989305692i</v>
      </c>
      <c r="AN343" s="98">
        <f t="shared" si="233"/>
        <v>60.343885343177099</v>
      </c>
      <c r="AO343" s="98">
        <f t="shared" si="234"/>
        <v>1.5542238808858091</v>
      </c>
      <c r="AP343" s="168" t="str">
        <f t="shared" si="235"/>
        <v>-0.352250075928488+0.0448131185383084i</v>
      </c>
      <c r="AQ343" s="98">
        <f t="shared" si="236"/>
        <v>-8.9932510187121029</v>
      </c>
      <c r="AR343" s="169">
        <f t="shared" si="237"/>
        <v>172.74980008950448</v>
      </c>
      <c r="AS343" s="168" t="str">
        <f t="shared" si="238"/>
        <v>-0.0949242698103722+0.256565559427707i</v>
      </c>
      <c r="AT343" s="190">
        <f t="shared" si="239"/>
        <v>-11.258865129967884</v>
      </c>
      <c r="AU343" s="169">
        <f t="shared" si="240"/>
        <v>110.30349408551412</v>
      </c>
      <c r="AV343" s="225"/>
      <c r="AX343">
        <f t="shared" si="241"/>
        <v>0</v>
      </c>
      <c r="AY343">
        <f t="shared" si="242"/>
        <v>0</v>
      </c>
    </row>
    <row r="344" spans="14:51" x14ac:dyDescent="0.2">
      <c r="N344" s="170">
        <v>26</v>
      </c>
      <c r="O344" s="199">
        <f t="shared" si="208"/>
        <v>18197.008586099837</v>
      </c>
      <c r="P344" s="189" t="str">
        <f t="shared" si="209"/>
        <v>771.276595744681</v>
      </c>
      <c r="Q344" s="160" t="str">
        <f t="shared" si="210"/>
        <v>1+1010.72296452798i</v>
      </c>
      <c r="R344" s="160">
        <f t="shared" si="218"/>
        <v>1010.7234592232578</v>
      </c>
      <c r="S344" s="160">
        <f t="shared" si="219"/>
        <v>1.5698069363201594</v>
      </c>
      <c r="T344" s="160" t="str">
        <f t="shared" si="211"/>
        <v>1+0.0190253734499384i</v>
      </c>
      <c r="U344" s="160">
        <f t="shared" si="220"/>
        <v>1.0001809660431005</v>
      </c>
      <c r="V344" s="160">
        <f t="shared" si="221"/>
        <v>1.9023078442958245E-2</v>
      </c>
      <c r="W344" s="98" t="str">
        <f t="shared" si="212"/>
        <v>1-0.0777479203483059i</v>
      </c>
      <c r="X344" s="160">
        <f t="shared" si="222"/>
        <v>1.0030178159526812</v>
      </c>
      <c r="Y344" s="160">
        <f t="shared" si="223"/>
        <v>-7.759183077237948E-2</v>
      </c>
      <c r="Z344" s="98" t="str">
        <f t="shared" si="213"/>
        <v>0.867547551406964-0.532325408920899i</v>
      </c>
      <c r="AA344" s="160">
        <f t="shared" si="224"/>
        <v>1.017845319749038</v>
      </c>
      <c r="AB344" s="160">
        <f t="shared" si="225"/>
        <v>-0.55035804970622892</v>
      </c>
      <c r="AC344" s="171" t="str">
        <f t="shared" si="226"/>
        <v>0.355806587275744-0.66262814214733i</v>
      </c>
      <c r="AD344" s="190">
        <f t="shared" si="227"/>
        <v>-2.4743348870063655</v>
      </c>
      <c r="AE344" s="169">
        <f t="shared" si="228"/>
        <v>-61.765860952111908</v>
      </c>
      <c r="AF344" s="98" t="str">
        <f t="shared" si="214"/>
        <v>-0.0000119284294234592</v>
      </c>
      <c r="AG344" s="98" t="str">
        <f t="shared" si="215"/>
        <v>0.00206180624653089i</v>
      </c>
      <c r="AH344" s="98">
        <f t="shared" si="229"/>
        <v>2.0618062465308901E-3</v>
      </c>
      <c r="AI344" s="98">
        <f t="shared" si="230"/>
        <v>1.5707963267948966</v>
      </c>
      <c r="AJ344" s="98" t="str">
        <f t="shared" si="216"/>
        <v>1+0.112984686620837i</v>
      </c>
      <c r="AK344" s="98">
        <f t="shared" si="231"/>
        <v>1.0063625288189186</v>
      </c>
      <c r="AL344" s="98">
        <f t="shared" si="232"/>
        <v>0.11250756559159061</v>
      </c>
      <c r="AM344" s="98" t="str">
        <f t="shared" si="217"/>
        <v>1+61.7409955707137i</v>
      </c>
      <c r="AN344" s="98">
        <f t="shared" si="233"/>
        <v>61.749093386566322</v>
      </c>
      <c r="AO344" s="98">
        <f t="shared" si="234"/>
        <v>1.5546010490831979</v>
      </c>
      <c r="AP344" s="168" t="str">
        <f t="shared" si="235"/>
        <v>-0.352050243755607+0.0455617134150806i</v>
      </c>
      <c r="AQ344" s="98">
        <f t="shared" si="236"/>
        <v>-8.9957691581226911</v>
      </c>
      <c r="AR344" s="169">
        <f t="shared" si="237"/>
        <v>172.62587026738794</v>
      </c>
      <c r="AS344" s="168" t="str">
        <f t="shared" si="238"/>
        <v>-0.0950713222669924+0.249489556722948i</v>
      </c>
      <c r="AT344" s="190">
        <f t="shared" si="239"/>
        <v>-11.470104045129052</v>
      </c>
      <c r="AU344" s="169">
        <f t="shared" si="240"/>
        <v>110.86000931527602</v>
      </c>
      <c r="AV344" s="225"/>
      <c r="AX344">
        <f t="shared" si="241"/>
        <v>0</v>
      </c>
      <c r="AY344">
        <f t="shared" si="242"/>
        <v>0</v>
      </c>
    </row>
    <row r="345" spans="14:51" x14ac:dyDescent="0.2">
      <c r="N345" s="170">
        <v>27</v>
      </c>
      <c r="O345" s="199">
        <f t="shared" si="208"/>
        <v>18620.871366628675</v>
      </c>
      <c r="P345" s="189" t="str">
        <f t="shared" si="209"/>
        <v>771.276595744681</v>
      </c>
      <c r="Q345" s="160" t="str">
        <f t="shared" si="210"/>
        <v>1+1034.26572673871i</v>
      </c>
      <c r="R345" s="160">
        <f t="shared" si="218"/>
        <v>1034.2662101733538</v>
      </c>
      <c r="S345" s="160">
        <f t="shared" si="219"/>
        <v>1.569829457582725</v>
      </c>
      <c r="T345" s="160" t="str">
        <f t="shared" si="211"/>
        <v>1+0.0194685313268463i</v>
      </c>
      <c r="U345" s="160">
        <f t="shared" si="220"/>
        <v>1.0001894939020428</v>
      </c>
      <c r="V345" s="160">
        <f t="shared" si="221"/>
        <v>1.94660722077237E-2</v>
      </c>
      <c r="W345" s="98" t="str">
        <f t="shared" si="212"/>
        <v>1-0.0795589020568236i</v>
      </c>
      <c r="X345" s="160">
        <f t="shared" si="222"/>
        <v>1.0031598172257934</v>
      </c>
      <c r="Y345" s="160">
        <f t="shared" si="223"/>
        <v>-7.9391677502899757E-2</v>
      </c>
      <c r="Z345" s="98" t="str">
        <f t="shared" si="213"/>
        <v>0.861305259818988-0.544724860561742i</v>
      </c>
      <c r="AA345" s="160">
        <f t="shared" si="224"/>
        <v>1.0191034904786971</v>
      </c>
      <c r="AB345" s="160">
        <f t="shared" si="225"/>
        <v>-0.56393234481096899</v>
      </c>
      <c r="AC345" s="171" t="str">
        <f t="shared" si="226"/>
        <v>0.355192471938225-0.642558868263227i</v>
      </c>
      <c r="AD345" s="190">
        <f t="shared" si="227"/>
        <v>-2.6837611292483987</v>
      </c>
      <c r="AE345" s="169">
        <f t="shared" si="228"/>
        <v>-61.067143454396998</v>
      </c>
      <c r="AF345" s="98" t="str">
        <f t="shared" si="214"/>
        <v>-0.0000119284294234592</v>
      </c>
      <c r="AG345" s="98" t="str">
        <f t="shared" si="215"/>
        <v>0.00210983188351575i</v>
      </c>
      <c r="AH345" s="98">
        <f t="shared" si="229"/>
        <v>2.1098318835157501E-3</v>
      </c>
      <c r="AI345" s="98">
        <f t="shared" si="230"/>
        <v>1.5707963267948966</v>
      </c>
      <c r="AJ345" s="98" t="str">
        <f t="shared" si="216"/>
        <v>1+0.115616438054139i</v>
      </c>
      <c r="AK345" s="98">
        <f t="shared" si="231"/>
        <v>1.0066613932938555</v>
      </c>
      <c r="AL345" s="98">
        <f t="shared" si="232"/>
        <v>0.11510537619820178</v>
      </c>
      <c r="AM345" s="98" t="str">
        <f t="shared" si="217"/>
        <v>1+63.1791281039484i</v>
      </c>
      <c r="AN345" s="98">
        <f t="shared" si="233"/>
        <v>63.187041614362059</v>
      </c>
      <c r="AO345" s="98">
        <f t="shared" si="234"/>
        <v>1.5549696363370882</v>
      </c>
      <c r="AP345" s="168" t="str">
        <f t="shared" si="235"/>
        <v>-0.35184123664868+0.0463323650961186i</v>
      </c>
      <c r="AQ345" s="98">
        <f t="shared" si="236"/>
        <v>-8.998399530609861</v>
      </c>
      <c r="AR345" s="169">
        <f t="shared" si="237"/>
        <v>172.49814517768505</v>
      </c>
      <c r="AS345" s="168" t="str">
        <f t="shared" si="238"/>
        <v>-0.095200086494926+0.242535614118545i</v>
      </c>
      <c r="AT345" s="190">
        <f t="shared" si="239"/>
        <v>-11.682160659858251</v>
      </c>
      <c r="AU345" s="169">
        <f t="shared" si="240"/>
        <v>111.43100172328801</v>
      </c>
      <c r="AV345" s="225"/>
      <c r="AX345">
        <f t="shared" si="241"/>
        <v>0</v>
      </c>
      <c r="AY345">
        <f t="shared" si="242"/>
        <v>0</v>
      </c>
    </row>
    <row r="346" spans="14:51" x14ac:dyDescent="0.2">
      <c r="N346" s="170">
        <v>28</v>
      </c>
      <c r="O346" s="199">
        <f t="shared" si="208"/>
        <v>19054.607179632505</v>
      </c>
      <c r="P346" s="189" t="str">
        <f t="shared" si="209"/>
        <v>771.276595744681</v>
      </c>
      <c r="Q346" s="160" t="str">
        <f t="shared" si="210"/>
        <v>1+1058.35687032789i</v>
      </c>
      <c r="R346" s="160">
        <f t="shared" si="218"/>
        <v>1058.3573427582228</v>
      </c>
      <c r="S346" s="160">
        <f t="shared" si="219"/>
        <v>1.5698514661997147</v>
      </c>
      <c r="T346" s="160" t="str">
        <f t="shared" si="211"/>
        <v>1+0.0199220116767603i</v>
      </c>
      <c r="U346" s="160">
        <f t="shared" si="220"/>
        <v>1.0001984235886643</v>
      </c>
      <c r="V346" s="160">
        <f t="shared" si="221"/>
        <v>1.9919376711378407E-2</v>
      </c>
      <c r="W346" s="98" t="str">
        <f t="shared" si="212"/>
        <v>1-0.0814120669482992i</v>
      </c>
      <c r="X346" s="160">
        <f t="shared" si="222"/>
        <v>1.0033084892717665</v>
      </c>
      <c r="Y346" s="160">
        <f t="shared" si="223"/>
        <v>-8.1232914507481824E-2</v>
      </c>
      <c r="Z346" s="98" t="str">
        <f t="shared" si="213"/>
        <v>0.854768778091957-0.557413132533946i</v>
      </c>
      <c r="AA346" s="160">
        <f t="shared" si="224"/>
        <v>1.0204602218225478</v>
      </c>
      <c r="AB346" s="160">
        <f t="shared" si="225"/>
        <v>-0.5778651921084389</v>
      </c>
      <c r="AC346" s="171" t="str">
        <f t="shared" si="226"/>
        <v>0.354527219962428-0.622805378810376i</v>
      </c>
      <c r="AD346" s="190">
        <f t="shared" si="227"/>
        <v>-2.8939520380560104</v>
      </c>
      <c r="AE346" s="169">
        <f t="shared" si="228"/>
        <v>-60.349633783070423</v>
      </c>
      <c r="AF346" s="98" t="str">
        <f t="shared" si="214"/>
        <v>-0.0000119284294234592</v>
      </c>
      <c r="AG346" s="98" t="str">
        <f t="shared" si="215"/>
        <v>0.00215897618129217i</v>
      </c>
      <c r="AH346" s="98">
        <f t="shared" si="229"/>
        <v>2.15897618129217E-3</v>
      </c>
      <c r="AI346" s="98">
        <f t="shared" si="230"/>
        <v>1.5707963267948966</v>
      </c>
      <c r="AJ346" s="98" t="str">
        <f t="shared" si="216"/>
        <v>1+0.118309490853264i</v>
      </c>
      <c r="AK346" s="98">
        <f t="shared" si="231"/>
        <v>1.0069742477471599</v>
      </c>
      <c r="AL346" s="98">
        <f t="shared" si="232"/>
        <v>0.11776208284133301</v>
      </c>
      <c r="AM346" s="98" t="str">
        <f t="shared" si="217"/>
        <v>1+64.6507590471789i</v>
      </c>
      <c r="AN346" s="98">
        <f t="shared" si="233"/>
        <v>64.658492445899043</v>
      </c>
      <c r="AO346" s="98">
        <f t="shared" si="234"/>
        <v>1.5553298376764917</v>
      </c>
      <c r="AP346" s="168" t="str">
        <f t="shared" si="235"/>
        <v>-0.351622645163346+0.0471253359655556i</v>
      </c>
      <c r="AQ346" s="98">
        <f t="shared" si="236"/>
        <v>-9.0011475054639511</v>
      </c>
      <c r="AR346" s="169">
        <f t="shared" si="237"/>
        <v>172.36656511615203</v>
      </c>
      <c r="AS346" s="168" t="str">
        <f t="shared" si="238"/>
        <v>-0.0953098861480022+0.235699689068928i</v>
      </c>
      <c r="AT346" s="190">
        <f t="shared" si="239"/>
        <v>-11.895099543519962</v>
      </c>
      <c r="AU346" s="169">
        <f t="shared" si="240"/>
        <v>112.01693133308162</v>
      </c>
      <c r="AV346" s="225"/>
      <c r="AX346">
        <f t="shared" si="241"/>
        <v>0</v>
      </c>
      <c r="AY346">
        <f t="shared" si="242"/>
        <v>0</v>
      </c>
    </row>
    <row r="347" spans="14:51" x14ac:dyDescent="0.2">
      <c r="N347" s="170">
        <v>29</v>
      </c>
      <c r="O347" s="199">
        <f t="shared" si="208"/>
        <v>19498.445997580486</v>
      </c>
      <c r="P347" s="189" t="str">
        <f t="shared" si="209"/>
        <v>771.276595744681</v>
      </c>
      <c r="Q347" s="160" t="str">
        <f t="shared" si="210"/>
        <v>1+1083.00916873872i</v>
      </c>
      <c r="R347" s="160">
        <f t="shared" si="218"/>
        <v>1083.0096304152303</v>
      </c>
      <c r="S347" s="160">
        <f t="shared" si="219"/>
        <v>1.5698729738403034</v>
      </c>
      <c r="T347" s="160" t="str">
        <f t="shared" si="211"/>
        <v>1+0.0203860549409641i</v>
      </c>
      <c r="U347" s="160">
        <f t="shared" si="220"/>
        <v>1.0002077740330035</v>
      </c>
      <c r="V347" s="160">
        <f t="shared" si="221"/>
        <v>2.0383231556364598E-2</v>
      </c>
      <c r="W347" s="98" t="str">
        <f t="shared" si="212"/>
        <v>1-0.0833083975952856i</v>
      </c>
      <c r="X347" s="160">
        <f t="shared" si="222"/>
        <v>1.0034641444067118</v>
      </c>
      <c r="Y347" s="160">
        <f t="shared" si="223"/>
        <v>-8.3116468069902E-2</v>
      </c>
      <c r="Z347" s="98" t="str">
        <f t="shared" si="213"/>
        <v>0.847924241471776-0.570396952327247i</v>
      </c>
      <c r="AA347" s="160">
        <f t="shared" si="224"/>
        <v>1.0219237752884009</v>
      </c>
      <c r="AB347" s="160">
        <f t="shared" si="225"/>
        <v>-0.5921665356764253</v>
      </c>
      <c r="AC347" s="171" t="str">
        <f t="shared" si="226"/>
        <v>0.353806225131828-0.603356950920705i</v>
      </c>
      <c r="AD347" s="190">
        <f t="shared" si="227"/>
        <v>-3.1049716809990811</v>
      </c>
      <c r="AE347" s="169">
        <f t="shared" si="228"/>
        <v>-59.612802196980319</v>
      </c>
      <c r="AF347" s="98" t="str">
        <f t="shared" si="214"/>
        <v>-0.0000119284294234592</v>
      </c>
      <c r="AG347" s="98" t="str">
        <f t="shared" si="215"/>
        <v>0.00220926519681734i</v>
      </c>
      <c r="AH347" s="98">
        <f t="shared" si="229"/>
        <v>2.20926519681734E-3</v>
      </c>
      <c r="AI347" s="98">
        <f t="shared" si="230"/>
        <v>1.5707963267948966</v>
      </c>
      <c r="AJ347" s="98" t="str">
        <f t="shared" si="216"/>
        <v>1+0.121065272910448i</v>
      </c>
      <c r="AK347" s="98">
        <f t="shared" si="231"/>
        <v>1.007301742431175</v>
      </c>
      <c r="AL347" s="98">
        <f t="shared" si="232"/>
        <v>0.12047894405092407</v>
      </c>
      <c r="AM347" s="98" t="str">
        <f t="shared" si="217"/>
        <v>1+66.1566686786093i</v>
      </c>
      <c r="AN347" s="98">
        <f t="shared" si="233"/>
        <v>66.164226064024078</v>
      </c>
      <c r="AO347" s="98">
        <f t="shared" si="234"/>
        <v>1.5556818437108366</v>
      </c>
      <c r="AP347" s="168" t="str">
        <f t="shared" si="235"/>
        <v>-0.351394042704607+0.0479408902617664i</v>
      </c>
      <c r="AQ347" s="98">
        <f t="shared" si="236"/>
        <v>-9.0040186815459187</v>
      </c>
      <c r="AR347" s="169">
        <f t="shared" si="237"/>
        <v>172.23106889545073</v>
      </c>
      <c r="AS347" s="168" t="str">
        <f t="shared" si="238"/>
        <v>-0.0953999304103659+0.228977823590926i</v>
      </c>
      <c r="AT347" s="190">
        <f t="shared" si="239"/>
        <v>-12.108990362545013</v>
      </c>
      <c r="AU347" s="169">
        <f t="shared" si="240"/>
        <v>112.61826669847046</v>
      </c>
      <c r="AV347" s="225"/>
      <c r="AX347">
        <f t="shared" si="241"/>
        <v>0</v>
      </c>
      <c r="AY347">
        <f t="shared" si="242"/>
        <v>0</v>
      </c>
    </row>
    <row r="348" spans="14:51" x14ac:dyDescent="0.2">
      <c r="N348" s="170">
        <v>30</v>
      </c>
      <c r="O348" s="199">
        <f t="shared" si="208"/>
        <v>19952.623149688792</v>
      </c>
      <c r="P348" s="189" t="str">
        <f t="shared" si="209"/>
        <v>771.276595744681</v>
      </c>
      <c r="Q348" s="160" t="str">
        <f t="shared" si="210"/>
        <v>1+1108.23569294614i</v>
      </c>
      <c r="R348" s="160">
        <f t="shared" si="218"/>
        <v>1108.236144113614</v>
      </c>
      <c r="S348" s="160">
        <f t="shared" si="219"/>
        <v>1.569893991908047</v>
      </c>
      <c r="T348" s="160" t="str">
        <f t="shared" si="211"/>
        <v>1+0.020860907161339i</v>
      </c>
      <c r="U348" s="160">
        <f t="shared" si="220"/>
        <v>1.0002175650565202</v>
      </c>
      <c r="V348" s="160">
        <f t="shared" si="221"/>
        <v>2.0857881885774417E-2</v>
      </c>
      <c r="W348" s="98" t="str">
        <f t="shared" si="212"/>
        <v>1-0.0852488994573948i</v>
      </c>
      <c r="X348" s="160">
        <f t="shared" si="222"/>
        <v>1.0036271094678029</v>
      </c>
      <c r="Y348" s="160">
        <f t="shared" si="223"/>
        <v>-8.50432833860503E-2</v>
      </c>
      <c r="Z348" s="98" t="str">
        <f t="shared" si="213"/>
        <v>0.840757131778601-0.583683204134772i</v>
      </c>
      <c r="AA348" s="160">
        <f t="shared" si="224"/>
        <v>1.0235031203790312</v>
      </c>
      <c r="AB348" s="160">
        <f t="shared" si="225"/>
        <v>-0.60684649063600504</v>
      </c>
      <c r="AC348" s="171" t="str">
        <f t="shared" si="226"/>
        <v>0.35302454050629-0.584203187733464i</v>
      </c>
      <c r="AD348" s="190">
        <f t="shared" si="227"/>
        <v>-3.3168893495493119</v>
      </c>
      <c r="AE348" s="169">
        <f t="shared" si="228"/>
        <v>-58.856109905826223</v>
      </c>
      <c r="AF348" s="98" t="str">
        <f t="shared" si="214"/>
        <v>-0.0000119284294234592</v>
      </c>
      <c r="AG348" s="98" t="str">
        <f t="shared" si="215"/>
        <v>0.00226072559399294i</v>
      </c>
      <c r="AH348" s="98">
        <f t="shared" si="229"/>
        <v>2.2607255939929398E-3</v>
      </c>
      <c r="AI348" s="98">
        <f t="shared" si="230"/>
        <v>1.5707963267948966</v>
      </c>
      <c r="AJ348" s="98" t="str">
        <f t="shared" si="216"/>
        <v>1+0.123885245377819i</v>
      </c>
      <c r="AK348" s="98">
        <f t="shared" si="231"/>
        <v>1.0076445573823751</v>
      </c>
      <c r="AL348" s="98">
        <f t="shared" si="232"/>
        <v>0.1232572398240136</v>
      </c>
      <c r="AM348" s="98" t="str">
        <f t="shared" si="217"/>
        <v>1+67.6976554514607i</v>
      </c>
      <c r="AN348" s="98">
        <f t="shared" si="233"/>
        <v>67.705040828764638</v>
      </c>
      <c r="AO348" s="98">
        <f t="shared" si="234"/>
        <v>1.5560258407292502</v>
      </c>
      <c r="AP348" s="168" t="str">
        <f t="shared" si="235"/>
        <v>-0.351154984915654+0.0487792935602243i</v>
      </c>
      <c r="AQ348" s="98">
        <f t="shared" si="236"/>
        <v>-9.0070188972973408</v>
      </c>
      <c r="AR348" s="169">
        <f t="shared" si="237"/>
        <v>172.09159385073386</v>
      </c>
      <c r="AS348" s="168" t="str">
        <f t="shared" si="238"/>
        <v>-0.0954693084030725+0.222366149271541i</v>
      </c>
      <c r="AT348" s="190">
        <f t="shared" si="239"/>
        <v>-12.32390824684666</v>
      </c>
      <c r="AU348" s="169">
        <f t="shared" si="240"/>
        <v>113.23548394490767</v>
      </c>
      <c r="AV348" s="225"/>
      <c r="AX348">
        <f t="shared" si="241"/>
        <v>0</v>
      </c>
      <c r="AY348">
        <f t="shared" si="242"/>
        <v>0</v>
      </c>
    </row>
    <row r="349" spans="14:51" x14ac:dyDescent="0.2">
      <c r="N349" s="170">
        <v>31</v>
      </c>
      <c r="O349" s="199">
        <f t="shared" si="208"/>
        <v>20417.379446695286</v>
      </c>
      <c r="P349" s="189" t="str">
        <f t="shared" si="209"/>
        <v>771.276595744681</v>
      </c>
      <c r="Q349" s="160" t="str">
        <f t="shared" si="210"/>
        <v>1+1134.04981838718i</v>
      </c>
      <c r="R349" s="160">
        <f t="shared" si="218"/>
        <v>1134.0502592848327</v>
      </c>
      <c r="S349" s="160">
        <f t="shared" si="219"/>
        <v>1.5699145315469289</v>
      </c>
      <c r="T349" s="160" t="str">
        <f t="shared" si="211"/>
        <v>1+0.0213468201108175i</v>
      </c>
      <c r="U349" s="160">
        <f t="shared" si="220"/>
        <v>1.0002278174140347</v>
      </c>
      <c r="V349" s="160">
        <f t="shared" si="221"/>
        <v>2.1343578509521666E-2</v>
      </c>
      <c r="W349" s="98" t="str">
        <f t="shared" si="212"/>
        <v>1-0.0872346014143983i</v>
      </c>
      <c r="X349" s="160">
        <f t="shared" si="222"/>
        <v>1.0037977264787608</v>
      </c>
      <c r="Y349" s="160">
        <f t="shared" si="223"/>
        <v>-8.7014324818873487E-2</v>
      </c>
      <c r="Z349" s="98" t="str">
        <f t="shared" si="213"/>
        <v>0.833252246611867-0.597278932503087i</v>
      </c>
      <c r="AA349" s="160">
        <f t="shared" si="224"/>
        <v>1.0252079933826845</v>
      </c>
      <c r="AB349" s="160">
        <f t="shared" si="225"/>
        <v>-0.62191532266398952</v>
      </c>
      <c r="AC349" s="171" t="str">
        <f t="shared" si="226"/>
        <v>0.352176861192466-0.565334044337469i</v>
      </c>
      <c r="AD349" s="190">
        <f t="shared" si="227"/>
        <v>-3.5297799322622101</v>
      </c>
      <c r="AE349" s="169">
        <f t="shared" si="228"/>
        <v>-58.079010251733578</v>
      </c>
      <c r="AF349" s="98" t="str">
        <f t="shared" si="214"/>
        <v>-0.0000119284294234592</v>
      </c>
      <c r="AG349" s="98" t="str">
        <f t="shared" si="215"/>
        <v>0.00231338465780272i</v>
      </c>
      <c r="AH349" s="98">
        <f t="shared" si="229"/>
        <v>2.3133846578027202E-3</v>
      </c>
      <c r="AI349" s="98">
        <f t="shared" si="230"/>
        <v>1.5707963267948966</v>
      </c>
      <c r="AJ349" s="98" t="str">
        <f t="shared" si="216"/>
        <v>1+0.126770903442103i</v>
      </c>
      <c r="AK349" s="98">
        <f t="shared" si="231"/>
        <v>1.0080034037440186</v>
      </c>
      <c r="AL349" s="98">
        <f t="shared" si="232"/>
        <v>0.12609827159414921</v>
      </c>
      <c r="AM349" s="98" t="str">
        <f t="shared" si="217"/>
        <v>1+69.2745364173165i</v>
      </c>
      <c r="AN349" s="98">
        <f t="shared" si="233"/>
        <v>69.281753700625316</v>
      </c>
      <c r="AO349" s="98">
        <f t="shared" si="234"/>
        <v>1.5563620107976657</v>
      </c>
      <c r="AP349" s="168" t="str">
        <f t="shared" si="235"/>
        <v>-0.350905009055418+0.0496408122166178i</v>
      </c>
      <c r="AQ349" s="98">
        <f t="shared" si="236"/>
        <v>-9.010154241088232</v>
      </c>
      <c r="AR349" s="169">
        <f t="shared" si="237"/>
        <v>171.94807584696136</v>
      </c>
      <c r="AS349" s="168" t="str">
        <f t="shared" si="238"/>
        <v>-0.0955169835312336+0.215860893381069i</v>
      </c>
      <c r="AT349" s="190">
        <f t="shared" si="239"/>
        <v>-12.539934173350431</v>
      </c>
      <c r="AU349" s="169">
        <f t="shared" si="240"/>
        <v>113.86906559522777</v>
      </c>
      <c r="AV349" s="225"/>
      <c r="AX349">
        <f t="shared" si="241"/>
        <v>0</v>
      </c>
      <c r="AY349">
        <f t="shared" si="242"/>
        <v>0</v>
      </c>
    </row>
    <row r="350" spans="14:51" x14ac:dyDescent="0.2">
      <c r="N350" s="170">
        <v>32</v>
      </c>
      <c r="O350" s="199">
        <f t="shared" si="208"/>
        <v>20892.961308540423</v>
      </c>
      <c r="P350" s="189" t="str">
        <f t="shared" si="209"/>
        <v>771.276595744681</v>
      </c>
      <c r="Q350" s="160" t="str">
        <f t="shared" si="210"/>
        <v>1+1160.46523205287i</v>
      </c>
      <c r="R350" s="160">
        <f t="shared" si="218"/>
        <v>1160.4656629144704</v>
      </c>
      <c r="S350" s="160">
        <f t="shared" si="219"/>
        <v>1.5699346036472683</v>
      </c>
      <c r="T350" s="160" t="str">
        <f t="shared" si="211"/>
        <v>1+0.0218440514268776i</v>
      </c>
      <c r="U350" s="160">
        <f t="shared" si="220"/>
        <v>1.0002385528376418</v>
      </c>
      <c r="V350" s="160">
        <f t="shared" si="221"/>
        <v>2.1840578033248684E-2</v>
      </c>
      <c r="W350" s="98" t="str">
        <f t="shared" si="212"/>
        <v>1-0.0892665563117591i</v>
      </c>
      <c r="X350" s="160">
        <f t="shared" si="222"/>
        <v>1.0039763533449184</v>
      </c>
      <c r="Y350" s="160">
        <f t="shared" si="223"/>
        <v>-8.9030576146591614E-2</v>
      </c>
      <c r="Z350" s="98" t="str">
        <f t="shared" si="213"/>
        <v>0.825393667103932-0.611191346067342i</v>
      </c>
      <c r="AA350" s="160">
        <f t="shared" si="224"/>
        <v>1.0270489604701842</v>
      </c>
      <c r="AB350" s="160">
        <f t="shared" si="225"/>
        <v>-0.63738342322755437</v>
      </c>
      <c r="AC350" s="171" t="str">
        <f t="shared" si="226"/>
        <v>0.351257508086869-0.546739857776022i</v>
      </c>
      <c r="AD350" s="190">
        <f t="shared" si="227"/>
        <v>-3.743724303603174</v>
      </c>
      <c r="AE350" s="169">
        <f t="shared" si="228"/>
        <v>-57.280950135379051</v>
      </c>
      <c r="AF350" s="98" t="str">
        <f t="shared" si="214"/>
        <v>-0.0000119284294234592</v>
      </c>
      <c r="AG350" s="98" t="str">
        <f t="shared" si="215"/>
        <v>0.00236727030877934i</v>
      </c>
      <c r="AH350" s="98">
        <f t="shared" si="229"/>
        <v>2.3672703087793401E-3</v>
      </c>
      <c r="AI350" s="98">
        <f t="shared" si="230"/>
        <v>1.5707963267948966</v>
      </c>
      <c r="AJ350" s="98" t="str">
        <f t="shared" si="216"/>
        <v>1+0.129723777117405i</v>
      </c>
      <c r="AK350" s="98">
        <f t="shared" si="231"/>
        <v>1.0083790251436244</v>
      </c>
      <c r="AL350" s="98">
        <f t="shared" si="232"/>
        <v>0.12900336216577271</v>
      </c>
      <c r="AM350" s="98" t="str">
        <f t="shared" si="217"/>
        <v>1+70.8881476593383i</v>
      </c>
      <c r="AN350" s="98">
        <f t="shared" si="233"/>
        <v>70.895200673756122</v>
      </c>
      <c r="AO350" s="98">
        <f t="shared" si="234"/>
        <v>1.5566905318538036</v>
      </c>
      <c r="AP350" s="168" t="str">
        <f t="shared" si="235"/>
        <v>-0.350643633365928+0.0505257127678198i</v>
      </c>
      <c r="AQ350" s="98">
        <f t="shared" si="236"/>
        <v>-9.0134310619061218</v>
      </c>
      <c r="AR350" s="169">
        <f t="shared" si="237"/>
        <v>171.8004492881019</v>
      </c>
      <c r="AS350" s="168" t="str">
        <f t="shared" si="238"/>
        <v>-0.0955417878699317+0.209458386197692i</v>
      </c>
      <c r="AT350" s="190">
        <f t="shared" si="239"/>
        <v>-12.757155365509306</v>
      </c>
      <c r="AU350" s="169">
        <f t="shared" si="240"/>
        <v>114.51949915272293</v>
      </c>
      <c r="AV350" s="225"/>
      <c r="AX350">
        <f t="shared" si="241"/>
        <v>0</v>
      </c>
      <c r="AY350">
        <f t="shared" si="242"/>
        <v>0</v>
      </c>
    </row>
    <row r="351" spans="14:51" x14ac:dyDescent="0.2">
      <c r="N351" s="170">
        <v>33</v>
      </c>
      <c r="O351" s="199">
        <f t="shared" si="208"/>
        <v>21379.620895022348</v>
      </c>
      <c r="P351" s="189" t="str">
        <f t="shared" si="209"/>
        <v>771.276595744681</v>
      </c>
      <c r="Q351" s="160" t="str">
        <f t="shared" si="210"/>
        <v>1+1187.49593974516i</v>
      </c>
      <c r="R351" s="160">
        <f t="shared" si="218"/>
        <v>1187.4963607991567</v>
      </c>
      <c r="S351" s="160">
        <f t="shared" si="219"/>
        <v>1.5699542188514937</v>
      </c>
      <c r="T351" s="160" t="str">
        <f t="shared" si="211"/>
        <v>1+0.0223528647481442i</v>
      </c>
      <c r="U351" s="160">
        <f t="shared" si="220"/>
        <v>1.0002497940826824</v>
      </c>
      <c r="V351" s="160">
        <f t="shared" si="221"/>
        <v>2.2349142990013046E-2</v>
      </c>
      <c r="W351" s="98" t="str">
        <f t="shared" si="212"/>
        <v>1-0.0913458415188582i</v>
      </c>
      <c r="X351" s="160">
        <f t="shared" si="222"/>
        <v>1.0041633645790851</v>
      </c>
      <c r="Y351" s="160">
        <f t="shared" si="223"/>
        <v>-9.1093040803168615E-2</v>
      </c>
      <c r="Z351" s="98" t="str">
        <f t="shared" si="213"/>
        <v>0.817164724154049-0.625427821373351i</v>
      </c>
      <c r="AA351" s="160">
        <f t="shared" si="224"/>
        <v>1.0290374852985575</v>
      </c>
      <c r="AB351" s="160">
        <f t="shared" si="225"/>
        <v>-0.6532612800301566</v>
      </c>
      <c r="AC351" s="171" t="str">
        <f t="shared" si="226"/>
        <v>0.350260413063484-0.528411381410591i</v>
      </c>
      <c r="AD351" s="190">
        <f t="shared" si="227"/>
        <v>-3.9588097267828859</v>
      </c>
      <c r="AE351" s="169">
        <f t="shared" si="228"/>
        <v>-56.461371715879224</v>
      </c>
      <c r="AF351" s="98" t="str">
        <f t="shared" si="214"/>
        <v>-0.0000119284294234592</v>
      </c>
      <c r="AG351" s="98" t="str">
        <f t="shared" si="215"/>
        <v>0.0024224111178082i</v>
      </c>
      <c r="AH351" s="98">
        <f t="shared" si="229"/>
        <v>2.4224111178082E-3</v>
      </c>
      <c r="AI351" s="98">
        <f t="shared" si="230"/>
        <v>1.5707963267948966</v>
      </c>
      <c r="AJ351" s="98" t="str">
        <f t="shared" si="216"/>
        <v>1+0.132745432056431i</v>
      </c>
      <c r="AK351" s="98">
        <f t="shared" si="231"/>
        <v>1.008772199127161</v>
      </c>
      <c r="AL351" s="98">
        <f t="shared" si="232"/>
        <v>0.13197385561067093</v>
      </c>
      <c r="AM351" s="98" t="str">
        <f t="shared" si="217"/>
        <v>1+72.539344735564i</v>
      </c>
      <c r="AN351" s="98">
        <f t="shared" si="233"/>
        <v>72.546237219203846</v>
      </c>
      <c r="AO351" s="98">
        <f t="shared" si="234"/>
        <v>1.5570115778000648</v>
      </c>
      <c r="AP351" s="168" t="str">
        <f t="shared" si="235"/>
        <v>-0.350370356430519+0.0514342612881499i</v>
      </c>
      <c r="AQ351" s="98">
        <f t="shared" si="236"/>
        <v>-9.0168559803945829</v>
      </c>
      <c r="AR351" s="169">
        <f t="shared" si="237"/>
        <v>171.64864712838857</v>
      </c>
      <c r="AS351" s="168" t="str">
        <f t="shared" si="238"/>
        <v>-0.0955424167094491+0.203155069651174i</v>
      </c>
      <c r="AT351" s="190">
        <f t="shared" si="239"/>
        <v>-12.975665707177477</v>
      </c>
      <c r="AU351" s="169">
        <f t="shared" si="240"/>
        <v>115.18727541250939</v>
      </c>
      <c r="AV351" s="225"/>
      <c r="AX351">
        <f t="shared" si="241"/>
        <v>0</v>
      </c>
      <c r="AY351">
        <f t="shared" si="242"/>
        <v>0</v>
      </c>
    </row>
    <row r="352" spans="14:51" x14ac:dyDescent="0.2">
      <c r="N352" s="170">
        <v>34</v>
      </c>
      <c r="O352" s="199">
        <f t="shared" si="208"/>
        <v>21877.61623949555</v>
      </c>
      <c r="P352" s="189" t="str">
        <f t="shared" si="209"/>
        <v>771.276595744681</v>
      </c>
      <c r="Q352" s="160" t="str">
        <f t="shared" si="210"/>
        <v>1+1215.15627350307i</v>
      </c>
      <c r="R352" s="160">
        <f t="shared" si="218"/>
        <v>1215.1566849727108</v>
      </c>
      <c r="S352" s="160">
        <f t="shared" si="219"/>
        <v>1.5699733875597857</v>
      </c>
      <c r="T352" s="160" t="str">
        <f t="shared" si="211"/>
        <v>1+0.0228735298541755i</v>
      </c>
      <c r="U352" s="160">
        <f t="shared" si="220"/>
        <v>1.0002615649758766</v>
      </c>
      <c r="V352" s="160">
        <f t="shared" si="221"/>
        <v>2.286954197480856E-2</v>
      </c>
      <c r="W352" s="98" t="str">
        <f t="shared" si="212"/>
        <v>1-0.093473559500236i</v>
      </c>
      <c r="X352" s="160">
        <f t="shared" si="222"/>
        <v>1.0043591520594832</v>
      </c>
      <c r="Y352" s="160">
        <f t="shared" si="223"/>
        <v>-9.3202742109993672E-2</v>
      </c>
      <c r="Z352" s="98" t="str">
        <f t="shared" si="213"/>
        <v>0.808547963070944-0.63999590678877i</v>
      </c>
      <c r="AA352" s="160">
        <f t="shared" si="224"/>
        <v>1.0311860013075007</v>
      </c>
      <c r="AB352" s="160">
        <f t="shared" si="225"/>
        <v>-0.66955944212583252</v>
      </c>
      <c r="AC352" s="171" t="str">
        <f t="shared" si="226"/>
        <v>0.349179106164228-0.510339823919685i</v>
      </c>
      <c r="AD352" s="190">
        <f t="shared" si="227"/>
        <v>-4.1751302683836586</v>
      </c>
      <c r="AE352" s="169">
        <f t="shared" si="228"/>
        <v>-55.61971441548333</v>
      </c>
      <c r="AF352" s="98" t="str">
        <f t="shared" si="214"/>
        <v>-0.0000119284294234592</v>
      </c>
      <c r="AG352" s="98" t="str">
        <f t="shared" si="215"/>
        <v>0.00247883632127612i</v>
      </c>
      <c r="AH352" s="98">
        <f t="shared" si="229"/>
        <v>2.4788363212761202E-3</v>
      </c>
      <c r="AI352" s="98">
        <f t="shared" si="230"/>
        <v>1.5707963267948966</v>
      </c>
      <c r="AJ352" s="98" t="str">
        <f t="shared" si="216"/>
        <v>1+0.135837470380627i</v>
      </c>
      <c r="AK352" s="98">
        <f t="shared" si="231"/>
        <v>1.0091837386518907</v>
      </c>
      <c r="AL352" s="98">
        <f t="shared" si="232"/>
        <v>0.13501111712351663</v>
      </c>
      <c r="AM352" s="98" t="str">
        <f t="shared" si="217"/>
        <v>1+74.2290031325406i</v>
      </c>
      <c r="AN352" s="98">
        <f t="shared" si="233"/>
        <v>74.235738738499279</v>
      </c>
      <c r="AO352" s="98">
        <f t="shared" si="234"/>
        <v>1.5573253185943856</v>
      </c>
      <c r="AP352" s="168" t="str">
        <f t="shared" si="235"/>
        <v>-0.350084656524253+0.0523667226983335i</v>
      </c>
      <c r="AQ352" s="98">
        <f t="shared" si="236"/>
        <v>-9.0204359002448644</v>
      </c>
      <c r="AR352" s="169">
        <f t="shared" si="237"/>
        <v>171.49260088580067</v>
      </c>
      <c r="AS352" s="168" t="str">
        <f t="shared" si="238"/>
        <v>-0.0955174234058309+0.196947507392125i</v>
      </c>
      <c r="AT352" s="190">
        <f t="shared" si="239"/>
        <v>-13.195566168628519</v>
      </c>
      <c r="AU352" s="169">
        <f t="shared" si="240"/>
        <v>115.8728864703173</v>
      </c>
      <c r="AV352" s="225"/>
      <c r="AX352">
        <f t="shared" si="241"/>
        <v>0</v>
      </c>
      <c r="AY352">
        <f t="shared" si="242"/>
        <v>0</v>
      </c>
    </row>
    <row r="353" spans="14:51" x14ac:dyDescent="0.2">
      <c r="N353" s="170">
        <v>35</v>
      </c>
      <c r="O353" s="199">
        <f t="shared" si="208"/>
        <v>22387.211385683382</v>
      </c>
      <c r="P353" s="189" t="str">
        <f t="shared" si="209"/>
        <v>771.276595744681</v>
      </c>
      <c r="Q353" s="160" t="str">
        <f t="shared" si="210"/>
        <v>1+1243.46089920169i</v>
      </c>
      <c r="R353" s="160">
        <f t="shared" si="218"/>
        <v>1243.4613013051412</v>
      </c>
      <c r="S353" s="160">
        <f t="shared" si="219"/>
        <v>1.5699921199355904</v>
      </c>
      <c r="T353" s="160" t="str">
        <f t="shared" si="211"/>
        <v>1+0.0234063228085022i</v>
      </c>
      <c r="U353" s="160">
        <f t="shared" si="220"/>
        <v>1.0002738904657142</v>
      </c>
      <c r="V353" s="160">
        <f t="shared" si="221"/>
        <v>2.3402049781963488E-2</v>
      </c>
      <c r="W353" s="98" t="str">
        <f t="shared" si="212"/>
        <v>1-0.0956508384001292i</v>
      </c>
      <c r="X353" s="160">
        <f t="shared" si="222"/>
        <v>1.0045641258210685</v>
      </c>
      <c r="Y353" s="160">
        <f t="shared" si="223"/>
        <v>-9.5360723497604008E-2</v>
      </c>
      <c r="Z353" s="98" t="str">
        <f t="shared" si="213"/>
        <v>0.799525106549092-0.654903326505312i</v>
      </c>
      <c r="AA353" s="160">
        <f t="shared" si="224"/>
        <v>1.0335079888757805</v>
      </c>
      <c r="AB353" s="160">
        <f t="shared" si="225"/>
        <v>-0.68628847913030944</v>
      </c>
      <c r="AC353" s="171" t="str">
        <f t="shared" si="226"/>
        <v>0.348006705445422-0.492516893177102i</v>
      </c>
      <c r="AD353" s="190">
        <f t="shared" si="227"/>
        <v>-4.3927872218662536</v>
      </c>
      <c r="AE353" s="169">
        <f t="shared" si="228"/>
        <v>-54.755417261752655</v>
      </c>
      <c r="AF353" s="98" t="str">
        <f t="shared" si="214"/>
        <v>-0.0000119284294234592</v>
      </c>
      <c r="AG353" s="98" t="str">
        <f t="shared" si="215"/>
        <v>0.00253657583657285i</v>
      </c>
      <c r="AH353" s="98">
        <f t="shared" si="229"/>
        <v>2.5365758365728502E-3</v>
      </c>
      <c r="AI353" s="98">
        <f t="shared" si="230"/>
        <v>1.5707963267948966</v>
      </c>
      <c r="AJ353" s="98" t="str">
        <f t="shared" si="216"/>
        <v>1+0.139001531529639i</v>
      </c>
      <c r="AK353" s="98">
        <f t="shared" si="231"/>
        <v>1.0096144936398177</v>
      </c>
      <c r="AL353" s="98">
        <f t="shared" si="232"/>
        <v>0.13811653283327247</v>
      </c>
      <c r="AM353" s="98" t="str">
        <f t="shared" si="217"/>
        <v>1+75.9580187295145i</v>
      </c>
      <c r="AN353" s="98">
        <f t="shared" si="233"/>
        <v>75.964601027802928</v>
      </c>
      <c r="AO353" s="98">
        <f t="shared" si="234"/>
        <v>1.5576319203390852</v>
      </c>
      <c r="AP353" s="168" t="str">
        <f t="shared" si="235"/>
        <v>-0.349785990958016+0.0533233600244205i</v>
      </c>
      <c r="AQ353" s="98">
        <f t="shared" si="236"/>
        <v>-9.0241780199460386</v>
      </c>
      <c r="AR353" s="169">
        <f t="shared" si="237"/>
        <v>171.33224065796065</v>
      </c>
      <c r="AS353" s="168" t="str">
        <f t="shared" si="238"/>
        <v>-0.0954652147112696+0.190832396388895i</v>
      </c>
      <c r="AT353" s="190">
        <f t="shared" si="239"/>
        <v>-13.416965241812282</v>
      </c>
      <c r="AU353" s="169">
        <f t="shared" si="240"/>
        <v>116.57682339620794</v>
      </c>
      <c r="AV353" s="225"/>
      <c r="AX353">
        <f t="shared" si="241"/>
        <v>0</v>
      </c>
      <c r="AY353">
        <f t="shared" si="242"/>
        <v>0</v>
      </c>
    </row>
    <row r="354" spans="14:51" x14ac:dyDescent="0.2">
      <c r="N354" s="170">
        <v>36</v>
      </c>
      <c r="O354" s="199">
        <f t="shared" si="208"/>
        <v>22908.676527677751</v>
      </c>
      <c r="P354" s="189" t="str">
        <f t="shared" si="209"/>
        <v>771.276595744681</v>
      </c>
      <c r="Q354" s="160" t="str">
        <f t="shared" si="210"/>
        <v>1+1272.42482432822i</v>
      </c>
      <c r="R354" s="160">
        <f t="shared" si="218"/>
        <v>1272.4252172786823</v>
      </c>
      <c r="S354" s="160">
        <f t="shared" si="219"/>
        <v>1.570010425911009</v>
      </c>
      <c r="T354" s="160" t="str">
        <f t="shared" si="211"/>
        <v>1+0.0239515261050017i</v>
      </c>
      <c r="U354" s="160">
        <f t="shared" si="220"/>
        <v>1.0002867966752129</v>
      </c>
      <c r="V354" s="160">
        <f t="shared" si="221"/>
        <v>2.3946947545471386E-2</v>
      </c>
      <c r="W354" s="98" t="str">
        <f t="shared" si="212"/>
        <v>1-0.0978788326406316i</v>
      </c>
      <c r="X354" s="160">
        <f t="shared" si="222"/>
        <v>1.0047787148815865</v>
      </c>
      <c r="Y354" s="160">
        <f t="shared" si="223"/>
        <v>-9.7568048716236838E-2</v>
      </c>
      <c r="Z354" s="98" t="str">
        <f t="shared" si="213"/>
        <v>0.790077015900089-0.670157984634244i</v>
      </c>
      <c r="AA354" s="160">
        <f t="shared" si="224"/>
        <v>1.0360180574790292</v>
      </c>
      <c r="AB354" s="160">
        <f t="shared" si="225"/>
        <v>-0.70345893393537196</v>
      </c>
      <c r="AC354" s="171" t="str">
        <f t="shared" si="226"/>
        <v>0.346735910235959-0.474934845203816i</v>
      </c>
      <c r="AD354" s="190">
        <f t="shared" si="227"/>
        <v>-4.6118895362585439</v>
      </c>
      <c r="AE354" s="169">
        <f t="shared" si="228"/>
        <v>-53.867921601159111</v>
      </c>
      <c r="AF354" s="98" t="str">
        <f t="shared" si="214"/>
        <v>-0.0000119284294234592</v>
      </c>
      <c r="AG354" s="98" t="str">
        <f t="shared" si="215"/>
        <v>0.00259566027795369i</v>
      </c>
      <c r="AH354" s="98">
        <f t="shared" si="229"/>
        <v>2.5956602779536901E-3</v>
      </c>
      <c r="AI354" s="98">
        <f t="shared" si="230"/>
        <v>1.5707963267948966</v>
      </c>
      <c r="AJ354" s="98" t="str">
        <f t="shared" si="216"/>
        <v>1+0.142239293130573i</v>
      </c>
      <c r="AK354" s="98">
        <f t="shared" si="231"/>
        <v>1.0100653525937247</v>
      </c>
      <c r="AL354" s="98">
        <f t="shared" si="232"/>
        <v>0.14129150956711684</v>
      </c>
      <c r="AM354" s="98" t="str">
        <f t="shared" si="217"/>
        <v>1+77.727308273443i</v>
      </c>
      <c r="AN354" s="98">
        <f t="shared" si="233"/>
        <v>77.733740752872819</v>
      </c>
      <c r="AO354" s="98">
        <f t="shared" si="234"/>
        <v>1.5579315453677591</v>
      </c>
      <c r="AP354" s="168" t="str">
        <f t="shared" si="235"/>
        <v>-0.349473795418046+0.0543044336038948i</v>
      </c>
      <c r="AQ354" s="98">
        <f t="shared" si="236"/>
        <v>-9.0280898448959483</v>
      </c>
      <c r="AR354" s="169">
        <f t="shared" si="237"/>
        <v>171.16749514063864</v>
      </c>
      <c r="AS354" s="168" t="str">
        <f t="shared" si="238"/>
        <v>-0.0953840467903448+0.184806580145154i</v>
      </c>
      <c r="AT354" s="190">
        <f t="shared" si="239"/>
        <v>-13.639979381154507</v>
      </c>
      <c r="AU354" s="169">
        <f t="shared" si="240"/>
        <v>117.29957353947958</v>
      </c>
      <c r="AV354" s="225"/>
      <c r="AX354">
        <f t="shared" si="241"/>
        <v>0</v>
      </c>
      <c r="AY354">
        <f t="shared" si="242"/>
        <v>0</v>
      </c>
    </row>
    <row r="355" spans="14:51" x14ac:dyDescent="0.2">
      <c r="N355" s="170">
        <v>37</v>
      </c>
      <c r="O355" s="199">
        <f t="shared" si="208"/>
        <v>23442.288153199243</v>
      </c>
      <c r="P355" s="189" t="str">
        <f t="shared" si="209"/>
        <v>771.276595744681</v>
      </c>
      <c r="Q355" s="160" t="str">
        <f t="shared" si="210"/>
        <v>1+1302.06340593914i</v>
      </c>
      <c r="R355" s="160">
        <f t="shared" si="218"/>
        <v>1302.0637899449605</v>
      </c>
      <c r="S355" s="160">
        <f t="shared" si="219"/>
        <v>1.5700283151920633</v>
      </c>
      <c r="T355" s="160" t="str">
        <f t="shared" si="211"/>
        <v>1+0.0245094288176778i</v>
      </c>
      <c r="U355" s="160">
        <f t="shared" si="220"/>
        <v>1.0003003109571489</v>
      </c>
      <c r="V355" s="160">
        <f t="shared" si="221"/>
        <v>2.4504522882296424E-2</v>
      </c>
      <c r="W355" s="98" t="str">
        <f t="shared" si="212"/>
        <v>1-0.100158723533779i</v>
      </c>
      <c r="X355" s="160">
        <f t="shared" si="222"/>
        <v>1.0050033681037671</v>
      </c>
      <c r="Y355" s="160">
        <f t="shared" si="223"/>
        <v>-9.9825802033874214E-2</v>
      </c>
      <c r="Z355" s="98" t="str">
        <f t="shared" si="213"/>
        <v>0.780183650456948-0.685767969397216i</v>
      </c>
      <c r="AA355" s="160">
        <f t="shared" si="224"/>
        <v>1.0387320329572542</v>
      </c>
      <c r="AB355" s="160">
        <f t="shared" si="225"/>
        <v>-0.72108126831877828</v>
      </c>
      <c r="AC355" s="171" t="str">
        <f t="shared" si="226"/>
        <v>0.34535899867136-0.457586538318332i</v>
      </c>
      <c r="AD355" s="190">
        <f t="shared" si="227"/>
        <v>-4.8325542454204404</v>
      </c>
      <c r="AE355" s="169">
        <f t="shared" si="228"/>
        <v>-52.956674218846224</v>
      </c>
      <c r="AF355" s="98" t="str">
        <f t="shared" si="214"/>
        <v>-0.0000119284294234592</v>
      </c>
      <c r="AG355" s="98" t="str">
        <f t="shared" si="215"/>
        <v>0.00265612097277153i</v>
      </c>
      <c r="AH355" s="98">
        <f t="shared" si="229"/>
        <v>2.6561209727715301E-3</v>
      </c>
      <c r="AI355" s="98">
        <f t="shared" si="230"/>
        <v>1.5707963267948966</v>
      </c>
      <c r="AJ355" s="98" t="str">
        <f t="shared" si="216"/>
        <v>1+0.145552471887483i</v>
      </c>
      <c r="AK355" s="98">
        <f t="shared" si="231"/>
        <v>1.0105372442777933</v>
      </c>
      <c r="AL355" s="98">
        <f t="shared" si="232"/>
        <v>0.14453747456330973</v>
      </c>
      <c r="AM355" s="98" t="str">
        <f t="shared" si="217"/>
        <v>1+79.5378098650602i</v>
      </c>
      <c r="AN355" s="98">
        <f t="shared" si="233"/>
        <v>79.54409593508791</v>
      </c>
      <c r="AO355" s="98">
        <f t="shared" si="234"/>
        <v>1.558224352330249</v>
      </c>
      <c r="AP355" s="168" t="str">
        <f t="shared" si="235"/>
        <v>-0.349147483302767+0.0553102002360764i</v>
      </c>
      <c r="AQ355" s="98">
        <f t="shared" si="236"/>
        <v>-9.0321791998770511</v>
      </c>
      <c r="AR355" s="169">
        <f t="shared" si="237"/>
        <v>170.99829164907231</v>
      </c>
      <c r="AS355" s="168" t="str">
        <f t="shared" si="238"/>
        <v>-0.095272022162349+0.178867063616915i</v>
      </c>
      <c r="AT355" s="190">
        <f t="shared" si="239"/>
        <v>-13.864733445297475</v>
      </c>
      <c r="AU355" s="169">
        <f t="shared" si="240"/>
        <v>118.04161743022601</v>
      </c>
      <c r="AV355" s="225"/>
      <c r="AX355">
        <f t="shared" si="241"/>
        <v>0</v>
      </c>
      <c r="AY355">
        <f t="shared" si="242"/>
        <v>0</v>
      </c>
    </row>
    <row r="356" spans="14:51" x14ac:dyDescent="0.2">
      <c r="N356" s="170">
        <v>38</v>
      </c>
      <c r="O356" s="199">
        <f t="shared" si="208"/>
        <v>23988.329190194923</v>
      </c>
      <c r="P356" s="189" t="str">
        <f t="shared" si="209"/>
        <v>771.276595744681</v>
      </c>
      <c r="Q356" s="160" t="str">
        <f t="shared" si="210"/>
        <v>1+1332.39235880272i</v>
      </c>
      <c r="R356" s="160">
        <f t="shared" si="218"/>
        <v>1332.3927340675032</v>
      </c>
      <c r="S356" s="160">
        <f t="shared" si="219"/>
        <v>1.5700457972638404</v>
      </c>
      <c r="T356" s="160" t="str">
        <f t="shared" si="211"/>
        <v>1+0.0250803267539336i</v>
      </c>
      <c r="U356" s="160">
        <f t="shared" si="220"/>
        <v>1.0003144619518824</v>
      </c>
      <c r="V356" s="160">
        <f t="shared" si="221"/>
        <v>2.5075070038710234E-2</v>
      </c>
      <c r="W356" s="98" t="str">
        <f t="shared" si="212"/>
        <v>1-0.102491719907901i</v>
      </c>
      <c r="X356" s="160">
        <f t="shared" si="222"/>
        <v>1.0052385550950977</v>
      </c>
      <c r="Y356" s="160">
        <f t="shared" si="223"/>
        <v>-0.10213508842038638</v>
      </c>
      <c r="Z356" s="98" t="str">
        <f t="shared" si="213"/>
        <v>0.769824025065136-0.701741557414772i</v>
      </c>
      <c r="AA356" s="160">
        <f t="shared" si="224"/>
        <v>1.0416670499590532</v>
      </c>
      <c r="AB356" s="160">
        <f t="shared" si="225"/>
        <v>-0.73916580083970451</v>
      </c>
      <c r="AC356" s="171" t="str">
        <f t="shared" si="226"/>
        <v>0.343867830480499-0.440465492516411i</v>
      </c>
      <c r="AD356" s="190">
        <f t="shared" si="227"/>
        <v>-5.0549068922601057</v>
      </c>
      <c r="AE356" s="169">
        <f t="shared" si="228"/>
        <v>-52.021130899418615</v>
      </c>
      <c r="AF356" s="98" t="str">
        <f t="shared" si="214"/>
        <v>-0.0000119284294234592</v>
      </c>
      <c r="AG356" s="98" t="str">
        <f t="shared" si="215"/>
        <v>0.00271798997808704i</v>
      </c>
      <c r="AH356" s="98">
        <f t="shared" si="229"/>
        <v>2.7179899780870398E-3</v>
      </c>
      <c r="AI356" s="98">
        <f t="shared" si="230"/>
        <v>1.5707963267948966</v>
      </c>
      <c r="AJ356" s="98" t="str">
        <f t="shared" si="216"/>
        <v>1+0.148942824491603i</v>
      </c>
      <c r="AK356" s="98">
        <f t="shared" si="231"/>
        <v>1.0110311394648219</v>
      </c>
      <c r="AL356" s="98">
        <f t="shared" si="232"/>
        <v>0.14785587512930431</v>
      </c>
      <c r="AM356" s="98" t="str">
        <f t="shared" si="217"/>
        <v>1+81.3904834562749i</v>
      </c>
      <c r="AN356" s="98">
        <f t="shared" si="233"/>
        <v>81.396626448804113</v>
      </c>
      <c r="AO356" s="98">
        <f t="shared" si="234"/>
        <v>1.5585104962757339</v>
      </c>
      <c r="AP356" s="168" t="str">
        <f t="shared" si="235"/>
        <v>-0.34880644505921+0.0563409122739028i</v>
      </c>
      <c r="AQ356" s="98">
        <f t="shared" si="236"/>
        <v>-9.0364542418960312</v>
      </c>
      <c r="AR356" s="169">
        <f t="shared" si="237"/>
        <v>170.82455614231648</v>
      </c>
      <c r="AS356" s="168" t="str">
        <f t="shared" si="238"/>
        <v>-0.0951270878465774+0.173011029886822i</v>
      </c>
      <c r="AT356" s="190">
        <f t="shared" si="239"/>
        <v>-14.091361134156157</v>
      </c>
      <c r="AU356" s="169">
        <f t="shared" si="240"/>
        <v>118.80342524289792</v>
      </c>
      <c r="AV356" s="225"/>
      <c r="AX356">
        <f t="shared" si="241"/>
        <v>0</v>
      </c>
      <c r="AY356">
        <f t="shared" si="242"/>
        <v>0</v>
      </c>
    </row>
    <row r="357" spans="14:51" x14ac:dyDescent="0.2">
      <c r="N357" s="170">
        <v>39</v>
      </c>
      <c r="O357" s="199">
        <f t="shared" si="208"/>
        <v>24547.089156850321</v>
      </c>
      <c r="P357" s="189" t="str">
        <f t="shared" si="209"/>
        <v>771.276595744681</v>
      </c>
      <c r="Q357" s="160" t="str">
        <f t="shared" si="210"/>
        <v>1+1363.42776373125i</v>
      </c>
      <c r="R357" s="160">
        <f t="shared" si="218"/>
        <v>1363.4281304539663</v>
      </c>
      <c r="S357" s="160">
        <f t="shared" si="219"/>
        <v>1.5700628813955237</v>
      </c>
      <c r="T357" s="160" t="str">
        <f t="shared" si="211"/>
        <v>1+0.0256645226114117i</v>
      </c>
      <c r="U357" s="160">
        <f t="shared" si="220"/>
        <v>1.0003292796478926</v>
      </c>
      <c r="V357" s="160">
        <f t="shared" si="221"/>
        <v>2.5658890039701523E-2</v>
      </c>
      <c r="W357" s="98" t="str">
        <f t="shared" si="212"/>
        <v>1-0.104879058748557i</v>
      </c>
      <c r="X357" s="160">
        <f t="shared" si="222"/>
        <v>1.0054847671466651</v>
      </c>
      <c r="Y357" s="160">
        <f t="shared" si="223"/>
        <v>-0.10449703371624657</v>
      </c>
      <c r="Z357" s="98" t="str">
        <f t="shared" si="213"/>
        <v>0.758976165570257-0.718087218094717i</v>
      </c>
      <c r="AA357" s="160">
        <f t="shared" si="224"/>
        <v>1.0448416495788919</v>
      </c>
      <c r="AB357" s="160">
        <f t="shared" si="225"/>
        <v>-0.75772263642141724</v>
      </c>
      <c r="AC357" s="171" t="str">
        <f t="shared" si="226"/>
        <v>0.342253856114591-0.423565953989509i</v>
      </c>
      <c r="AD357" s="190">
        <f t="shared" si="227"/>
        <v>-5.2790819411393652</v>
      </c>
      <c r="AE357" s="169">
        <f t="shared" si="228"/>
        <v>-51.060760462951656</v>
      </c>
      <c r="AF357" s="98" t="str">
        <f t="shared" si="214"/>
        <v>-0.0000119284294234592</v>
      </c>
      <c r="AG357" s="98" t="str">
        <f t="shared" si="215"/>
        <v>0.00278130009766579i</v>
      </c>
      <c r="AH357" s="98">
        <f t="shared" si="229"/>
        <v>2.78130009766579E-3</v>
      </c>
      <c r="AI357" s="98">
        <f t="shared" si="230"/>
        <v>1.5707963267948966</v>
      </c>
      <c r="AJ357" s="98" t="str">
        <f t="shared" si="216"/>
        <v>1+0.152412148552759i</v>
      </c>
      <c r="AK357" s="98">
        <f t="shared" si="231"/>
        <v>1.011548052752052</v>
      </c>
      <c r="AL357" s="98">
        <f t="shared" si="232"/>
        <v>0.15124817824113032</v>
      </c>
      <c r="AM357" s="98" t="str">
        <f t="shared" si="217"/>
        <v>1+83.2863113591485i</v>
      </c>
      <c r="AN357" s="98">
        <f t="shared" si="233"/>
        <v>83.292314530291605</v>
      </c>
      <c r="AO357" s="98">
        <f t="shared" si="234"/>
        <v>1.5587901287339818</v>
      </c>
      <c r="AP357" s="168" t="str">
        <f t="shared" si="235"/>
        <v>-0.348450047521385+0.0573968166540553i</v>
      </c>
      <c r="AQ357" s="98">
        <f t="shared" si="236"/>
        <v>-9.040923473389423</v>
      </c>
      <c r="AR357" s="169">
        <f t="shared" si="237"/>
        <v>170.64621325085227</v>
      </c>
      <c r="AS357" s="168" t="str">
        <f t="shared" si="238"/>
        <v>-0.0949470350254706+0.167235858624638i</v>
      </c>
      <c r="AT357" s="190">
        <f t="shared" si="239"/>
        <v>-14.320005414528779</v>
      </c>
      <c r="AU357" s="169">
        <f t="shared" si="240"/>
        <v>119.58545278790056</v>
      </c>
      <c r="AV357" s="225"/>
      <c r="AX357">
        <f t="shared" si="241"/>
        <v>0</v>
      </c>
      <c r="AY357">
        <f t="shared" si="242"/>
        <v>0</v>
      </c>
    </row>
    <row r="358" spans="14:51" x14ac:dyDescent="0.2">
      <c r="N358" s="170">
        <v>40</v>
      </c>
      <c r="O358" s="199">
        <f t="shared" si="208"/>
        <v>25118.86431509586</v>
      </c>
      <c r="P358" s="189" t="str">
        <f t="shared" si="209"/>
        <v>771.276595744681</v>
      </c>
      <c r="Q358" s="160" t="str">
        <f t="shared" si="210"/>
        <v>1+1395.18607610721i</v>
      </c>
      <c r="R358" s="160">
        <f t="shared" si="218"/>
        <v>1395.1864344823</v>
      </c>
      <c r="S358" s="160">
        <f t="shared" si="219"/>
        <v>1.5700795766453062</v>
      </c>
      <c r="T358" s="160" t="str">
        <f t="shared" si="211"/>
        <v>1+0.0262623261384886i</v>
      </c>
      <c r="U358" s="160">
        <f t="shared" si="220"/>
        <v>1.0003447954451525</v>
      </c>
      <c r="V358" s="160">
        <f t="shared" si="221"/>
        <v>2.6256290841510106E-2</v>
      </c>
      <c r="W358" s="98" t="str">
        <f t="shared" si="212"/>
        <v>1-0.1073220058544i</v>
      </c>
      <c r="X358" s="160">
        <f t="shared" si="222"/>
        <v>1.005742518212595</v>
      </c>
      <c r="Y358" s="160">
        <f t="shared" si="223"/>
        <v>-0.10691278478420561</v>
      </c>
      <c r="Z358" s="98" t="str">
        <f t="shared" si="213"/>
        <v>0.747617062207921-0.734813618122708i</v>
      </c>
      <c r="AA358" s="160">
        <f t="shared" si="224"/>
        <v>1.0482758821431442</v>
      </c>
      <c r="AB358" s="160">
        <f t="shared" si="225"/>
        <v>-0.77676158705341858</v>
      </c>
      <c r="AC358" s="171" t="str">
        <f t="shared" si="226"/>
        <v>0.340508133417146-0.406882964537693i</v>
      </c>
      <c r="AD358" s="190">
        <f t="shared" si="227"/>
        <v>-5.5052231704549781</v>
      </c>
      <c r="AE358" s="169">
        <f t="shared" si="228"/>
        <v>-50.075049308657604</v>
      </c>
      <c r="AF358" s="98" t="str">
        <f t="shared" si="214"/>
        <v>-0.0000119284294234592</v>
      </c>
      <c r="AG358" s="98" t="str">
        <f t="shared" si="215"/>
        <v>0.00284608489937119i</v>
      </c>
      <c r="AH358" s="98">
        <f t="shared" si="229"/>
        <v>2.84608489937119E-3</v>
      </c>
      <c r="AI358" s="98">
        <f t="shared" si="230"/>
        <v>1.5707963267948966</v>
      </c>
      <c r="AJ358" s="98" t="str">
        <f t="shared" si="216"/>
        <v>1+0.155962283552492i</v>
      </c>
      <c r="AK358" s="98">
        <f t="shared" si="231"/>
        <v>1.0120890444476256</v>
      </c>
      <c r="AL358" s="98">
        <f t="shared" si="232"/>
        <v>0.15471587007996329</v>
      </c>
      <c r="AM358" s="98" t="str">
        <f t="shared" si="217"/>
        <v>1+85.22629876673i</v>
      </c>
      <c r="AN358" s="98">
        <f t="shared" si="233"/>
        <v>85.232165298529893</v>
      </c>
      <c r="AO358" s="98">
        <f t="shared" si="234"/>
        <v>1.5590633977947981</v>
      </c>
      <c r="AP358" s="168" t="str">
        <f t="shared" si="235"/>
        <v>-0.348077633253404+0.0584781538623989i</v>
      </c>
      <c r="AQ358" s="98">
        <f t="shared" si="236"/>
        <v>-9.0455957557922737</v>
      </c>
      <c r="AR358" s="169">
        <f t="shared" si="237"/>
        <v>170.46318630769142</v>
      </c>
      <c r="AS358" s="168" t="str">
        <f t="shared" si="238"/>
        <v>-0.0947295005791503+0.161539146324775i</v>
      </c>
      <c r="AT358" s="190">
        <f t="shared" si="239"/>
        <v>-14.550818926247253</v>
      </c>
      <c r="AU358" s="169">
        <f t="shared" si="240"/>
        <v>120.38813699903383</v>
      </c>
      <c r="AV358" s="225"/>
      <c r="AX358">
        <f t="shared" si="241"/>
        <v>0</v>
      </c>
      <c r="AY358">
        <f t="shared" si="242"/>
        <v>0</v>
      </c>
    </row>
    <row r="359" spans="14:51" x14ac:dyDescent="0.2">
      <c r="N359" s="170">
        <v>41</v>
      </c>
      <c r="O359" s="199">
        <f t="shared" si="208"/>
        <v>25703.95782768865</v>
      </c>
      <c r="P359" s="189" t="str">
        <f t="shared" si="209"/>
        <v>771.276595744681</v>
      </c>
      <c r="Q359" s="160" t="str">
        <f t="shared" si="210"/>
        <v>1+1427.68413460819i</v>
      </c>
      <c r="R359" s="160">
        <f t="shared" si="218"/>
        <v>1427.6844848256692</v>
      </c>
      <c r="S359" s="160">
        <f t="shared" si="219"/>
        <v>1.5700958918651928</v>
      </c>
      <c r="T359" s="160" t="str">
        <f t="shared" si="211"/>
        <v>1+0.026874054298507i</v>
      </c>
      <c r="U359" s="160">
        <f t="shared" si="220"/>
        <v>1.0003610422214766</v>
      </c>
      <c r="V359" s="160">
        <f t="shared" si="221"/>
        <v>2.6867587487331496E-2</v>
      </c>
      <c r="W359" s="98" t="str">
        <f t="shared" si="212"/>
        <v>1-0.109821856508322i</v>
      </c>
      <c r="X359" s="160">
        <f t="shared" si="222"/>
        <v>1.0060123459316661</v>
      </c>
      <c r="Y359" s="160">
        <f t="shared" si="223"/>
        <v>-0.10938350964220642</v>
      </c>
      <c r="Z359" s="98" t="str">
        <f t="shared" si="213"/>
        <v>0.735722620796961-0.751929626057432i</v>
      </c>
      <c r="AA359" s="160">
        <f t="shared" si="224"/>
        <v>1.051991415029238</v>
      </c>
      <c r="AB359" s="160">
        <f t="shared" si="225"/>
        <v>-0.796292083098183</v>
      </c>
      <c r="AC359" s="171" t="str">
        <f t="shared" si="226"/>
        <v>0.338621353132513-0.390412435443481i</v>
      </c>
      <c r="AD359" s="190">
        <f t="shared" si="227"/>
        <v>-5.7334840360325359</v>
      </c>
      <c r="AE359" s="169">
        <f t="shared" si="228"/>
        <v>-49.06350649560229</v>
      </c>
      <c r="AF359" s="98" t="str">
        <f t="shared" si="214"/>
        <v>-0.0000119284294234592</v>
      </c>
      <c r="AG359" s="98" t="str">
        <f t="shared" si="215"/>
        <v>0.0029123787329626i</v>
      </c>
      <c r="AH359" s="98">
        <f t="shared" si="229"/>
        <v>2.9123787329626001E-3</v>
      </c>
      <c r="AI359" s="98">
        <f t="shared" si="230"/>
        <v>1.5707963267948966</v>
      </c>
      <c r="AJ359" s="98" t="str">
        <f t="shared" si="216"/>
        <v>1+0.159595111819369i</v>
      </c>
      <c r="AK359" s="98">
        <f t="shared" si="231"/>
        <v>1.0126552225296805</v>
      </c>
      <c r="AL359" s="98">
        <f t="shared" si="232"/>
        <v>0.15826045550153039</v>
      </c>
      <c r="AM359" s="98" t="str">
        <f t="shared" si="217"/>
        <v>1+87.2114742860205i</v>
      </c>
      <c r="AN359" s="98">
        <f t="shared" si="233"/>
        <v>87.217207288133324</v>
      </c>
      <c r="AO359" s="98">
        <f t="shared" si="234"/>
        <v>1.5593304481857087</v>
      </c>
      <c r="AP359" s="168" t="str">
        <f t="shared" si="235"/>
        <v>-0.347688519900402+0.0595851568316218i</v>
      </c>
      <c r="AQ359" s="98">
        <f t="shared" si="236"/>
        <v>-9.0504803234669069</v>
      </c>
      <c r="AR359" s="169">
        <f t="shared" si="237"/>
        <v>170.27539738322852</v>
      </c>
      <c r="AS359" s="168" t="str">
        <f t="shared" si="238"/>
        <v>-0.0944719708823996+0.155918728262992i</v>
      </c>
      <c r="AT359" s="190">
        <f t="shared" si="239"/>
        <v>-14.783964359499437</v>
      </c>
      <c r="AU359" s="169">
        <f t="shared" si="240"/>
        <v>121.21189088762624</v>
      </c>
      <c r="AV359" s="225"/>
      <c r="AX359">
        <f t="shared" si="241"/>
        <v>0</v>
      </c>
      <c r="AY359">
        <f t="shared" si="242"/>
        <v>0</v>
      </c>
    </row>
    <row r="360" spans="14:51" x14ac:dyDescent="0.2">
      <c r="N360" s="170">
        <v>42</v>
      </c>
      <c r="O360" s="199">
        <f t="shared" si="208"/>
        <v>26302.679918953829</v>
      </c>
      <c r="P360" s="189" t="str">
        <f t="shared" si="209"/>
        <v>771.276595744681</v>
      </c>
      <c r="Q360" s="160" t="str">
        <f t="shared" si="210"/>
        <v>1+1460.93917013497i</v>
      </c>
      <c r="R360" s="160">
        <f t="shared" si="218"/>
        <v>1460.939512380528</v>
      </c>
      <c r="S360" s="160">
        <f t="shared" si="219"/>
        <v>1.5701118357056942</v>
      </c>
      <c r="T360" s="160" t="str">
        <f t="shared" si="211"/>
        <v>1+0.0275000314378347i</v>
      </c>
      <c r="U360" s="160">
        <f t="shared" si="220"/>
        <v>1.0003780544019756</v>
      </c>
      <c r="V360" s="160">
        <f t="shared" si="221"/>
        <v>2.7493102266240306E-2</v>
      </c>
      <c r="W360" s="98" t="str">
        <f t="shared" si="212"/>
        <v>1-0.112379936164228i</v>
      </c>
      <c r="X360" s="160">
        <f t="shared" si="222"/>
        <v>1.0062948126927198</v>
      </c>
      <c r="Y360" s="160">
        <f t="shared" si="223"/>
        <v>-0.11191039757568813</v>
      </c>
      <c r="Z360" s="98" t="str">
        <f t="shared" si="213"/>
        <v>0.723267611632425-0.769444317032857i</v>
      </c>
      <c r="AA360" s="160">
        <f t="shared" si="224"/>
        <v>1.0560116453196111</v>
      </c>
      <c r="AB360" s="160">
        <f t="shared" si="225"/>
        <v>-0.81632307476787314</v>
      </c>
      <c r="AC360" s="171" t="str">
        <f t="shared" si="226"/>
        <v>0.336583874632124-0.37415122514526i</v>
      </c>
      <c r="AD360" s="190">
        <f t="shared" si="227"/>
        <v>-5.964027994531131</v>
      </c>
      <c r="AE360" s="169">
        <f t="shared" si="228"/>
        <v>-48.025669385273744</v>
      </c>
      <c r="AF360" s="98" t="str">
        <f t="shared" si="214"/>
        <v>-0.0000119284294234592</v>
      </c>
      <c r="AG360" s="98" t="str">
        <f t="shared" si="215"/>
        <v>0.00298021674830813i</v>
      </c>
      <c r="AH360" s="98">
        <f t="shared" si="229"/>
        <v>2.9802167483081298E-3</v>
      </c>
      <c r="AI360" s="98">
        <f t="shared" si="230"/>
        <v>1.5707963267948966</v>
      </c>
      <c r="AJ360" s="98" t="str">
        <f t="shared" si="216"/>
        <v>1+0.163312559527023i</v>
      </c>
      <c r="AK360" s="98">
        <f t="shared" si="231"/>
        <v>1.0132477446800794</v>
      </c>
      <c r="AL360" s="98">
        <f t="shared" si="232"/>
        <v>0.1618834574338564</v>
      </c>
      <c r="AM360" s="98" t="str">
        <f t="shared" si="217"/>
        <v>1+89.2428904833578i</v>
      </c>
      <c r="AN360" s="98">
        <f t="shared" si="233"/>
        <v>89.248492994697642</v>
      </c>
      <c r="AO360" s="98">
        <f t="shared" si="234"/>
        <v>1.5595914213479187</v>
      </c>
      <c r="AP360" s="168" t="str">
        <f t="shared" si="235"/>
        <v>-0.347281999550622+0.0607180497679719i</v>
      </c>
      <c r="AQ360" s="98">
        <f t="shared" si="236"/>
        <v>-9.055586797987246</v>
      </c>
      <c r="AR360" s="169">
        <f t="shared" si="237"/>
        <v>170.08276732409934</v>
      </c>
      <c r="AS360" s="168" t="str">
        <f t="shared" si="238"/>
        <v>-0.0941717882896224+0.150372702053771i</v>
      </c>
      <c r="AT360" s="190">
        <f t="shared" si="239"/>
        <v>-15.019614792518375</v>
      </c>
      <c r="AU360" s="169">
        <f t="shared" si="240"/>
        <v>122.05709793882561</v>
      </c>
      <c r="AV360" s="225"/>
      <c r="AX360">
        <f t="shared" si="241"/>
        <v>0</v>
      </c>
      <c r="AY360">
        <f t="shared" si="242"/>
        <v>0</v>
      </c>
    </row>
    <row r="361" spans="14:51" x14ac:dyDescent="0.2">
      <c r="N361" s="170">
        <v>43</v>
      </c>
      <c r="O361" s="199">
        <f t="shared" si="208"/>
        <v>26915.348039269167</v>
      </c>
      <c r="P361" s="189" t="str">
        <f t="shared" si="209"/>
        <v>771.276595744681</v>
      </c>
      <c r="Q361" s="160" t="str">
        <f t="shared" si="210"/>
        <v>1+1494.96881494758i</v>
      </c>
      <c r="R361" s="160">
        <f t="shared" si="218"/>
        <v>1494.9691494026797</v>
      </c>
      <c r="S361" s="160">
        <f t="shared" si="219"/>
        <v>1.5701274166204138</v>
      </c>
      <c r="T361" s="160" t="str">
        <f t="shared" si="211"/>
        <v>1+0.0281405894578367i</v>
      </c>
      <c r="U361" s="160">
        <f t="shared" si="220"/>
        <v>1.0003958680317679</v>
      </c>
      <c r="V361" s="160">
        <f t="shared" si="221"/>
        <v>2.8133164875375868E-2</v>
      </c>
      <c r="W361" s="98" t="str">
        <f t="shared" si="212"/>
        <v>1-0.114997601149813i</v>
      </c>
      <c r="X361" s="160">
        <f t="shared" si="222"/>
        <v>1.0065905067455243</v>
      </c>
      <c r="Y361" s="160">
        <f t="shared" si="223"/>
        <v>-0.11449465922732814</v>
      </c>
      <c r="Z361" s="98" t="str">
        <f t="shared" si="213"/>
        <v>0.710225615970003-0.787366977569975i</v>
      </c>
      <c r="AA361" s="160">
        <f t="shared" si="224"/>
        <v>1.0603618169981639</v>
      </c>
      <c r="AB361" s="160">
        <f t="shared" si="225"/>
        <v>-0.83686292344852131</v>
      </c>
      <c r="AC361" s="171" t="str">
        <f t="shared" si="226"/>
        <v>0.3343857732923-0.358097219780176i</v>
      </c>
      <c r="AD361" s="190">
        <f t="shared" si="227"/>
        <v>-6.1970287745618791</v>
      </c>
      <c r="AE361" s="169">
        <f t="shared" si="228"/>
        <v>-46.961109864358619</v>
      </c>
      <c r="AF361" s="98" t="str">
        <f t="shared" si="214"/>
        <v>-0.0000119284294234592</v>
      </c>
      <c r="AG361" s="98" t="str">
        <f t="shared" si="215"/>
        <v>0.00304963491402145i</v>
      </c>
      <c r="AH361" s="98">
        <f t="shared" si="229"/>
        <v>3.04963491402145E-3</v>
      </c>
      <c r="AI361" s="98">
        <f t="shared" si="230"/>
        <v>1.5707963267948966</v>
      </c>
      <c r="AJ361" s="98" t="str">
        <f t="shared" si="216"/>
        <v>1+0.167116597715437i</v>
      </c>
      <c r="AK361" s="98">
        <f t="shared" si="231"/>
        <v>1.0138678203947413</v>
      </c>
      <c r="AL361" s="98">
        <f t="shared" si="232"/>
        <v>0.16558641619861458</v>
      </c>
      <c r="AM361" s="98" t="str">
        <f t="shared" si="217"/>
        <v>1+91.321624442499i</v>
      </c>
      <c r="AN361" s="98">
        <f t="shared" si="233"/>
        <v>91.327099432845401</v>
      </c>
      <c r="AO361" s="98">
        <f t="shared" si="234"/>
        <v>1.5598464555105791</v>
      </c>
      <c r="AP361" s="168" t="str">
        <f t="shared" si="235"/>
        <v>-0.346857338112451+0.0618770469039599i</v>
      </c>
      <c r="AQ361" s="98">
        <f t="shared" si="236"/>
        <v>-9.0609252027706546</v>
      </c>
      <c r="AR361" s="169">
        <f t="shared" si="237"/>
        <v>169.88521579631981</v>
      </c>
      <c r="AS361" s="168" t="str">
        <f t="shared" si="238"/>
        <v>-0.0938261607623251+0.144899452616446i</v>
      </c>
      <c r="AT361" s="190">
        <f t="shared" si="239"/>
        <v>-15.257953977332523</v>
      </c>
      <c r="AU361" s="169">
        <f t="shared" si="240"/>
        <v>122.92410593196114</v>
      </c>
      <c r="AV361" s="225"/>
      <c r="AX361">
        <f t="shared" si="241"/>
        <v>0</v>
      </c>
      <c r="AY361">
        <f t="shared" si="242"/>
        <v>0</v>
      </c>
    </row>
    <row r="362" spans="14:51" x14ac:dyDescent="0.2">
      <c r="N362" s="170">
        <v>44</v>
      </c>
      <c r="O362" s="199">
        <f t="shared" si="208"/>
        <v>27542.287033381719</v>
      </c>
      <c r="P362" s="189" t="str">
        <f t="shared" si="209"/>
        <v>771.276595744681</v>
      </c>
      <c r="Q362" s="160" t="str">
        <f t="shared" si="210"/>
        <v>1+1529.79111201413i</v>
      </c>
      <c r="R362" s="160">
        <f t="shared" si="218"/>
        <v>1529.7914388561039</v>
      </c>
      <c r="S362" s="160">
        <f t="shared" si="219"/>
        <v>1.5701426428705278</v>
      </c>
      <c r="T362" s="160" t="str">
        <f t="shared" si="211"/>
        <v>1+0.028796067990854i</v>
      </c>
      <c r="U362" s="160">
        <f t="shared" si="220"/>
        <v>1.0004145208520985</v>
      </c>
      <c r="V362" s="160">
        <f t="shared" si="221"/>
        <v>2.878811258543738E-2</v>
      </c>
      <c r="W362" s="98" t="str">
        <f t="shared" si="212"/>
        <v>1-0.117676239385701i</v>
      </c>
      <c r="X362" s="160">
        <f t="shared" si="222"/>
        <v>1.0069000433588038</v>
      </c>
      <c r="Y362" s="160">
        <f t="shared" si="223"/>
        <v>-0.11713752666211827</v>
      </c>
      <c r="Z362" s="98" t="str">
        <f t="shared" si="213"/>
        <v>0.696568969988324-0.805707110500634i</v>
      </c>
      <c r="AA362" s="160">
        <f t="shared" si="224"/>
        <v>1.0650691422916521</v>
      </c>
      <c r="AB362" s="160">
        <f t="shared" si="225"/>
        <v>-0.85791928269862161</v>
      </c>
      <c r="AC362" s="171" t="str">
        <f t="shared" si="226"/>
        <v>0.332016900974238-0.342249415356294i</v>
      </c>
      <c r="AD362" s="190">
        <f t="shared" si="227"/>
        <v>-6.4326705817100791</v>
      </c>
      <c r="AE362" s="169">
        <f t="shared" si="228"/>
        <v>-45.869441157523681</v>
      </c>
      <c r="AF362" s="98" t="str">
        <f t="shared" si="214"/>
        <v>-0.0000119284294234592</v>
      </c>
      <c r="AG362" s="98" t="str">
        <f t="shared" si="215"/>
        <v>0.00312067003653287i</v>
      </c>
      <c r="AH362" s="98">
        <f t="shared" si="229"/>
        <v>3.1206700365328699E-3</v>
      </c>
      <c r="AI362" s="98">
        <f t="shared" si="230"/>
        <v>1.5707963267948966</v>
      </c>
      <c r="AJ362" s="98" t="str">
        <f t="shared" si="216"/>
        <v>1+0.171009243336009i</v>
      </c>
      <c r="AK362" s="98">
        <f t="shared" si="231"/>
        <v>1.0145167131725108</v>
      </c>
      <c r="AL362" s="98">
        <f t="shared" si="232"/>
        <v>0.16937088875115702</v>
      </c>
      <c r="AM362" s="98" t="str">
        <f t="shared" si="217"/>
        <v>1+93.4487783357043i</v>
      </c>
      <c r="AN362" s="98">
        <f t="shared" si="233"/>
        <v>93.454128707273284</v>
      </c>
      <c r="AO362" s="98">
        <f t="shared" si="234"/>
        <v>1.5600956857633979</v>
      </c>
      <c r="AP362" s="168" t="str">
        <f t="shared" si="235"/>
        <v>-0.346413774710479+0.0630623511739133i</v>
      </c>
      <c r="AQ362" s="98">
        <f t="shared" si="236"/>
        <v>-9.0665059780493742</v>
      </c>
      <c r="AR362" s="169">
        <f t="shared" si="237"/>
        <v>169.68266133298948</v>
      </c>
      <c r="AS362" s="168" t="str">
        <f t="shared" si="238"/>
        <v>-0.093432175113896+0.13949767827094i</v>
      </c>
      <c r="AT362" s="190">
        <f t="shared" si="239"/>
        <v>-15.49917655975946</v>
      </c>
      <c r="AU362" s="169">
        <f t="shared" si="240"/>
        <v>123.81322017546586</v>
      </c>
      <c r="AV362" s="225"/>
      <c r="AX362">
        <f t="shared" si="241"/>
        <v>0</v>
      </c>
      <c r="AY362">
        <f t="shared" si="242"/>
        <v>0</v>
      </c>
    </row>
    <row r="363" spans="14:51" x14ac:dyDescent="0.2">
      <c r="N363" s="170">
        <v>45</v>
      </c>
      <c r="O363" s="199">
        <f t="shared" si="208"/>
        <v>28183.829312644593</v>
      </c>
      <c r="P363" s="189" t="str">
        <f t="shared" si="209"/>
        <v>771.276595744681</v>
      </c>
      <c r="Q363" s="160" t="str">
        <f t="shared" si="210"/>
        <v>1+1565.42452457744i</v>
      </c>
      <c r="R363" s="160">
        <f t="shared" si="218"/>
        <v>1565.4248439795838</v>
      </c>
      <c r="S363" s="160">
        <f t="shared" si="219"/>
        <v>1.570157522529168</v>
      </c>
      <c r="T363" s="160" t="str">
        <f t="shared" si="211"/>
        <v>1+0.0294668145802811i</v>
      </c>
      <c r="U363" s="160">
        <f t="shared" si="220"/>
        <v>1.0004340523800201</v>
      </c>
      <c r="V363" s="160">
        <f t="shared" si="221"/>
        <v>2.9458290409530942E-2</v>
      </c>
      <c r="W363" s="98" t="str">
        <f t="shared" si="212"/>
        <v>1-0.120417271121341i</v>
      </c>
      <c r="X363" s="160">
        <f t="shared" si="222"/>
        <v>1.0072240660271727</v>
      </c>
      <c r="Y363" s="160">
        <f t="shared" si="223"/>
        <v>-0.11984025340556584</v>
      </c>
      <c r="Z363" s="98" t="str">
        <f t="shared" si="213"/>
        <v>0.682268706110285-0.824474440006074i</v>
      </c>
      <c r="AA363" s="160">
        <f t="shared" si="224"/>
        <v>1.0701629266428228</v>
      </c>
      <c r="AB363" s="160">
        <f t="shared" si="225"/>
        <v>-0.87949896894012847</v>
      </c>
      <c r="AC363" s="171" t="str">
        <f t="shared" si="226"/>
        <v>0.32946696102289-0.32660799996409i</v>
      </c>
      <c r="AD363" s="190">
        <f t="shared" si="227"/>
        <v>-6.6711482221704586</v>
      </c>
      <c r="AE363" s="169">
        <f t="shared" si="228"/>
        <v>-44.750325229042197</v>
      </c>
      <c r="AF363" s="98" t="str">
        <f t="shared" si="214"/>
        <v>-0.0000119284294234592</v>
      </c>
      <c r="AG363" s="98" t="str">
        <f t="shared" si="215"/>
        <v>0.00319335977960462i</v>
      </c>
      <c r="AH363" s="98">
        <f t="shared" si="229"/>
        <v>3.1933597796046198E-3</v>
      </c>
      <c r="AI363" s="98">
        <f t="shared" si="230"/>
        <v>1.5707963267948966</v>
      </c>
      <c r="AJ363" s="98" t="str">
        <f t="shared" si="216"/>
        <v>1+0.174992560320972i</v>
      </c>
      <c r="AK363" s="98">
        <f t="shared" si="231"/>
        <v>1.0151957427844589</v>
      </c>
      <c r="AL363" s="98">
        <f t="shared" si="232"/>
        <v>0.17323844783412251</v>
      </c>
      <c r="AM363" s="98" t="str">
        <f t="shared" si="217"/>
        <v>1+95.6254800081237i</v>
      </c>
      <c r="AN363" s="98">
        <f t="shared" si="233"/>
        <v>95.63070859710318</v>
      </c>
      <c r="AO363" s="98">
        <f t="shared" si="234"/>
        <v>1.5603392441276338</v>
      </c>
      <c r="AP363" s="168" t="str">
        <f t="shared" si="235"/>
        <v>-0.345950521105153+0.0642741528093223i</v>
      </c>
      <c r="AQ363" s="98">
        <f t="shared" si="236"/>
        <v>-9.0723399961686653</v>
      </c>
      <c r="AR363" s="169">
        <f t="shared" si="237"/>
        <v>169.47502138685391</v>
      </c>
      <c r="AS363" s="168" t="str">
        <f t="shared" si="238"/>
        <v>-0.0929868143543609+0.134166417583097i</v>
      </c>
      <c r="AT363" s="190">
        <f t="shared" si="239"/>
        <v>-15.74348821833912</v>
      </c>
      <c r="AU363" s="169">
        <f t="shared" si="240"/>
        <v>124.72469615781174</v>
      </c>
      <c r="AV363" s="225"/>
      <c r="AX363">
        <f t="shared" si="241"/>
        <v>0</v>
      </c>
      <c r="AY363">
        <f t="shared" si="242"/>
        <v>0</v>
      </c>
    </row>
    <row r="364" spans="14:51" x14ac:dyDescent="0.2">
      <c r="N364" s="170">
        <v>46</v>
      </c>
      <c r="O364" s="199">
        <f t="shared" si="208"/>
        <v>28840.315031266062</v>
      </c>
      <c r="P364" s="189" t="str">
        <f t="shared" si="209"/>
        <v>771.276595744681</v>
      </c>
      <c r="Q364" s="160" t="str">
        <f t="shared" si="210"/>
        <v>1+1601.88794594451i</v>
      </c>
      <c r="R364" s="160">
        <f t="shared" si="218"/>
        <v>1601.8882580761749</v>
      </c>
      <c r="S364" s="160">
        <f t="shared" si="219"/>
        <v>1.5701720634856995</v>
      </c>
      <c r="T364" s="160" t="str">
        <f t="shared" si="211"/>
        <v>1+0.0301531848648378i</v>
      </c>
      <c r="U364" s="160">
        <f t="shared" si="220"/>
        <v>1.0004545039918074</v>
      </c>
      <c r="V364" s="160">
        <f t="shared" si="221"/>
        <v>3.0144051275411147E-2</v>
      </c>
      <c r="W364" s="98" t="str">
        <f t="shared" si="212"/>
        <v>1-0.123222149688039i</v>
      </c>
      <c r="X364" s="160">
        <f t="shared" si="222"/>
        <v>1.0075632477287673</v>
      </c>
      <c r="Y364" s="160">
        <f t="shared" si="223"/>
        <v>-0.12260411445264595</v>
      </c>
      <c r="Z364" s="98" t="str">
        <f t="shared" si="213"/>
        <v>0.667294491558933-0.84367891677281i</v>
      </c>
      <c r="AA364" s="160">
        <f t="shared" si="224"/>
        <v>1.0756746966773165</v>
      </c>
      <c r="AB364" s="160">
        <f t="shared" si="225"/>
        <v>-0.9016078220971131</v>
      </c>
      <c r="AC364" s="171" t="str">
        <f t="shared" si="226"/>
        <v>0.326725599102772-0.311174434052708i</v>
      </c>
      <c r="AD364" s="190">
        <f t="shared" si="227"/>
        <v>-6.9126671283199217</v>
      </c>
      <c r="AE364" s="169">
        <f t="shared" si="228"/>
        <v>-43.603480758500126</v>
      </c>
      <c r="AF364" s="98" t="str">
        <f t="shared" si="214"/>
        <v>-0.0000119284294234592</v>
      </c>
      <c r="AG364" s="98" t="str">
        <f t="shared" si="215"/>
        <v>0.00326774268430061i</v>
      </c>
      <c r="AH364" s="98">
        <f t="shared" si="229"/>
        <v>3.2677426843006098E-3</v>
      </c>
      <c r="AI364" s="98">
        <f t="shared" si="230"/>
        <v>1.5707963267948966</v>
      </c>
      <c r="AJ364" s="98" t="str">
        <f t="shared" si="216"/>
        <v>1+0.179068660677717i</v>
      </c>
      <c r="AK364" s="98">
        <f t="shared" si="231"/>
        <v>1.0159062876254441</v>
      </c>
      <c r="AL364" s="98">
        <f t="shared" si="232"/>
        <v>0.17719068103928864</v>
      </c>
      <c r="AM364" s="98" t="str">
        <f t="shared" si="217"/>
        <v>1+97.8528835757958i</v>
      </c>
      <c r="AN364" s="98">
        <f t="shared" si="233"/>
        <v>97.857993153846394</v>
      </c>
      <c r="AO364" s="98">
        <f t="shared" si="234"/>
        <v>1.560577259625505</v>
      </c>
      <c r="AP364" s="168" t="str">
        <f t="shared" si="235"/>
        <v>-0.345466761140968+0.065512627850963i</v>
      </c>
      <c r="AQ364" s="98">
        <f t="shared" si="236"/>
        <v>-9.0784385771978098</v>
      </c>
      <c r="AR364" s="169">
        <f t="shared" si="237"/>
        <v>169.26221238803316</v>
      </c>
      <c r="AS364" s="168" t="str">
        <f t="shared" si="238"/>
        <v>-0.0924869796090479+0.128905076465466i</v>
      </c>
      <c r="AT364" s="190">
        <f t="shared" si="239"/>
        <v>-15.991105705517711</v>
      </c>
      <c r="AU364" s="169">
        <f t="shared" si="240"/>
        <v>125.65873162953295</v>
      </c>
      <c r="AV364" s="225"/>
      <c r="AX364">
        <f t="shared" si="241"/>
        <v>0</v>
      </c>
      <c r="AY364">
        <f t="shared" si="242"/>
        <v>0</v>
      </c>
    </row>
    <row r="365" spans="14:51" x14ac:dyDescent="0.2">
      <c r="N365" s="170">
        <v>47</v>
      </c>
      <c r="O365" s="199">
        <f t="shared" si="208"/>
        <v>29512.092266663854</v>
      </c>
      <c r="P365" s="189" t="str">
        <f t="shared" si="209"/>
        <v>771.276595744681</v>
      </c>
      <c r="Q365" s="160" t="str">
        <f t="shared" si="210"/>
        <v>1+1639.20070950404i</v>
      </c>
      <c r="R365" s="160">
        <f t="shared" si="218"/>
        <v>1639.201014530722</v>
      </c>
      <c r="S365" s="160">
        <f t="shared" si="219"/>
        <v>1.5701862734499055</v>
      </c>
      <c r="T365" s="160" t="str">
        <f t="shared" si="211"/>
        <v>1+0.0308555427671348i</v>
      </c>
      <c r="U365" s="160">
        <f t="shared" si="220"/>
        <v>1.000475919010275</v>
      </c>
      <c r="V365" s="160">
        <f t="shared" si="221"/>
        <v>3.0845756201159785E-2</v>
      </c>
      <c r="W365" s="98" t="str">
        <f t="shared" si="212"/>
        <v>1-0.126092362269541i</v>
      </c>
      <c r="X365" s="160">
        <f t="shared" si="222"/>
        <v>1.007918292235394</v>
      </c>
      <c r="Y365" s="160">
        <f t="shared" si="223"/>
        <v>-0.12543040624501239</v>
      </c>
      <c r="Z365" s="98" t="str">
        <f t="shared" si="213"/>
        <v>0.651614564017566-0.863330723268638i</v>
      </c>
      <c r="AA365" s="160">
        <f t="shared" si="224"/>
        <v>1.0816383303948471</v>
      </c>
      <c r="AB365" s="160">
        <f t="shared" si="225"/>
        <v>-0.92425055672405443</v>
      </c>
      <c r="AC365" s="171" t="str">
        <f t="shared" si="226"/>
        <v>0.323782511009651-0.29595152638506i</v>
      </c>
      <c r="AD365" s="190">
        <f t="shared" si="227"/>
        <v>-7.1574432683539868</v>
      </c>
      <c r="AE365" s="169">
        <f t="shared" si="228"/>
        <v>-42.428691659383716</v>
      </c>
      <c r="AF365" s="98" t="str">
        <f t="shared" si="214"/>
        <v>-0.0000119284294234592</v>
      </c>
      <c r="AG365" s="98" t="str">
        <f t="shared" si="215"/>
        <v>0.00334385818942151i</v>
      </c>
      <c r="AH365" s="98">
        <f t="shared" si="229"/>
        <v>3.3438581894215101E-3</v>
      </c>
      <c r="AI365" s="98">
        <f t="shared" si="230"/>
        <v>1.5707963267948966</v>
      </c>
      <c r="AJ365" s="98" t="str">
        <f t="shared" si="216"/>
        <v>1+0.183239705608609i</v>
      </c>
      <c r="AK365" s="98">
        <f t="shared" si="231"/>
        <v>1.0166497871496998</v>
      </c>
      <c r="AL365" s="98">
        <f t="shared" si="232"/>
        <v>0.18122918977217034</v>
      </c>
      <c r="AM365" s="98" t="str">
        <f t="shared" si="217"/>
        <v>1+100.132170037577i</v>
      </c>
      <c r="AN365" s="98">
        <f t="shared" si="233"/>
        <v>100.13716331329859</v>
      </c>
      <c r="AO365" s="98">
        <f t="shared" si="234"/>
        <v>1.5608098583480459</v>
      </c>
      <c r="AP365" s="168" t="str">
        <f t="shared" si="235"/>
        <v>-0.344961650228588+0.0667779365748824i</v>
      </c>
      <c r="AQ365" s="98">
        <f t="shared" si="236"/>
        <v>-9.0848135048370011</v>
      </c>
      <c r="AR365" s="169">
        <f t="shared" si="237"/>
        <v>169.04414980723402</v>
      </c>
      <c r="AS365" s="168" t="str">
        <f t="shared" si="238"/>
        <v>-0.091929517054864+0.123713454913718i</v>
      </c>
      <c r="AT365" s="190">
        <f t="shared" si="239"/>
        <v>-16.242256773191006</v>
      </c>
      <c r="AU365" s="169">
        <f t="shared" si="240"/>
        <v>126.61545814785042</v>
      </c>
      <c r="AV365" s="225"/>
      <c r="AX365">
        <f t="shared" si="241"/>
        <v>0</v>
      </c>
      <c r="AY365">
        <f t="shared" si="242"/>
        <v>0</v>
      </c>
    </row>
    <row r="366" spans="14:51" x14ac:dyDescent="0.2">
      <c r="N366" s="170">
        <v>48</v>
      </c>
      <c r="O366" s="199">
        <f t="shared" si="208"/>
        <v>30199.517204020212</v>
      </c>
      <c r="P366" s="189" t="str">
        <f t="shared" si="209"/>
        <v>771.276595744681</v>
      </c>
      <c r="Q366" s="160" t="str">
        <f t="shared" si="210"/>
        <v>1+1677.38259897712i</v>
      </c>
      <c r="R366" s="160">
        <f t="shared" si="218"/>
        <v>1677.3828970605482</v>
      </c>
      <c r="S366" s="160">
        <f t="shared" si="219"/>
        <v>1.570200159956074</v>
      </c>
      <c r="T366" s="160" t="str">
        <f t="shared" si="211"/>
        <v>1+0.0315742606866281i</v>
      </c>
      <c r="U366" s="160">
        <f t="shared" si="220"/>
        <v>1.0004983427961824</v>
      </c>
      <c r="V366" s="160">
        <f t="shared" si="221"/>
        <v>3.1563774474336087E-2</v>
      </c>
      <c r="W366" s="98" t="str">
        <f t="shared" si="212"/>
        <v>1-0.129029430690547i</v>
      </c>
      <c r="X366" s="160">
        <f t="shared" si="222"/>
        <v>1.0082899354770565</v>
      </c>
      <c r="Y366" s="160">
        <f t="shared" si="223"/>
        <v>-0.12832044661377909</v>
      </c>
      <c r="Z366" s="98" t="str">
        <f t="shared" si="213"/>
        <v>0.635195664257634-0.883440279141473i</v>
      </c>
      <c r="AA366" s="160">
        <f t="shared" si="224"/>
        <v>1.0880901886798082</v>
      </c>
      <c r="AB366" s="160">
        <f t="shared" si="225"/>
        <v>-0.94743060450362915</v>
      </c>
      <c r="AC366" s="171" t="str">
        <f t="shared" si="226"/>
        <v>0.320627568322603-0.280943502861267i</v>
      </c>
      <c r="AD366" s="190">
        <f t="shared" si="227"/>
        <v>-7.4057029211869132</v>
      </c>
      <c r="AE366" s="169">
        <f t="shared" si="228"/>
        <v>-41.225816089984825</v>
      </c>
      <c r="AF366" s="98" t="str">
        <f t="shared" si="214"/>
        <v>-0.0000119284294234592</v>
      </c>
      <c r="AG366" s="98" t="str">
        <f t="shared" si="215"/>
        <v>0.00342174665241565i</v>
      </c>
      <c r="AH366" s="98">
        <f t="shared" si="229"/>
        <v>3.42174665241565E-3</v>
      </c>
      <c r="AI366" s="98">
        <f t="shared" si="230"/>
        <v>1.5707963267948966</v>
      </c>
      <c r="AJ366" s="98" t="str">
        <f t="shared" si="216"/>
        <v>1+0.187507906656878i</v>
      </c>
      <c r="AK366" s="98">
        <f t="shared" si="231"/>
        <v>1.0174277443921236</v>
      </c>
      <c r="AL366" s="98">
        <f t="shared" si="232"/>
        <v>0.18535558811366426</v>
      </c>
      <c r="AM366" s="98" t="str">
        <f t="shared" si="217"/>
        <v>1+102.464547901317i</v>
      </c>
      <c r="AN366" s="98">
        <f t="shared" si="233"/>
        <v>102.46942752168222</v>
      </c>
      <c r="AO366" s="98">
        <f t="shared" si="234"/>
        <v>1.5610371635214471</v>
      </c>
      <c r="AP366" s="168" t="str">
        <f t="shared" si="235"/>
        <v>-0.344434314866807+0.0680702218294635i</v>
      </c>
      <c r="AQ366" s="98">
        <f t="shared" si="236"/>
        <v>-9.091477042599152</v>
      </c>
      <c r="AR366" s="169">
        <f t="shared" si="237"/>
        <v>168.82074822477409</v>
      </c>
      <c r="AS366" s="168" t="str">
        <f t="shared" si="238"/>
        <v>-0.0913112502612931+0.118591772624662i</v>
      </c>
      <c r="AT366" s="190">
        <f t="shared" si="239"/>
        <v>-16.497179963786085</v>
      </c>
      <c r="AU366" s="169">
        <f t="shared" si="240"/>
        <v>127.59493213478933</v>
      </c>
      <c r="AV366" s="225"/>
      <c r="AX366">
        <f t="shared" si="241"/>
        <v>0</v>
      </c>
      <c r="AY366">
        <f t="shared" si="242"/>
        <v>0</v>
      </c>
    </row>
    <row r="367" spans="14:51" x14ac:dyDescent="0.2">
      <c r="N367" s="170">
        <v>49</v>
      </c>
      <c r="O367" s="199">
        <f t="shared" si="208"/>
        <v>30902.954325135954</v>
      </c>
      <c r="P367" s="189" t="str">
        <f t="shared" si="209"/>
        <v>771.276595744681</v>
      </c>
      <c r="Q367" s="160" t="str">
        <f t="shared" si="210"/>
        <v>1+1716.45385890697i</v>
      </c>
      <c r="R367" s="160">
        <f t="shared" si="218"/>
        <v>1716.454150205192</v>
      </c>
      <c r="S367" s="160">
        <f t="shared" si="219"/>
        <v>1.570213730366993</v>
      </c>
      <c r="T367" s="160" t="str">
        <f t="shared" si="211"/>
        <v>1+0.0323097196970723i</v>
      </c>
      <c r="U367" s="160">
        <f t="shared" si="220"/>
        <v>1.0005218228439114</v>
      </c>
      <c r="V367" s="160">
        <f t="shared" si="221"/>
        <v>3.2298483834643274E-2</v>
      </c>
      <c r="W367" s="98" t="str">
        <f t="shared" si="212"/>
        <v>1-0.132034912223612i</v>
      </c>
      <c r="X367" s="160">
        <f t="shared" si="222"/>
        <v>1.0086789469627573</v>
      </c>
      <c r="Y367" s="160">
        <f t="shared" si="223"/>
        <v>-0.13127557468509149</v>
      </c>
      <c r="Z367" s="98" t="str">
        <f t="shared" si="213"/>
        <v>0.618002965591424-0.904018246744022i</v>
      </c>
      <c r="AA367" s="160">
        <f t="shared" si="224"/>
        <v>1.0950692470916759</v>
      </c>
      <c r="AB367" s="160">
        <f t="shared" si="225"/>
        <v>-0.97114994938313415</v>
      </c>
      <c r="AC367" s="171" t="str">
        <f t="shared" si="226"/>
        <v>0.317250962376068-0.266156064979558i</v>
      </c>
      <c r="AD367" s="190">
        <f t="shared" si="227"/>
        <v>-7.6576822972939116</v>
      </c>
      <c r="AE367" s="169">
        <f t="shared" si="228"/>
        <v>-39.994795883738256</v>
      </c>
      <c r="AF367" s="98" t="str">
        <f t="shared" si="214"/>
        <v>-0.0000119284294234592</v>
      </c>
      <c r="AG367" s="98" t="str">
        <f t="shared" si="215"/>
        <v>0.00350144937077707i</v>
      </c>
      <c r="AH367" s="98">
        <f t="shared" si="229"/>
        <v>3.5014493707770699E-3</v>
      </c>
      <c r="AI367" s="98">
        <f t="shared" si="230"/>
        <v>1.5707963267948966</v>
      </c>
      <c r="AJ367" s="98" t="str">
        <f t="shared" si="216"/>
        <v>1+0.191875526879216i</v>
      </c>
      <c r="AK367" s="98">
        <f t="shared" si="231"/>
        <v>1.0182417285768526</v>
      </c>
      <c r="AL367" s="98">
        <f t="shared" si="232"/>
        <v>0.18957150157289795</v>
      </c>
      <c r="AM367" s="98" t="str">
        <f t="shared" si="217"/>
        <v>1+104.851253824634i</v>
      </c>
      <c r="AN367" s="98">
        <f t="shared" si="233"/>
        <v>104.85602237638915</v>
      </c>
      <c r="AO367" s="98">
        <f t="shared" si="234"/>
        <v>1.5612592955719118</v>
      </c>
      <c r="AP367" s="168" t="str">
        <f t="shared" si="235"/>
        <v>-0.343883852210743+0.0693896072809647i</v>
      </c>
      <c r="AQ367" s="98">
        <f t="shared" si="236"/>
        <v>-9.0984419502424672</v>
      </c>
      <c r="AR367" s="169">
        <f t="shared" si="237"/>
        <v>168.59192140575377</v>
      </c>
      <c r="AS367" s="168" t="str">
        <f t="shared" si="238"/>
        <v>-0.0906290182350693+0.113540692603207i</v>
      </c>
      <c r="AT367" s="190">
        <f t="shared" si="239"/>
        <v>-16.756124247536366</v>
      </c>
      <c r="AU367" s="169">
        <f t="shared" si="240"/>
        <v>128.59712552201546</v>
      </c>
      <c r="AV367" s="225"/>
      <c r="AX367">
        <f t="shared" si="241"/>
        <v>0</v>
      </c>
      <c r="AY367">
        <f t="shared" si="242"/>
        <v>0</v>
      </c>
    </row>
    <row r="368" spans="14:51" x14ac:dyDescent="0.2">
      <c r="N368" s="170">
        <v>50</v>
      </c>
      <c r="O368" s="199">
        <f t="shared" si="208"/>
        <v>31622.77660168384</v>
      </c>
      <c r="P368" s="189" t="str">
        <f t="shared" si="209"/>
        <v>771.276595744681</v>
      </c>
      <c r="Q368" s="160" t="str">
        <f t="shared" si="210"/>
        <v>1+1756.43520539276i</v>
      </c>
      <c r="R368" s="160">
        <f t="shared" si="218"/>
        <v>1756.4354900602264</v>
      </c>
      <c r="S368" s="160">
        <f t="shared" si="219"/>
        <v>1.5702269918778542</v>
      </c>
      <c r="T368" s="160" t="str">
        <f t="shared" si="211"/>
        <v>1+0.0330623097485694i</v>
      </c>
      <c r="U368" s="160">
        <f t="shared" si="220"/>
        <v>1.0005464088816223</v>
      </c>
      <c r="V368" s="160">
        <f t="shared" si="221"/>
        <v>3.3050270660138492E-2</v>
      </c>
      <c r="W368" s="98" t="str">
        <f t="shared" si="212"/>
        <v>1-0.135110400414827i</v>
      </c>
      <c r="X368" s="160">
        <f t="shared" si="222"/>
        <v>1.009086131259495</v>
      </c>
      <c r="Y368" s="160">
        <f t="shared" si="223"/>
        <v>-0.13429715074547219</v>
      </c>
      <c r="Z368" s="98" t="str">
        <f t="shared" si="213"/>
        <v>0.6-0.92507553678709i</v>
      </c>
      <c r="AA368" s="160">
        <f t="shared" si="224"/>
        <v>1.1026172267663528</v>
      </c>
      <c r="AB368" s="160">
        <f t="shared" si="225"/>
        <v>-0.99540895705538901</v>
      </c>
      <c r="AC368" s="171" t="str">
        <f t="shared" si="226"/>
        <v>0.31364336652467-0.251596434313139i</v>
      </c>
      <c r="AD368" s="190">
        <f t="shared" si="227"/>
        <v>-7.9136269861572099</v>
      </c>
      <c r="AE368" s="169">
        <f t="shared" si="228"/>
        <v>-38.735666301087967</v>
      </c>
      <c r="AF368" s="98" t="str">
        <f t="shared" si="214"/>
        <v>-0.0000119284294234592</v>
      </c>
      <c r="AG368" s="98" t="str">
        <f t="shared" si="215"/>
        <v>0.00358300860394203i</v>
      </c>
      <c r="AH368" s="98">
        <f t="shared" si="229"/>
        <v>3.58300860394203E-3</v>
      </c>
      <c r="AI368" s="98">
        <f t="shared" si="230"/>
        <v>1.5707963267948966</v>
      </c>
      <c r="AJ368" s="98" t="str">
        <f t="shared" si="216"/>
        <v>1+0.196344882045679i</v>
      </c>
      <c r="AK368" s="98">
        <f t="shared" si="231"/>
        <v>1.0190933778145808</v>
      </c>
      <c r="AL368" s="98">
        <f t="shared" si="232"/>
        <v>0.19387856572523696</v>
      </c>
      <c r="AM368" s="98" t="str">
        <f t="shared" si="217"/>
        <v>1+107.293553270598i</v>
      </c>
      <c r="AN368" s="98">
        <f t="shared" si="233"/>
        <v>107.29821328163227</v>
      </c>
      <c r="AO368" s="98">
        <f t="shared" si="234"/>
        <v>1.5614763721890585</v>
      </c>
      <c r="AP368" s="168" t="str">
        <f t="shared" si="235"/>
        <v>-0.343309329693128+0.0707361955651041i</v>
      </c>
      <c r="AQ368" s="98">
        <f t="shared" si="236"/>
        <v>-9.1057215004273999</v>
      </c>
      <c r="AR368" s="169">
        <f t="shared" si="237"/>
        <v>168.35758238172613</v>
      </c>
      <c r="AS368" s="168" t="str">
        <f t="shared" si="238"/>
        <v>-0.0898797193432234+0.108561341729412i</v>
      </c>
      <c r="AT368" s="190">
        <f t="shared" si="239"/>
        <v>-17.01934848658459</v>
      </c>
      <c r="AU368" s="169">
        <f t="shared" si="240"/>
        <v>129.62191608063804</v>
      </c>
      <c r="AV368" s="225"/>
      <c r="AX368">
        <f t="shared" si="241"/>
        <v>0</v>
      </c>
      <c r="AY368">
        <f t="shared" si="242"/>
        <v>0</v>
      </c>
    </row>
    <row r="369" spans="14:51" x14ac:dyDescent="0.2">
      <c r="N369" s="170">
        <v>51</v>
      </c>
      <c r="O369" s="199">
        <f t="shared" si="208"/>
        <v>32359.365692962871</v>
      </c>
      <c r="P369" s="189" t="str">
        <f t="shared" si="209"/>
        <v>771.276595744681</v>
      </c>
      <c r="Q369" s="160" t="str">
        <f t="shared" si="210"/>
        <v>1+1797.34783707361i</v>
      </c>
      <c r="R369" s="160">
        <f t="shared" si="218"/>
        <v>1797.3481152612546</v>
      </c>
      <c r="S369" s="160">
        <f t="shared" si="219"/>
        <v>1.5702399515200673</v>
      </c>
      <c r="T369" s="160" t="str">
        <f t="shared" si="211"/>
        <v>1+0.0338324298743267i</v>
      </c>
      <c r="U369" s="160">
        <f t="shared" si="220"/>
        <v>1.0005721529760867</v>
      </c>
      <c r="V369" s="160">
        <f t="shared" si="221"/>
        <v>3.3819530157025116E-2</v>
      </c>
      <c r="W369" s="98" t="str">
        <f t="shared" si="212"/>
        <v>1-0.138257525928739i</v>
      </c>
      <c r="X369" s="160">
        <f t="shared" si="222"/>
        <v>1.009512329531411</v>
      </c>
      <c r="Y369" s="160">
        <f t="shared" si="223"/>
        <v>-0.13738655606380978</v>
      </c>
      <c r="Z369" s="98" t="str">
        <f t="shared" si="213"/>
        <v>0.58114858077964-0.946623314124585i</v>
      </c>
      <c r="AA369" s="160">
        <f t="shared" si="224"/>
        <v>1.110778723142644</v>
      </c>
      <c r="AB369" s="160">
        <f t="shared" si="225"/>
        <v>-1.0202062009685953</v>
      </c>
      <c r="AC369" s="171" t="str">
        <f t="shared" si="226"/>
        <v>0.309796116036229-0.237273379049109i</v>
      </c>
      <c r="AD369" s="190">
        <f t="shared" si="227"/>
        <v>-8.1737912116344287</v>
      </c>
      <c r="AE369" s="169">
        <f t="shared" si="228"/>
        <v>-37.448565977531814</v>
      </c>
      <c r="AF369" s="98" t="str">
        <f t="shared" si="214"/>
        <v>-0.0000119284294234592</v>
      </c>
      <c r="AG369" s="98" t="str">
        <f t="shared" si="215"/>
        <v>0.00366646759569552i</v>
      </c>
      <c r="AH369" s="98">
        <f t="shared" si="229"/>
        <v>3.6664675956955199E-3</v>
      </c>
      <c r="AI369" s="98">
        <f t="shared" si="230"/>
        <v>1.5707963267948966</v>
      </c>
      <c r="AJ369" s="98" t="str">
        <f t="shared" si="216"/>
        <v>1+0.200918341867535i</v>
      </c>
      <c r="AK369" s="98">
        <f t="shared" si="231"/>
        <v>1.0199844018899502</v>
      </c>
      <c r="AL369" s="98">
        <f t="shared" si="232"/>
        <v>0.19827842472928259</v>
      </c>
      <c r="AM369" s="98" t="str">
        <f t="shared" si="217"/>
        <v>1+109.792741178705i</v>
      </c>
      <c r="AN369" s="98">
        <f t="shared" si="233"/>
        <v>109.79729511938855</v>
      </c>
      <c r="AO369" s="98">
        <f t="shared" si="234"/>
        <v>1.5616885083879029</v>
      </c>
      <c r="AP369" s="168" t="str">
        <f t="shared" si="235"/>
        <v>-0.342709784706215+0.0721100663425623i</v>
      </c>
      <c r="AQ369" s="98">
        <f t="shared" si="236"/>
        <v>-9.1133294955645123</v>
      </c>
      <c r="AR369" s="169">
        <f t="shared" si="237"/>
        <v>168.11764353921745</v>
      </c>
      <c r="AS369" s="168" t="str">
        <f t="shared" si="238"/>
        <v>-0.0890603611250425+0.103655327130477i</v>
      </c>
      <c r="AT369" s="190">
        <f t="shared" si="239"/>
        <v>-17.287120707198934</v>
      </c>
      <c r="AU369" s="169">
        <f t="shared" si="240"/>
        <v>130.66907756168561</v>
      </c>
      <c r="AV369" s="225"/>
      <c r="AX369">
        <f t="shared" si="241"/>
        <v>0</v>
      </c>
      <c r="AY369">
        <f t="shared" si="242"/>
        <v>0</v>
      </c>
    </row>
    <row r="370" spans="14:51" x14ac:dyDescent="0.2">
      <c r="N370" s="170">
        <v>52</v>
      </c>
      <c r="O370" s="199">
        <f t="shared" si="208"/>
        <v>33113.11214825909</v>
      </c>
      <c r="P370" s="189" t="str">
        <f t="shared" si="209"/>
        <v>771.276595744681</v>
      </c>
      <c r="Q370" s="160" t="str">
        <f t="shared" si="210"/>
        <v>1+1839.2134463684i</v>
      </c>
      <c r="R370" s="160">
        <f t="shared" si="218"/>
        <v>1839.2137182237218</v>
      </c>
      <c r="S370" s="160">
        <f t="shared" si="219"/>
        <v>1.570252616164989</v>
      </c>
      <c r="T370" s="160" t="str">
        <f t="shared" si="211"/>
        <v>1+0.0346204884022285i</v>
      </c>
      <c r="U370" s="160">
        <f t="shared" si="220"/>
        <v>1.0005991096424225</v>
      </c>
      <c r="V370" s="160">
        <f t="shared" si="221"/>
        <v>3.4606666553052147E-2</v>
      </c>
      <c r="W370" s="98" t="str">
        <f t="shared" si="212"/>
        <v>1-0.141477957412953i</v>
      </c>
      <c r="X370" s="160">
        <f t="shared" si="222"/>
        <v>1.0099584211410593</v>
      </c>
      <c r="Y370" s="160">
        <f t="shared" si="223"/>
        <v>-0.14054519266665957</v>
      </c>
      <c r="Z370" s="98" t="str">
        <f t="shared" si="213"/>
        <v>0.561408721542727-0.96867300367327i</v>
      </c>
      <c r="AA370" s="160">
        <f t="shared" si="224"/>
        <v>1.1196013311306994</v>
      </c>
      <c r="AB370" s="160">
        <f t="shared" si="225"/>
        <v>-1.0455382875584744</v>
      </c>
      <c r="AC370" s="171" t="str">
        <f t="shared" si="226"/>
        <v>0.305701404179679-0.223197218398632i</v>
      </c>
      <c r="AD370" s="190">
        <f t="shared" si="227"/>
        <v>-8.4384368780091314</v>
      </c>
      <c r="AE370" s="169">
        <f t="shared" si="228"/>
        <v>-36.133746913339991</v>
      </c>
      <c r="AF370" s="98" t="str">
        <f t="shared" si="214"/>
        <v>-0.0000119284294234592</v>
      </c>
      <c r="AG370" s="98" t="str">
        <f t="shared" si="215"/>
        <v>0.00375187059709969i</v>
      </c>
      <c r="AH370" s="98">
        <f t="shared" si="229"/>
        <v>3.75187059709969E-3</v>
      </c>
      <c r="AI370" s="98">
        <f t="shared" si="230"/>
        <v>1.5707963267948966</v>
      </c>
      <c r="AJ370" s="98" t="str">
        <f t="shared" si="216"/>
        <v>1+0.205598331253717i</v>
      </c>
      <c r="AK370" s="98">
        <f t="shared" si="231"/>
        <v>1.0209165851401931</v>
      </c>
      <c r="AL370" s="98">
        <f t="shared" si="232"/>
        <v>0.2027727297165679</v>
      </c>
      <c r="AM370" s="98" t="str">
        <f t="shared" si="217"/>
        <v>1+112.350142651463i</v>
      </c>
      <c r="AN370" s="98">
        <f t="shared" si="233"/>
        <v>112.35459293595474</v>
      </c>
      <c r="AO370" s="98">
        <f t="shared" si="234"/>
        <v>1.5618958165694496</v>
      </c>
      <c r="AP370" s="168" t="str">
        <f t="shared" si="235"/>
        <v>-0.342084224352239+0.0735112742565452i</v>
      </c>
      <c r="AQ370" s="98">
        <f t="shared" si="236"/>
        <v>-9.1212802848192318</v>
      </c>
      <c r="AR370" s="169">
        <f t="shared" si="237"/>
        <v>167.87201671546256</v>
      </c>
      <c r="AS370" s="168" t="str">
        <f t="shared" si="238"/>
        <v>-0.088168115797196+0.0988247470967367i</v>
      </c>
      <c r="AT370" s="190">
        <f t="shared" si="239"/>
        <v>-17.55971716282836</v>
      </c>
      <c r="AU370" s="169">
        <f t="shared" si="240"/>
        <v>131.73826980212255</v>
      </c>
      <c r="AV370" s="225"/>
      <c r="AX370">
        <f t="shared" si="241"/>
        <v>0</v>
      </c>
      <c r="AY370">
        <f t="shared" si="242"/>
        <v>0</v>
      </c>
    </row>
    <row r="371" spans="14:51" x14ac:dyDescent="0.2">
      <c r="N371" s="170">
        <v>53</v>
      </c>
      <c r="O371" s="199">
        <f t="shared" si="208"/>
        <v>33884.41561392029</v>
      </c>
      <c r="P371" s="189" t="str">
        <f t="shared" si="209"/>
        <v>771.276595744681</v>
      </c>
      <c r="Q371" s="160" t="str">
        <f t="shared" si="210"/>
        <v>1+1882.05423097732i</v>
      </c>
      <c r="R371" s="160">
        <f t="shared" si="218"/>
        <v>1882.0544966444597</v>
      </c>
      <c r="S371" s="160">
        <f t="shared" si="219"/>
        <v>1.5702649925275651</v>
      </c>
      <c r="T371" s="160" t="str">
        <f t="shared" si="211"/>
        <v>1+0.0354269031713378i</v>
      </c>
      <c r="U371" s="160">
        <f t="shared" si="220"/>
        <v>1.000627335958953</v>
      </c>
      <c r="V371" s="160">
        <f t="shared" si="221"/>
        <v>3.5412093294551618E-2</v>
      </c>
      <c r="W371" s="98" t="str">
        <f t="shared" si="212"/>
        <v>1-0.14477340238287i</v>
      </c>
      <c r="X371" s="160">
        <f t="shared" si="222"/>
        <v>1.0104253253147966</v>
      </c>
      <c r="Y371" s="160">
        <f t="shared" si="223"/>
        <v>-0.14377448306334378</v>
      </c>
      <c r="Z371" s="98" t="str">
        <f t="shared" si="213"/>
        <v>0.540738551401243-0.991236296470411i</v>
      </c>
      <c r="AA371" s="160">
        <f t="shared" si="224"/>
        <v>1.12913576527001</v>
      </c>
      <c r="AB371" s="160">
        <f t="shared" si="225"/>
        <v>-1.0713996839199298</v>
      </c>
      <c r="AC371" s="171" t="str">
        <f t="shared" si="226"/>
        <v>0.301352492181699-0.209379800585796i</v>
      </c>
      <c r="AD371" s="190">
        <f t="shared" si="227"/>
        <v>-8.7078323918587444</v>
      </c>
      <c r="AE371" s="169">
        <f t="shared" si="228"/>
        <v>-34.791584320412341</v>
      </c>
      <c r="AF371" s="98" t="str">
        <f t="shared" si="214"/>
        <v>-0.0000119284294234592</v>
      </c>
      <c r="AG371" s="98" t="str">
        <f t="shared" si="215"/>
        <v>0.00383926288995633i</v>
      </c>
      <c r="AH371" s="98">
        <f t="shared" si="229"/>
        <v>3.83926288995633E-3</v>
      </c>
      <c r="AI371" s="98">
        <f t="shared" si="230"/>
        <v>1.5707963267948966</v>
      </c>
      <c r="AJ371" s="98" t="str">
        <f t="shared" si="216"/>
        <v>1+0.210387331596547i</v>
      </c>
      <c r="AK371" s="98">
        <f t="shared" si="231"/>
        <v>1.0218917894260211</v>
      </c>
      <c r="AL371" s="98">
        <f t="shared" si="232"/>
        <v>0.20736313704754561</v>
      </c>
      <c r="AM371" s="98" t="str">
        <f t="shared" si="217"/>
        <v>1+114.967113656986i</v>
      </c>
      <c r="AN371" s="98">
        <f t="shared" si="233"/>
        <v>114.97146264451163</v>
      </c>
      <c r="AO371" s="98">
        <f t="shared" si="234"/>
        <v>1.5620984065799244</v>
      </c>
      <c r="AP371" s="168" t="str">
        <f t="shared" si="235"/>
        <v>-0.341431625271117+0.0749398467909557i</v>
      </c>
      <c r="AQ371" s="98">
        <f t="shared" si="236"/>
        <v>-9.1295887812305274</v>
      </c>
      <c r="AR371" s="169">
        <f t="shared" si="237"/>
        <v>167.6206133017233</v>
      </c>
      <c r="AS371" s="168" t="str">
        <f t="shared" si="238"/>
        <v>-0.0872003810080787+0.0940721952071199i</v>
      </c>
      <c r="AT371" s="190">
        <f t="shared" si="239"/>
        <v>-17.837421173089268</v>
      </c>
      <c r="AU371" s="169">
        <f t="shared" si="240"/>
        <v>132.82902898131098</v>
      </c>
      <c r="AV371" s="225"/>
      <c r="AX371">
        <f t="shared" si="241"/>
        <v>0</v>
      </c>
      <c r="AY371">
        <f t="shared" si="242"/>
        <v>0</v>
      </c>
    </row>
    <row r="372" spans="14:51" x14ac:dyDescent="0.2">
      <c r="N372" s="170">
        <v>54</v>
      </c>
      <c r="O372" s="199">
        <f t="shared" si="208"/>
        <v>34673.685045253202</v>
      </c>
      <c r="P372" s="189" t="str">
        <f t="shared" si="209"/>
        <v>771.276595744681</v>
      </c>
      <c r="Q372" s="160" t="str">
        <f t="shared" si="210"/>
        <v>1+1925.89290565143i</v>
      </c>
      <c r="R372" s="160">
        <f t="shared" si="218"/>
        <v>1925.8931652712483</v>
      </c>
      <c r="S372" s="160">
        <f t="shared" si="219"/>
        <v>1.5702770871698917</v>
      </c>
      <c r="T372" s="160" t="str">
        <f t="shared" si="211"/>
        <v>1+0.0362521017534386i</v>
      </c>
      <c r="U372" s="160">
        <f t="shared" si="220"/>
        <v>1.0006568916874263</v>
      </c>
      <c r="V372" s="160">
        <f t="shared" si="221"/>
        <v>3.6236233247132925E-2</v>
      </c>
      <c r="W372" s="98" t="str">
        <f t="shared" si="212"/>
        <v>1-0.148145608127033i</v>
      </c>
      <c r="X372" s="160">
        <f t="shared" si="222"/>
        <v>1.0109140028742942</v>
      </c>
      <c r="Y372" s="160">
        <f t="shared" si="223"/>
        <v>-0.14707586991716121</v>
      </c>
      <c r="Z372" s="98" t="str">
        <f t="shared" si="213"/>
        <v>0.519094226153035-1.0143251558725i</v>
      </c>
      <c r="AA372" s="160">
        <f t="shared" si="224"/>
        <v>1.1394359733926209</v>
      </c>
      <c r="AB372" s="160">
        <f t="shared" si="225"/>
        <v>-1.097782551653244</v>
      </c>
      <c r="AC372" s="171" t="str">
        <f t="shared" si="226"/>
        <v>0.296743929727447-0.19583445019936i</v>
      </c>
      <c r="AD372" s="190">
        <f t="shared" si="227"/>
        <v>-8.9822512482987129</v>
      </c>
      <c r="AE372" s="169">
        <f t="shared" si="228"/>
        <v>-33.422586112054248</v>
      </c>
      <c r="AF372" s="98" t="str">
        <f t="shared" si="214"/>
        <v>-0.0000119284294234592</v>
      </c>
      <c r="AG372" s="98" t="str">
        <f t="shared" si="215"/>
        <v>0.00392869081081586i</v>
      </c>
      <c r="AH372" s="98">
        <f t="shared" si="229"/>
        <v>3.9286908108158601E-3</v>
      </c>
      <c r="AI372" s="98">
        <f t="shared" si="230"/>
        <v>1.5707963267948966</v>
      </c>
      <c r="AJ372" s="98" t="str">
        <f t="shared" si="216"/>
        <v>1+0.215287882087393i</v>
      </c>
      <c r="AK372" s="98">
        <f t="shared" si="231"/>
        <v>1.0229119571955718</v>
      </c>
      <c r="AL372" s="98">
        <f t="shared" si="232"/>
        <v>0.21205130642736117</v>
      </c>
      <c r="AM372" s="98" t="str">
        <f t="shared" si="217"/>
        <v>1+117.645041747938i</v>
      </c>
      <c r="AN372" s="98">
        <f t="shared" si="233"/>
        <v>117.64929174403929</v>
      </c>
      <c r="AO372" s="98">
        <f t="shared" si="234"/>
        <v>1.5622963857686749</v>
      </c>
      <c r="AP372" s="168" t="str">
        <f t="shared" si="235"/>
        <v>-0.340750933554477+0.0763957820281067i</v>
      </c>
      <c r="AQ372" s="98">
        <f t="shared" si="236"/>
        <v>-9.138270478900278</v>
      </c>
      <c r="AR372" s="169">
        <f t="shared" si="237"/>
        <v>167.36334435456425</v>
      </c>
      <c r="AS372" s="168" t="str">
        <f t="shared" si="238"/>
        <v>-0.0861548451102273+0.0894007563011815i</v>
      </c>
      <c r="AT372" s="190">
        <f t="shared" si="239"/>
        <v>-18.120521727198991</v>
      </c>
      <c r="AU372" s="169">
        <f t="shared" si="240"/>
        <v>133.94075824251001</v>
      </c>
      <c r="AV372" s="225"/>
      <c r="AX372">
        <f t="shared" si="241"/>
        <v>0</v>
      </c>
      <c r="AY372">
        <f t="shared" si="242"/>
        <v>0</v>
      </c>
    </row>
    <row r="373" spans="14:51" x14ac:dyDescent="0.2">
      <c r="N373" s="170">
        <v>55</v>
      </c>
      <c r="O373" s="199">
        <f t="shared" si="208"/>
        <v>35481.33892335758</v>
      </c>
      <c r="P373" s="189" t="str">
        <f t="shared" si="209"/>
        <v>771.276595744681</v>
      </c>
      <c r="Q373" s="160" t="str">
        <f t="shared" si="210"/>
        <v>1+1970.75271423634i</v>
      </c>
      <c r="R373" s="160">
        <f t="shared" si="218"/>
        <v>1970.7529679464903</v>
      </c>
      <c r="S373" s="160">
        <f t="shared" si="219"/>
        <v>1.5702889065046943</v>
      </c>
      <c r="T373" s="160" t="str">
        <f t="shared" si="211"/>
        <v>1+0.0370965216797427i</v>
      </c>
      <c r="U373" s="160">
        <f t="shared" si="220"/>
        <v>1.0006878393988485</v>
      </c>
      <c r="V373" s="160">
        <f t="shared" si="221"/>
        <v>3.7079518900060289E-2</v>
      </c>
      <c r="W373" s="98" t="str">
        <f t="shared" si="212"/>
        <v>1-0.151596362633564i</v>
      </c>
      <c r="X373" s="160">
        <f t="shared" si="222"/>
        <v>1.011425458036195</v>
      </c>
      <c r="Y373" s="160">
        <f t="shared" si="223"/>
        <v>-0.15045081565882573</v>
      </c>
      <c r="Z373" s="98" t="str">
        <f t="shared" si="213"/>
        <v>0.496429835282329-1.03795182389841i</v>
      </c>
      <c r="AA373" s="160">
        <f t="shared" si="224"/>
        <v>1.1505592423219571</v>
      </c>
      <c r="AB373" s="160">
        <f t="shared" si="225"/>
        <v>-1.1246765911057359</v>
      </c>
      <c r="AC373" s="171" t="str">
        <f t="shared" si="226"/>
        <v>0.29187178160925-0.182575880990158i</v>
      </c>
      <c r="AD373" s="190">
        <f t="shared" si="227"/>
        <v>-9.2619703747109767</v>
      </c>
      <c r="AE373" s="169">
        <f t="shared" si="228"/>
        <v>-32.027401793615375</v>
      </c>
      <c r="AF373" s="98" t="str">
        <f t="shared" si="214"/>
        <v>-0.0000119284294234592</v>
      </c>
      <c r="AG373" s="98" t="str">
        <f t="shared" si="215"/>
        <v>0.00402020177554567i</v>
      </c>
      <c r="AH373" s="98">
        <f t="shared" si="229"/>
        <v>4.0202017755456704E-3</v>
      </c>
      <c r="AI373" s="98">
        <f t="shared" si="230"/>
        <v>1.5707963267948966</v>
      </c>
      <c r="AJ373" s="98" t="str">
        <f t="shared" si="216"/>
        <v>1+0.220302581062995i</v>
      </c>
      <c r="AK373" s="98">
        <f t="shared" si="231"/>
        <v>1.0239791146420016</v>
      </c>
      <c r="AL373" s="98">
        <f t="shared" si="232"/>
        <v>0.21683889887491031</v>
      </c>
      <c r="AM373" s="98" t="str">
        <f t="shared" si="217"/>
        <v>1+120.385346797242i</v>
      </c>
      <c r="AN373" s="98">
        <f t="shared" si="233"/>
        <v>120.38950005499743</v>
      </c>
      <c r="AO373" s="98">
        <f t="shared" si="234"/>
        <v>1.5624898590447731</v>
      </c>
      <c r="AP373" s="168" t="str">
        <f t="shared" si="235"/>
        <v>-0.340041064755899+0.0778790463054681i</v>
      </c>
      <c r="AQ373" s="98">
        <f t="shared" si="236"/>
        <v>-9.1473414701999456</v>
      </c>
      <c r="AR373" s="169">
        <f t="shared" si="237"/>
        <v>167.10012071545995</v>
      </c>
      <c r="AS373" s="168" t="str">
        <f t="shared" si="238"/>
        <v>-0.0850295559007164+0.0848139929658459i</v>
      </c>
      <c r="AT373" s="190">
        <f t="shared" si="239"/>
        <v>-18.409311844910928</v>
      </c>
      <c r="AU373" s="169">
        <f t="shared" si="240"/>
        <v>135.07271892184454</v>
      </c>
      <c r="AV373" s="225"/>
      <c r="AX373">
        <f t="shared" si="241"/>
        <v>0</v>
      </c>
      <c r="AY373">
        <f t="shared" si="242"/>
        <v>0</v>
      </c>
    </row>
    <row r="374" spans="14:51" x14ac:dyDescent="0.2">
      <c r="N374" s="170">
        <v>56</v>
      </c>
      <c r="O374" s="199">
        <f t="shared" si="208"/>
        <v>36307.805477010232</v>
      </c>
      <c r="P374" s="189" t="str">
        <f t="shared" si="209"/>
        <v>771.276595744681</v>
      </c>
      <c r="Q374" s="160" t="str">
        <f t="shared" si="210"/>
        <v>1+2016.65744199632i</v>
      </c>
      <c r="R374" s="160">
        <f t="shared" si="218"/>
        <v>2016.6576899313229</v>
      </c>
      <c r="S374" s="160">
        <f t="shared" si="219"/>
        <v>1.5703004567987273</v>
      </c>
      <c r="T374" s="160" t="str">
        <f t="shared" si="211"/>
        <v>1+0.0379606106728718i</v>
      </c>
      <c r="U374" s="160">
        <f t="shared" si="220"/>
        <v>1.0007202446051831</v>
      </c>
      <c r="V374" s="160">
        <f t="shared" si="221"/>
        <v>3.7942392574319056E-2</v>
      </c>
      <c r="W374" s="98" t="str">
        <f t="shared" si="212"/>
        <v>1-0.155127495538178i</v>
      </c>
      <c r="X374" s="160">
        <f t="shared" si="222"/>
        <v>1.011960740281928</v>
      </c>
      <c r="Y374" s="160">
        <f t="shared" si="223"/>
        <v>-0.15390080203805126</v>
      </c>
      <c r="Z374" s="98" t="str">
        <f t="shared" si="213"/>
        <v>0.472697304577434-1.06212882772027i</v>
      </c>
      <c r="AA374" s="160">
        <f t="shared" si="224"/>
        <v>1.1625662942082944</v>
      </c>
      <c r="AB374" s="160">
        <f t="shared" si="225"/>
        <v>-1.1520689006519222</v>
      </c>
      <c r="AC374" s="171" t="str">
        <f t="shared" si="226"/>
        <v>0.286733855029218-0.169620070755918i</v>
      </c>
      <c r="AD374" s="190">
        <f t="shared" si="227"/>
        <v>-9.547268230786786</v>
      </c>
      <c r="AE374" s="169">
        <f t="shared" si="228"/>
        <v>-30.606830487722259</v>
      </c>
      <c r="AF374" s="98" t="str">
        <f t="shared" si="214"/>
        <v>-0.0000119284294234592</v>
      </c>
      <c r="AG374" s="98" t="str">
        <f t="shared" si="215"/>
        <v>0.00411384430447053i</v>
      </c>
      <c r="AH374" s="98">
        <f t="shared" si="229"/>
        <v>4.1138443044705297E-3</v>
      </c>
      <c r="AI374" s="98">
        <f t="shared" si="230"/>
        <v>1.5707963267948966</v>
      </c>
      <c r="AJ374" s="98" t="str">
        <f t="shared" si="216"/>
        <v>1+0.225434087383126i</v>
      </c>
      <c r="AK374" s="98">
        <f t="shared" si="231"/>
        <v>1.0250953749550638</v>
      </c>
      <c r="AL374" s="98">
        <f t="shared" si="232"/>
        <v>0.22172757453858105</v>
      </c>
      <c r="AM374" s="98" t="str">
        <f t="shared" si="217"/>
        <v>1+123.189481750906i</v>
      </c>
      <c r="AN374" s="98">
        <f t="shared" si="233"/>
        <v>123.19354047212379</v>
      </c>
      <c r="AO374" s="98">
        <f t="shared" si="234"/>
        <v>1.5626789289323408</v>
      </c>
      <c r="AP374" s="168" t="str">
        <f t="shared" si="235"/>
        <v>-0.339300904007685+0.0793895717714469i</v>
      </c>
      <c r="AQ374" s="98">
        <f t="shared" si="236"/>
        <v>-9.1568184629399294</v>
      </c>
      <c r="AR374" s="169">
        <f t="shared" si="237"/>
        <v>166.83085313911394</v>
      </c>
      <c r="AS374" s="168" t="str">
        <f t="shared" si="238"/>
        <v>-0.0838229914398673+0.0803159213084762i</v>
      </c>
      <c r="AT374" s="190">
        <f t="shared" si="239"/>
        <v>-18.704086693726715</v>
      </c>
      <c r="AU374" s="169">
        <f t="shared" si="240"/>
        <v>136.22402265139169</v>
      </c>
      <c r="AV374" s="225"/>
      <c r="AX374">
        <f t="shared" si="241"/>
        <v>0</v>
      </c>
      <c r="AY374">
        <f t="shared" si="242"/>
        <v>0</v>
      </c>
    </row>
    <row r="375" spans="14:51" x14ac:dyDescent="0.2">
      <c r="N375" s="170">
        <v>57</v>
      </c>
      <c r="O375" s="199">
        <f t="shared" si="208"/>
        <v>37153.522909717351</v>
      </c>
      <c r="P375" s="189" t="str">
        <f t="shared" si="209"/>
        <v>771.276595744681</v>
      </c>
      <c r="Q375" s="160" t="str">
        <f t="shared" si="210"/>
        <v>1+2063.63142822566i</v>
      </c>
      <c r="R375" s="160">
        <f t="shared" si="218"/>
        <v>2063.6316705169738</v>
      </c>
      <c r="S375" s="160">
        <f t="shared" si="219"/>
        <v>1.5703117441760972</v>
      </c>
      <c r="T375" s="160" t="str">
        <f t="shared" si="211"/>
        <v>1+0.0388448268842477i</v>
      </c>
      <c r="U375" s="160">
        <f t="shared" si="220"/>
        <v>1.0007541758971916</v>
      </c>
      <c r="V375" s="160">
        <f t="shared" si="221"/>
        <v>3.8825306634391793E-2</v>
      </c>
      <c r="W375" s="98" t="str">
        <f t="shared" si="212"/>
        <v>1-0.158740879094281i</v>
      </c>
      <c r="X375" s="160">
        <f t="shared" si="222"/>
        <v>1.0125209462996927</v>
      </c>
      <c r="Y375" s="160">
        <f t="shared" si="223"/>
        <v>-0.15742732960901287</v>
      </c>
      <c r="Z375" s="98" t="str">
        <f t="shared" si="213"/>
        <v>0.447846294158843-1.08686898630553i</v>
      </c>
      <c r="AA375" s="160">
        <f t="shared" si="224"/>
        <v>1.1755213722364302</v>
      </c>
      <c r="AB375" s="160">
        <f t="shared" si="225"/>
        <v>-1.1799438559797673</v>
      </c>
      <c r="AC375" s="171" t="str">
        <f t="shared" si="226"/>
        <v>0.281329920999913-0.156984095804627i</v>
      </c>
      <c r="AD375" s="190">
        <f t="shared" si="227"/>
        <v>-9.8384226705821138</v>
      </c>
      <c r="AE375" s="169">
        <f t="shared" si="228"/>
        <v>-29.161827809244034</v>
      </c>
      <c r="AF375" s="98" t="str">
        <f t="shared" si="214"/>
        <v>-0.0000119284294234592</v>
      </c>
      <c r="AG375" s="98" t="str">
        <f t="shared" si="215"/>
        <v>0.00420966804809879i</v>
      </c>
      <c r="AH375" s="98">
        <f t="shared" si="229"/>
        <v>4.2096680480987903E-3</v>
      </c>
      <c r="AI375" s="98">
        <f t="shared" si="230"/>
        <v>1.5707963267948966</v>
      </c>
      <c r="AJ375" s="98" t="str">
        <f t="shared" si="216"/>
        <v>1+0.230685121840359i</v>
      </c>
      <c r="AK375" s="98">
        <f t="shared" si="231"/>
        <v>1.026262941666755</v>
      </c>
      <c r="AL375" s="98">
        <f t="shared" si="232"/>
        <v>0.22671899035218812</v>
      </c>
      <c r="AM375" s="98" t="str">
        <f t="shared" si="217"/>
        <v>1+126.0589333984i</v>
      </c>
      <c r="AN375" s="98">
        <f t="shared" si="233"/>
        <v>126.06289973478418</v>
      </c>
      <c r="AO375" s="98">
        <f t="shared" si="234"/>
        <v>1.5628636956246338</v>
      </c>
      <c r="AP375" s="168" t="str">
        <f t="shared" si="235"/>
        <v>-0.338529306255221+0.0809272538409177i</v>
      </c>
      <c r="AQ375" s="98">
        <f t="shared" si="236"/>
        <v>-9.166718797437392</v>
      </c>
      <c r="AR375" s="169">
        <f t="shared" si="237"/>
        <v>166.5554524308624</v>
      </c>
      <c r="AS375" s="168" t="str">
        <f t="shared" si="238"/>
        <v>-0.0825341312147687+0.0759109749756488i</v>
      </c>
      <c r="AT375" s="190">
        <f t="shared" si="239"/>
        <v>-19.005141468019506</v>
      </c>
      <c r="AU375" s="169">
        <f t="shared" si="240"/>
        <v>137.39362462161839</v>
      </c>
      <c r="AV375" s="225"/>
      <c r="AX375">
        <f t="shared" si="241"/>
        <v>0</v>
      </c>
      <c r="AY375">
        <f t="shared" si="242"/>
        <v>0</v>
      </c>
    </row>
    <row r="376" spans="14:51" x14ac:dyDescent="0.2">
      <c r="N376" s="170">
        <v>58</v>
      </c>
      <c r="O376" s="199">
        <f t="shared" si="208"/>
        <v>38018.939632056143</v>
      </c>
      <c r="P376" s="189" t="str">
        <f t="shared" si="209"/>
        <v>771.276595744681</v>
      </c>
      <c r="Q376" s="160" t="str">
        <f t="shared" si="210"/>
        <v>1+2111.69957915364i</v>
      </c>
      <c r="R376" s="160">
        <f t="shared" si="218"/>
        <v>2111.6998159297314</v>
      </c>
      <c r="S376" s="160">
        <f t="shared" si="219"/>
        <v>1.5703227746215092</v>
      </c>
      <c r="T376" s="160" t="str">
        <f t="shared" si="211"/>
        <v>1+0.0397496391370097i</v>
      </c>
      <c r="U376" s="160">
        <f t="shared" si="220"/>
        <v>1.0007897050886976</v>
      </c>
      <c r="V376" s="160">
        <f t="shared" si="221"/>
        <v>3.9728723703743044E-2</v>
      </c>
      <c r="W376" s="98" t="str">
        <f t="shared" si="212"/>
        <v>1-0.162438429165664i</v>
      </c>
      <c r="X376" s="160">
        <f t="shared" si="222"/>
        <v>1.0131072220006174</v>
      </c>
      <c r="Y376" s="160">
        <f t="shared" si="223"/>
        <v>-0.16103191714520868</v>
      </c>
      <c r="Z376" s="98" t="str">
        <f t="shared" si="213"/>
        <v>0.421824091701627-1.11218541721373i</v>
      </c>
      <c r="AA376" s="160">
        <f t="shared" si="224"/>
        <v>1.189492314646371</v>
      </c>
      <c r="AB376" s="160">
        <f t="shared" si="225"/>
        <v>-1.2082830145386914</v>
      </c>
      <c r="AC376" s="171" t="str">
        <f t="shared" si="226"/>
        <v>0.275661922337899-0.144685923642963i</v>
      </c>
      <c r="AD376" s="190">
        <f t="shared" si="227"/>
        <v>-10.135708580190874</v>
      </c>
      <c r="AE376" s="169">
        <f t="shared" si="228"/>
        <v>-27.693511294329291</v>
      </c>
      <c r="AF376" s="98" t="str">
        <f t="shared" si="214"/>
        <v>-0.0000119284294234592</v>
      </c>
      <c r="AG376" s="98" t="str">
        <f t="shared" si="215"/>
        <v>0.00430772381344768i</v>
      </c>
      <c r="AH376" s="98">
        <f t="shared" si="229"/>
        <v>4.3077238134476802E-3</v>
      </c>
      <c r="AI376" s="98">
        <f t="shared" si="230"/>
        <v>1.5707963267948966</v>
      </c>
      <c r="AJ376" s="98" t="str">
        <f t="shared" si="216"/>
        <v>1+0.236058468602672i</v>
      </c>
      <c r="AK376" s="98">
        <f t="shared" si="231"/>
        <v>1.0274841120908094</v>
      </c>
      <c r="AL376" s="98">
        <f t="shared" si="232"/>
        <v>0.23181479752462408</v>
      </c>
      <c r="AM376" s="98" t="str">
        <f t="shared" si="217"/>
        <v>1+128.995223160969i</v>
      </c>
      <c r="AN376" s="98">
        <f t="shared" si="233"/>
        <v>128.99909921525884</v>
      </c>
      <c r="AO376" s="98">
        <f t="shared" si="234"/>
        <v>1.5630442570369072</v>
      </c>
      <c r="AP376" s="168" t="str">
        <f t="shared" si="235"/>
        <v>-0.337725096620503+0.0824919485519209i</v>
      </c>
      <c r="AQ376" s="98">
        <f t="shared" si="236"/>
        <v>-9.177060463414314</v>
      </c>
      <c r="AR376" s="169">
        <f t="shared" si="237"/>
        <v>166.27382959353557</v>
      </c>
      <c r="AS376" s="168" t="str">
        <f t="shared" si="238"/>
        <v>-0.0811625255868181+0.071603956657168i</v>
      </c>
      <c r="AT376" s="190">
        <f t="shared" si="239"/>
        <v>-19.312769043605186</v>
      </c>
      <c r="AU376" s="169">
        <f t="shared" si="240"/>
        <v>138.58031829920625</v>
      </c>
      <c r="AV376" s="225"/>
      <c r="AX376">
        <f t="shared" si="241"/>
        <v>0</v>
      </c>
      <c r="AY376">
        <f t="shared" si="242"/>
        <v>0</v>
      </c>
    </row>
    <row r="377" spans="14:51" x14ac:dyDescent="0.2">
      <c r="N377" s="170">
        <v>59</v>
      </c>
      <c r="O377" s="199">
        <f t="shared" si="208"/>
        <v>38904.514499428085</v>
      </c>
      <c r="P377" s="189" t="str">
        <f t="shared" si="209"/>
        <v>771.276595744681</v>
      </c>
      <c r="Q377" s="160" t="str">
        <f t="shared" si="210"/>
        <v>1+2160.88738115014i</v>
      </c>
      <c r="R377" s="160">
        <f t="shared" si="218"/>
        <v>2160.88761253655</v>
      </c>
      <c r="S377" s="160">
        <f t="shared" si="219"/>
        <v>1.5703335539834411</v>
      </c>
      <c r="T377" s="160" t="str">
        <f t="shared" si="211"/>
        <v>1+0.0406755271745908i</v>
      </c>
      <c r="U377" s="160">
        <f t="shared" si="220"/>
        <v>1.0008269073675682</v>
      </c>
      <c r="V377" s="160">
        <f t="shared" si="221"/>
        <v>4.0653116884016037E-2</v>
      </c>
      <c r="W377" s="98" t="str">
        <f t="shared" si="212"/>
        <v>1-0.166222106242318i</v>
      </c>
      <c r="X377" s="160">
        <f t="shared" si="222"/>
        <v>1.0137207646110602</v>
      </c>
      <c r="Y377" s="160">
        <f t="shared" si="223"/>
        <v>-0.1647161009790461</v>
      </c>
      <c r="Z377" s="98" t="str">
        <f t="shared" si="213"/>
        <v>0.394575500625514-1.13809154355166i</v>
      </c>
      <c r="AA377" s="160">
        <f t="shared" si="224"/>
        <v>1.2045506162871178</v>
      </c>
      <c r="AB377" s="160">
        <f t="shared" si="225"/>
        <v>-1.2370650503205991</v>
      </c>
      <c r="AC377" s="171" t="str">
        <f t="shared" si="226"/>
        <v>0.269734159995431-0.13274416399261i</v>
      </c>
      <c r="AD377" s="190">
        <f t="shared" si="227"/>
        <v>-10.439395313398867</v>
      </c>
      <c r="AE377" s="169">
        <f t="shared" si="228"/>
        <v>-26.203164086964936</v>
      </c>
      <c r="AF377" s="98" t="str">
        <f t="shared" si="214"/>
        <v>-0.0000119284294234592</v>
      </c>
      <c r="AG377" s="98" t="str">
        <f t="shared" si="215"/>
        <v>0.00440806359098194i</v>
      </c>
      <c r="AH377" s="98">
        <f t="shared" si="229"/>
        <v>4.4080635909819399E-3</v>
      </c>
      <c r="AI377" s="98">
        <f t="shared" si="230"/>
        <v>1.5707963267948966</v>
      </c>
      <c r="AJ377" s="98" t="str">
        <f t="shared" si="216"/>
        <v>1+0.24155697668964i</v>
      </c>
      <c r="AK377" s="98">
        <f t="shared" si="231"/>
        <v>1.0287612808554953</v>
      </c>
      <c r="AL377" s="98">
        <f t="shared" si="232"/>
        <v>0.23701663885686841</v>
      </c>
      <c r="AM377" s="98" t="str">
        <f t="shared" si="217"/>
        <v>1+131.999907898312i</v>
      </c>
      <c r="AN377" s="98">
        <f t="shared" si="233"/>
        <v>132.00369572539569</v>
      </c>
      <c r="AO377" s="98">
        <f t="shared" si="234"/>
        <v>1.5632207088580914</v>
      </c>
      <c r="AP377" s="168" t="str">
        <f t="shared" si="235"/>
        <v>-0.336887070907027+0.0840834698257914i</v>
      </c>
      <c r="AQ377" s="98">
        <f t="shared" si="236"/>
        <v>-9.187862116649864</v>
      </c>
      <c r="AR377" s="169">
        <f t="shared" si="237"/>
        <v>165.98589598414239</v>
      </c>
      <c r="AS377" s="168" t="str">
        <f t="shared" si="238"/>
        <v>-0.0797083611768056+0.0673999766904334i</v>
      </c>
      <c r="AT377" s="190">
        <f t="shared" si="239"/>
        <v>-19.627257430048733</v>
      </c>
      <c r="AU377" s="169">
        <f t="shared" si="240"/>
        <v>139.78273189717746</v>
      </c>
      <c r="AV377" s="225"/>
      <c r="AX377">
        <f t="shared" si="241"/>
        <v>0</v>
      </c>
      <c r="AY377">
        <f t="shared" si="242"/>
        <v>0</v>
      </c>
    </row>
    <row r="378" spans="14:51" x14ac:dyDescent="0.2">
      <c r="N378" s="170">
        <v>60</v>
      </c>
      <c r="O378" s="199">
        <f t="shared" si="208"/>
        <v>39810.717055349742</v>
      </c>
      <c r="P378" s="189" t="str">
        <f t="shared" si="209"/>
        <v>771.276595744681</v>
      </c>
      <c r="Q378" s="160" t="str">
        <f t="shared" si="210"/>
        <v>1+2211.22091423885i</v>
      </c>
      <c r="R378" s="160">
        <f t="shared" si="218"/>
        <v>2211.2211403582623</v>
      </c>
      <c r="S378" s="160">
        <f t="shared" si="219"/>
        <v>1.5703440879772428</v>
      </c>
      <c r="T378" s="160" t="str">
        <f t="shared" si="211"/>
        <v>1+0.0416229819150841i</v>
      </c>
      <c r="U378" s="160">
        <f t="shared" si="220"/>
        <v>1.0008658614537231</v>
      </c>
      <c r="V378" s="160">
        <f t="shared" si="221"/>
        <v>4.1598969977935232E-2</v>
      </c>
      <c r="W378" s="98" t="str">
        <f t="shared" si="212"/>
        <v>1-0.170093916479911i</v>
      </c>
      <c r="X378" s="160">
        <f t="shared" si="222"/>
        <v>1.0143628248430021</v>
      </c>
      <c r="Y378" s="160">
        <f t="shared" si="223"/>
        <v>-0.1684814342612804</v>
      </c>
      <c r="Z378" s="98" t="str">
        <f t="shared" si="213"/>
        <v>0.366042723015554-1.1646011010904i</v>
      </c>
      <c r="AA378" s="160">
        <f t="shared" si="224"/>
        <v>1.2207714772772231</v>
      </c>
      <c r="AB378" s="160">
        <f t="shared" si="225"/>
        <v>-1.2662657239526518</v>
      </c>
      <c r="AC378" s="171" t="str">
        <f t="shared" si="226"/>
        <v>0.263553449018693-0.12117777996425i</v>
      </c>
      <c r="AD378" s="190">
        <f t="shared" si="227"/>
        <v>-10.749743956995983</v>
      </c>
      <c r="AE378" s="169">
        <f t="shared" si="228"/>
        <v>-24.692236597506927</v>
      </c>
      <c r="AF378" s="98" t="str">
        <f t="shared" si="214"/>
        <v>-0.0000119284294234592</v>
      </c>
      <c r="AG378" s="98" t="str">
        <f t="shared" si="215"/>
        <v>0.00451074058217976i</v>
      </c>
      <c r="AH378" s="98">
        <f t="shared" si="229"/>
        <v>4.5107405821797602E-3</v>
      </c>
      <c r="AI378" s="98">
        <f t="shared" si="230"/>
        <v>1.5707963267948966</v>
      </c>
      <c r="AJ378" s="98" t="str">
        <f t="shared" si="216"/>
        <v>1+0.247183561483034i</v>
      </c>
      <c r="AK378" s="98">
        <f t="shared" si="231"/>
        <v>1.0300969435288296</v>
      </c>
      <c r="AL378" s="98">
        <f t="shared" si="232"/>
        <v>0.24232614588022527</v>
      </c>
      <c r="AM378" s="98" t="str">
        <f t="shared" si="217"/>
        <v>1+135.074580734047i</v>
      </c>
      <c r="AN378" s="98">
        <f t="shared" si="233"/>
        <v>135.07828234205002</v>
      </c>
      <c r="AO378" s="98">
        <f t="shared" si="234"/>
        <v>1.5633931446013007</v>
      </c>
      <c r="AP378" s="168" t="str">
        <f t="shared" si="235"/>
        <v>-0.336013996258799+0.0857015866339222i</v>
      </c>
      <c r="AQ378" s="98">
        <f t="shared" si="236"/>
        <v>-9.1991430953042084</v>
      </c>
      <c r="AR378" s="169">
        <f t="shared" si="237"/>
        <v>165.69156348073213</v>
      </c>
      <c r="AS378" s="168" t="str">
        <f t="shared" si="238"/>
        <v>-0.0781725196248482+0.0633043788473016i</v>
      </c>
      <c r="AT378" s="190">
        <f t="shared" si="239"/>
        <v>-19.948887052300186</v>
      </c>
      <c r="AU378" s="169">
        <f t="shared" si="240"/>
        <v>140.99932688322522</v>
      </c>
      <c r="AV378" s="225"/>
      <c r="AX378">
        <f t="shared" si="241"/>
        <v>0</v>
      </c>
      <c r="AY378">
        <f t="shared" si="242"/>
        <v>0</v>
      </c>
    </row>
    <row r="379" spans="14:51" x14ac:dyDescent="0.2">
      <c r="N379" s="170">
        <v>61</v>
      </c>
      <c r="O379" s="199">
        <f t="shared" si="208"/>
        <v>40738.027780411358</v>
      </c>
      <c r="P379" s="189" t="str">
        <f t="shared" si="209"/>
        <v>771.276595744681</v>
      </c>
      <c r="Q379" s="160" t="str">
        <f t="shared" si="210"/>
        <v>1+2262.72686592526i</v>
      </c>
      <c r="R379" s="160">
        <f t="shared" si="218"/>
        <v>2262.727086897567</v>
      </c>
      <c r="S379" s="160">
        <f t="shared" si="219"/>
        <v>1.5703543821881683</v>
      </c>
      <c r="T379" s="160" t="str">
        <f t="shared" si="211"/>
        <v>1+0.0425925057115341i</v>
      </c>
      <c r="U379" s="160">
        <f t="shared" si="220"/>
        <v>1.0009066497644958</v>
      </c>
      <c r="V379" s="160">
        <f t="shared" si="221"/>
        <v>4.256677771590256E-2</v>
      </c>
      <c r="W379" s="98" t="str">
        <f t="shared" si="212"/>
        <v>1-0.17405591276348i</v>
      </c>
      <c r="X379" s="160">
        <f t="shared" si="222"/>
        <v>1.0150347091444352</v>
      </c>
      <c r="Y379" s="160">
        <f t="shared" si="223"/>
        <v>-0.1723294861352333</v>
      </c>
      <c r="Z379" s="98" t="str">
        <f t="shared" si="213"/>
        <v>0.336165237024974-1.19172814554825i</v>
      </c>
      <c r="AA379" s="160">
        <f t="shared" si="224"/>
        <v>1.2382338387703382</v>
      </c>
      <c r="AB379" s="160">
        <f t="shared" si="225"/>
        <v>-1.2958578926527928</v>
      </c>
      <c r="AC379" s="171" t="str">
        <f t="shared" si="226"/>
        <v>0.257129235347712-0.110005763157359i</v>
      </c>
      <c r="AD379" s="190">
        <f t="shared" si="227"/>
        <v>-11.067004466901935</v>
      </c>
      <c r="AE379" s="169">
        <f t="shared" si="228"/>
        <v>-23.162345872148403</v>
      </c>
      <c r="AF379" s="98" t="str">
        <f t="shared" si="214"/>
        <v>-0.0000119284294234592</v>
      </c>
      <c r="AG379" s="98" t="str">
        <f t="shared" si="215"/>
        <v>0.00461580922774096i</v>
      </c>
      <c r="AH379" s="98">
        <f t="shared" si="229"/>
        <v>4.61580922774096E-3</v>
      </c>
      <c r="AI379" s="98">
        <f t="shared" si="230"/>
        <v>1.5707963267948966</v>
      </c>
      <c r="AJ379" s="98" t="str">
        <f t="shared" si="216"/>
        <v>1+0.252941206272588i</v>
      </c>
      <c r="AK379" s="98">
        <f t="shared" si="231"/>
        <v>1.0314937003349229</v>
      </c>
      <c r="AL379" s="98">
        <f t="shared" si="232"/>
        <v>0.24774493580982537</v>
      </c>
      <c r="AM379" s="98" t="str">
        <f t="shared" si="217"/>
        <v>1+138.220871900411i</v>
      </c>
      <c r="AN379" s="98">
        <f t="shared" si="233"/>
        <v>138.22448925175968</v>
      </c>
      <c r="AO379" s="98">
        <f t="shared" si="234"/>
        <v>1.5635616556532079</v>
      </c>
      <c r="AP379" s="168" t="str">
        <f t="shared" si="235"/>
        <v>-0.335104611986739+0.0873460200753913i</v>
      </c>
      <c r="AQ379" s="98">
        <f t="shared" si="236"/>
        <v>-9.210923435823906</v>
      </c>
      <c r="AR379" s="169">
        <f t="shared" si="237"/>
        <v>165.3907446597737</v>
      </c>
      <c r="AS379" s="168" t="str">
        <f t="shared" si="238"/>
        <v>-0.0765566270444905+0.0593226539318032i</v>
      </c>
      <c r="AT379" s="190">
        <f t="shared" si="239"/>
        <v>-20.277927902725843</v>
      </c>
      <c r="AU379" s="169">
        <f t="shared" si="240"/>
        <v>142.22839878762528</v>
      </c>
      <c r="AV379" s="225"/>
      <c r="AX379">
        <f t="shared" si="241"/>
        <v>0</v>
      </c>
      <c r="AY379">
        <f t="shared" si="242"/>
        <v>0</v>
      </c>
    </row>
    <row r="380" spans="14:51" x14ac:dyDescent="0.2">
      <c r="N380" s="170">
        <v>62</v>
      </c>
      <c r="O380" s="199">
        <f t="shared" si="208"/>
        <v>41686.938347033625</v>
      </c>
      <c r="P380" s="189" t="str">
        <f t="shared" si="209"/>
        <v>771.276595744681</v>
      </c>
      <c r="Q380" s="160" t="str">
        <f t="shared" si="210"/>
        <v>1+2315.43254534671i</v>
      </c>
      <c r="R380" s="160">
        <f t="shared" si="218"/>
        <v>2315.4327612890734</v>
      </c>
      <c r="S380" s="160">
        <f t="shared" si="219"/>
        <v>1.5703644420743355</v>
      </c>
      <c r="T380" s="160" t="str">
        <f t="shared" si="211"/>
        <v>1+0.043584612618291i</v>
      </c>
      <c r="U380" s="160">
        <f t="shared" si="220"/>
        <v>1.0009493585876792</v>
      </c>
      <c r="V380" s="160">
        <f t="shared" si="221"/>
        <v>4.3557045986268E-2</v>
      </c>
      <c r="W380" s="98" t="str">
        <f t="shared" si="212"/>
        <v>1-0.1781101957959i</v>
      </c>
      <c r="X380" s="160">
        <f t="shared" si="222"/>
        <v>1.01573778203159</v>
      </c>
      <c r="Y380" s="160">
        <f t="shared" si="223"/>
        <v>-0.17626184082051813</v>
      </c>
      <c r="Z380" s="98" t="str">
        <f t="shared" si="213"/>
        <v>0.304879668500245-1.21948706004327i</v>
      </c>
      <c r="AA380" s="160">
        <f t="shared" si="224"/>
        <v>1.2570204063092201</v>
      </c>
      <c r="AB380" s="160">
        <f t="shared" si="225"/>
        <v>-1.3258115639174202</v>
      </c>
      <c r="AC380" s="171" t="str">
        <f t="shared" si="226"/>
        <v>0.250473665062605-0.0992467785133506i</v>
      </c>
      <c r="AD380" s="190">
        <f t="shared" si="227"/>
        <v>-11.391412725424885</v>
      </c>
      <c r="AE380" s="169">
        <f t="shared" si="228"/>
        <v>-21.615272451320308</v>
      </c>
      <c r="AF380" s="98" t="str">
        <f t="shared" si="214"/>
        <v>-0.0000119284294234592</v>
      </c>
      <c r="AG380" s="98" t="str">
        <f t="shared" si="215"/>
        <v>0.00472332523645217i</v>
      </c>
      <c r="AH380" s="98">
        <f t="shared" si="229"/>
        <v>4.7233252364521699E-3</v>
      </c>
      <c r="AI380" s="98">
        <f t="shared" si="230"/>
        <v>1.5707963267948966</v>
      </c>
      <c r="AJ380" s="98" t="str">
        <f t="shared" si="216"/>
        <v>1+0.25883296383778i</v>
      </c>
      <c r="AK380" s="98">
        <f t="shared" si="231"/>
        <v>1.0329542599597765</v>
      </c>
      <c r="AL380" s="98">
        <f t="shared" si="232"/>
        <v>0.25327460830780091</v>
      </c>
      <c r="AM380" s="98" t="str">
        <f t="shared" si="217"/>
        <v>1+141.440449602627i</v>
      </c>
      <c r="AN380" s="98">
        <f t="shared" si="233"/>
        <v>141.44398461508808</v>
      </c>
      <c r="AO380" s="98">
        <f t="shared" si="234"/>
        <v>1.5637263313223009</v>
      </c>
      <c r="AP380" s="168" t="str">
        <f t="shared" si="235"/>
        <v>-0.334157630576252+0.0890164403708149i</v>
      </c>
      <c r="AQ380" s="98">
        <f t="shared" si="236"/>
        <v>-9.2232238883313187</v>
      </c>
      <c r="AR380" s="169">
        <f t="shared" si="237"/>
        <v>165.0833529843776</v>
      </c>
      <c r="AS380" s="168" t="str">
        <f t="shared" si="238"/>
        <v>-0.0748630914975407+0.0554603424208522i</v>
      </c>
      <c r="AT380" s="190">
        <f t="shared" si="239"/>
        <v>-20.614636613756197</v>
      </c>
      <c r="AU380" s="169">
        <f t="shared" si="240"/>
        <v>143.46808053305728</v>
      </c>
      <c r="AV380" s="225"/>
      <c r="AX380">
        <f t="shared" si="241"/>
        <v>0</v>
      </c>
      <c r="AY380">
        <f t="shared" si="242"/>
        <v>0</v>
      </c>
    </row>
    <row r="381" spans="14:51" x14ac:dyDescent="0.2">
      <c r="N381" s="170">
        <v>63</v>
      </c>
      <c r="O381" s="199">
        <f t="shared" si="208"/>
        <v>42657.951880159271</v>
      </c>
      <c r="P381" s="189" t="str">
        <f t="shared" si="209"/>
        <v>771.276595744681</v>
      </c>
      <c r="Q381" s="160" t="str">
        <f t="shared" si="210"/>
        <v>1+2369.36589775208i</v>
      </c>
      <c r="R381" s="160">
        <f t="shared" si="218"/>
        <v>2369.3661087789956</v>
      </c>
      <c r="S381" s="160">
        <f t="shared" si="219"/>
        <v>1.5703742729696211</v>
      </c>
      <c r="T381" s="160" t="str">
        <f t="shared" si="211"/>
        <v>1+0.0445998286635685i</v>
      </c>
      <c r="U381" s="160">
        <f t="shared" si="220"/>
        <v>1.0009940782626137</v>
      </c>
      <c r="V381" s="160">
        <f t="shared" si="221"/>
        <v>4.4570292069246807E-2</v>
      </c>
      <c r="W381" s="98" t="str">
        <f t="shared" si="212"/>
        <v>1-0.182258915211698i</v>
      </c>
      <c r="X381" s="160">
        <f t="shared" si="222"/>
        <v>1.0164734685047834</v>
      </c>
      <c r="Y381" s="160">
        <f t="shared" si="223"/>
        <v>-0.1802800966008011</v>
      </c>
      <c r="Z381" s="98" t="str">
        <f t="shared" si="213"/>
        <v>0.272119656556002-1.24789256271934i</v>
      </c>
      <c r="AA381" s="160">
        <f t="shared" si="224"/>
        <v>1.2772176617845521</v>
      </c>
      <c r="AB381" s="160">
        <f t="shared" si="225"/>
        <v>-1.3560939958719391</v>
      </c>
      <c r="AC381" s="171" t="str">
        <f t="shared" si="226"/>
        <v>0.24360159859026-0.0889187868113182i</v>
      </c>
      <c r="AD381" s="190">
        <f t="shared" si="227"/>
        <v>-11.723187578270606</v>
      </c>
      <c r="AE381" s="169">
        <f t="shared" si="228"/>
        <v>-20.052954548794435</v>
      </c>
      <c r="AF381" s="98" t="str">
        <f t="shared" si="214"/>
        <v>-0.0000119284294234592</v>
      </c>
      <c r="AG381" s="98" t="str">
        <f t="shared" si="215"/>
        <v>0.00483334561472433i</v>
      </c>
      <c r="AH381" s="98">
        <f t="shared" si="229"/>
        <v>4.8333456147243298E-3</v>
      </c>
      <c r="AI381" s="98">
        <f t="shared" si="230"/>
        <v>1.5707963267948966</v>
      </c>
      <c r="AJ381" s="98" t="str">
        <f t="shared" si="216"/>
        <v>1+0.264861958066458i</v>
      </c>
      <c r="AK381" s="98">
        <f t="shared" si="231"/>
        <v>1.0344814434443945</v>
      </c>
      <c r="AL381" s="98">
        <f t="shared" si="232"/>
        <v>0.25891674205089832</v>
      </c>
      <c r="AM381" s="98" t="str">
        <f t="shared" si="217"/>
        <v>1+144.735020903407i</v>
      </c>
      <c r="AN381" s="98">
        <f t="shared" si="233"/>
        <v>144.7384754511034</v>
      </c>
      <c r="AO381" s="98">
        <f t="shared" si="234"/>
        <v>1.5638872588860528</v>
      </c>
      <c r="AP381" s="168" t="str">
        <f t="shared" si="235"/>
        <v>-0.333171738890164+0.0907124637790619i</v>
      </c>
      <c r="AQ381" s="98">
        <f t="shared" si="236"/>
        <v>-9.2360659313923925</v>
      </c>
      <c r="AR381" s="169">
        <f t="shared" si="237"/>
        <v>164.76930300366016</v>
      </c>
      <c r="AS381" s="168" t="str">
        <f t="shared" si="238"/>
        <v>-0.0730951259708408+0.0517229280105712i</v>
      </c>
      <c r="AT381" s="190">
        <f t="shared" si="239"/>
        <v>-20.959253509663004</v>
      </c>
      <c r="AU381" s="169">
        <f t="shared" si="240"/>
        <v>144.71634845486571</v>
      </c>
      <c r="AV381" s="225"/>
      <c r="AX381">
        <f t="shared" si="241"/>
        <v>0</v>
      </c>
      <c r="AY381">
        <f t="shared" si="242"/>
        <v>0</v>
      </c>
    </row>
    <row r="382" spans="14:51" x14ac:dyDescent="0.2">
      <c r="N382" s="170">
        <v>64</v>
      </c>
      <c r="O382" s="199">
        <f t="shared" si="208"/>
        <v>43651.583224016598</v>
      </c>
      <c r="P382" s="189" t="str">
        <f t="shared" si="209"/>
        <v>771.276595744681</v>
      </c>
      <c r="Q382" s="160" t="str">
        <f t="shared" si="210"/>
        <v>1+2424.5555193187i</v>
      </c>
      <c r="R382" s="160">
        <f t="shared" si="218"/>
        <v>2424.5557255420572</v>
      </c>
      <c r="S382" s="160">
        <f t="shared" si="219"/>
        <v>1.5703838800864884</v>
      </c>
      <c r="T382" s="160" t="str">
        <f t="shared" si="211"/>
        <v>1+0.0456386921283518i</v>
      </c>
      <c r="U382" s="160">
        <f t="shared" si="220"/>
        <v>1.0010409033696808</v>
      </c>
      <c r="V382" s="160">
        <f t="shared" si="221"/>
        <v>4.5607044874450157E-2</v>
      </c>
      <c r="W382" s="98" t="str">
        <f t="shared" si="212"/>
        <v>1-0.186504270716822i</v>
      </c>
      <c r="X382" s="160">
        <f t="shared" si="222"/>
        <v>1.0172432565495892</v>
      </c>
      <c r="Y382" s="160">
        <f t="shared" si="223"/>
        <v>-0.1843858647099692</v>
      </c>
      <c r="Z382" s="98" t="str">
        <f t="shared" si="213"/>
        <v>0.2378157128147-1.27695971454997i</v>
      </c>
      <c r="AA382" s="160">
        <f t="shared" si="224"/>
        <v>1.2989158655760213</v>
      </c>
      <c r="AB382" s="160">
        <f t="shared" si="225"/>
        <v>-1.3866698460317852</v>
      </c>
      <c r="AC382" s="171" t="str">
        <f t="shared" si="226"/>
        <v>0.236530563838925-0.0790386546176674i</v>
      </c>
      <c r="AD382" s="190">
        <f t="shared" si="227"/>
        <v>-12.062527916771153</v>
      </c>
      <c r="AE382" s="169">
        <f t="shared" si="228"/>
        <v>-18.477479451038818</v>
      </c>
      <c r="AF382" s="98" t="str">
        <f t="shared" si="214"/>
        <v>-0.0000119284294234592</v>
      </c>
      <c r="AG382" s="98" t="str">
        <f t="shared" si="215"/>
        <v>0.00494592869681832i</v>
      </c>
      <c r="AH382" s="98">
        <f t="shared" si="229"/>
        <v>4.9459286968183197E-3</v>
      </c>
      <c r="AI382" s="98">
        <f t="shared" si="230"/>
        <v>1.5707963267948966</v>
      </c>
      <c r="AJ382" s="98" t="str">
        <f t="shared" si="216"/>
        <v>1+0.271031385611165i</v>
      </c>
      <c r="AK382" s="98">
        <f t="shared" si="231"/>
        <v>1.0360781881626058</v>
      </c>
      <c r="AL382" s="98">
        <f t="shared" si="232"/>
        <v>0.26467289109776748</v>
      </c>
      <c r="AM382" s="98" t="str">
        <f t="shared" si="217"/>
        <v>1+148.106332628065i</v>
      </c>
      <c r="AN382" s="98">
        <f t="shared" si="233"/>
        <v>148.1097085424687</v>
      </c>
      <c r="AO382" s="98">
        <f t="shared" si="234"/>
        <v>1.564044523637028</v>
      </c>
      <c r="AP382" s="168" t="str">
        <f t="shared" si="235"/>
        <v>-0.332145599581591+0.092433649444827i</v>
      </c>
      <c r="AQ382" s="98">
        <f t="shared" si="236"/>
        <v>-9.2494717860491349</v>
      </c>
      <c r="AR382" s="169">
        <f t="shared" si="237"/>
        <v>164.44851056352331</v>
      </c>
      <c r="AS382" s="168" t="str">
        <f t="shared" si="238"/>
        <v>-0.0712567546521313+0.0481157245489819i</v>
      </c>
      <c r="AT382" s="190">
        <f t="shared" si="239"/>
        <v>-21.311999702820291</v>
      </c>
      <c r="AU382" s="169">
        <f t="shared" si="240"/>
        <v>145.9710311124845</v>
      </c>
      <c r="AV382" s="225"/>
      <c r="AX382">
        <f t="shared" si="241"/>
        <v>0</v>
      </c>
      <c r="AY382">
        <f t="shared" si="242"/>
        <v>0</v>
      </c>
    </row>
    <row r="383" spans="14:51" x14ac:dyDescent="0.2">
      <c r="N383" s="170">
        <v>65</v>
      </c>
      <c r="O383" s="199">
        <f t="shared" si="208"/>
        <v>44668.359215096389</v>
      </c>
      <c r="P383" s="189" t="str">
        <f t="shared" si="209"/>
        <v>771.276595744681</v>
      </c>
      <c r="Q383" s="160" t="str">
        <f t="shared" si="210"/>
        <v>1+2481.03067231446i</v>
      </c>
      <c r="R383" s="160">
        <f t="shared" si="218"/>
        <v>2481.0308738436011</v>
      </c>
      <c r="S383" s="160">
        <f t="shared" si="219"/>
        <v>1.5703932685187507</v>
      </c>
      <c r="T383" s="160" t="str">
        <f t="shared" si="211"/>
        <v>1+0.0467017538318014i</v>
      </c>
      <c r="U383" s="160">
        <f t="shared" si="220"/>
        <v>1.0010899329285887</v>
      </c>
      <c r="V383" s="160">
        <f t="shared" si="221"/>
        <v>4.6667845181982311E-2</v>
      </c>
      <c r="W383" s="98" t="str">
        <f t="shared" si="212"/>
        <v>1-0.190848513254957i</v>
      </c>
      <c r="X383" s="160">
        <f t="shared" si="222"/>
        <v>1.0180486997249334</v>
      </c>
      <c r="Y383" s="160">
        <f t="shared" si="223"/>
        <v>-0.18858076811086891</v>
      </c>
      <c r="Z383" s="98" t="str">
        <f t="shared" si="213"/>
        <v>0.201895074012441-1.30670392732382i</v>
      </c>
      <c r="AA383" s="160">
        <f t="shared" si="224"/>
        <v>1.322209051018024</v>
      </c>
      <c r="AB383" s="160">
        <f t="shared" si="225"/>
        <v>-1.4175013688260059</v>
      </c>
      <c r="AC383" s="171" t="str">
        <f t="shared" si="226"/>
        <v>0.229280644207701-0.0696217631281738i</v>
      </c>
      <c r="AD383" s="190">
        <f t="shared" si="227"/>
        <v>-12.409609875625735</v>
      </c>
      <c r="AE383" s="169">
        <f t="shared" si="228"/>
        <v>-16.891072116322338</v>
      </c>
      <c r="AF383" s="98" t="str">
        <f t="shared" si="214"/>
        <v>-0.0000119284294234592</v>
      </c>
      <c r="AG383" s="98" t="str">
        <f t="shared" si="215"/>
        <v>0.00506113417577448i</v>
      </c>
      <c r="AH383" s="98">
        <f t="shared" si="229"/>
        <v>5.0611341757744802E-3</v>
      </c>
      <c r="AI383" s="98">
        <f t="shared" si="230"/>
        <v>1.5707963267948966</v>
      </c>
      <c r="AJ383" s="98" t="str">
        <f t="shared" si="216"/>
        <v>1+0.277344517584049i</v>
      </c>
      <c r="AK383" s="98">
        <f t="shared" si="231"/>
        <v>1.0377475518804797</v>
      </c>
      <c r="AL383" s="98">
        <f t="shared" si="232"/>
        <v>0.27054458105174312</v>
      </c>
      <c r="AM383" s="98" t="str">
        <f t="shared" si="217"/>
        <v>1+151.556172290702i</v>
      </c>
      <c r="AN383" s="98">
        <f t="shared" si="233"/>
        <v>151.5594713616043</v>
      </c>
      <c r="AO383" s="98">
        <f t="shared" si="234"/>
        <v>1.5641982089279449</v>
      </c>
      <c r="AP383" s="168" t="str">
        <f t="shared" si="235"/>
        <v>-0.331077852731559+0.094179496186526i</v>
      </c>
      <c r="AQ383" s="98">
        <f t="shared" si="236"/>
        <v>-9.263464428995368</v>
      </c>
      <c r="AR383" s="169">
        <f t="shared" si="237"/>
        <v>164.12089302909388</v>
      </c>
      <c r="AS383" s="168" t="str">
        <f t="shared" si="238"/>
        <v>-0.0693528007821651+0.0446437593966644i</v>
      </c>
      <c r="AT383" s="190">
        <f t="shared" si="239"/>
        <v>-21.673074304621103</v>
      </c>
      <c r="AU383" s="169">
        <f t="shared" si="240"/>
        <v>147.22982091277152</v>
      </c>
      <c r="AV383" s="225"/>
      <c r="AX383">
        <f t="shared" si="241"/>
        <v>0</v>
      </c>
      <c r="AY383">
        <f t="shared" si="242"/>
        <v>0</v>
      </c>
    </row>
    <row r="384" spans="14:51" x14ac:dyDescent="0.2">
      <c r="N384" s="170">
        <v>66</v>
      </c>
      <c r="O384" s="199">
        <f t="shared" ref="O384:O418" si="243">10^(4+(N384/100))</f>
        <v>45708.818961487581</v>
      </c>
      <c r="P384" s="189" t="str">
        <f t="shared" si="209"/>
        <v>771.276595744681</v>
      </c>
      <c r="Q384" s="160" t="str">
        <f t="shared" si="210"/>
        <v>1+2538.82130061298i</v>
      </c>
      <c r="R384" s="160">
        <f t="shared" si="218"/>
        <v>2538.8214975547576</v>
      </c>
      <c r="S384" s="160">
        <f t="shared" si="219"/>
        <v>1.5704024432442727</v>
      </c>
      <c r="T384" s="160" t="str">
        <f t="shared" si="211"/>
        <v>1+0.0477895774233031i</v>
      </c>
      <c r="U384" s="160">
        <f t="shared" si="220"/>
        <v>1.0011412706058511</v>
      </c>
      <c r="V384" s="160">
        <f t="shared" si="221"/>
        <v>4.7753245887048747E-2</v>
      </c>
      <c r="W384" s="98" t="str">
        <f t="shared" si="212"/>
        <v>1-0.195293946200998i</v>
      </c>
      <c r="X384" s="160">
        <f t="shared" si="222"/>
        <v>1.0188914198396011</v>
      </c>
      <c r="Y384" s="160">
        <f t="shared" si="223"/>
        <v>-0.19286644016061905</v>
      </c>
      <c r="Z384" s="98" t="str">
        <f t="shared" si="213"/>
        <v>0.164281547658383-1.3371409718162i</v>
      </c>
      <c r="AA384" s="160">
        <f t="shared" si="224"/>
        <v>1.3471950138753503</v>
      </c>
      <c r="AB384" s="160">
        <f t="shared" si="225"/>
        <v>-1.4485486606793452</v>
      </c>
      <c r="AC384" s="171" t="str">
        <f t="shared" si="226"/>
        <v>0.221874299857867-0.0606816285185038i</v>
      </c>
      <c r="AD384" s="190">
        <f t="shared" si="227"/>
        <v>-12.764584218720035</v>
      </c>
      <c r="AE384" s="169">
        <f t="shared" si="228"/>
        <v>-15.296081042212776</v>
      </c>
      <c r="AF384" s="98" t="str">
        <f t="shared" si="214"/>
        <v>-0.0000119284294234592</v>
      </c>
      <c r="AG384" s="98" t="str">
        <f t="shared" si="215"/>
        <v>0.00517902313506265i</v>
      </c>
      <c r="AH384" s="98">
        <f t="shared" si="229"/>
        <v>5.1790231350626499E-3</v>
      </c>
      <c r="AI384" s="98">
        <f t="shared" si="230"/>
        <v>1.5707963267948966</v>
      </c>
      <c r="AJ384" s="98" t="str">
        <f t="shared" si="216"/>
        <v>1+0.283804701291243i</v>
      </c>
      <c r="AK384" s="98">
        <f t="shared" si="231"/>
        <v>1.0394927168936836</v>
      </c>
      <c r="AL384" s="98">
        <f t="shared" si="232"/>
        <v>0.27653330501557655</v>
      </c>
      <c r="AM384" s="98" t="str">
        <f t="shared" si="217"/>
        <v>1+155.086369041969i</v>
      </c>
      <c r="AN384" s="98">
        <f t="shared" si="233"/>
        <v>155.08959301842853</v>
      </c>
      <c r="AO384" s="98">
        <f t="shared" si="234"/>
        <v>1.5643483962157234</v>
      </c>
      <c r="AP384" s="168" t="str">
        <f t="shared" si="235"/>
        <v>-0.329967117726395+0.0959494392356065i</v>
      </c>
      <c r="AQ384" s="98">
        <f t="shared" si="236"/>
        <v>-9.278067604765333</v>
      </c>
      <c r="AR384" s="169">
        <f t="shared" si="237"/>
        <v>163.78636951902365</v>
      </c>
      <c r="AS384" s="168" t="str">
        <f t="shared" si="238"/>
        <v>-0.0673888549934084+0.0413116567133497i</v>
      </c>
      <c r="AT384" s="190">
        <f t="shared" si="239"/>
        <v>-22.042651823485372</v>
      </c>
      <c r="AU384" s="169">
        <f t="shared" si="240"/>
        <v>148.49028847681083</v>
      </c>
      <c r="AV384" s="225"/>
      <c r="AX384">
        <f t="shared" si="241"/>
        <v>0</v>
      </c>
      <c r="AY384">
        <f t="shared" si="242"/>
        <v>0</v>
      </c>
    </row>
    <row r="385" spans="14:51" x14ac:dyDescent="0.2">
      <c r="N385" s="170">
        <v>67</v>
      </c>
      <c r="O385" s="199">
        <f t="shared" si="243"/>
        <v>46773.514128719893</v>
      </c>
      <c r="P385" s="189" t="str">
        <f t="shared" si="209"/>
        <v>771.276595744681</v>
      </c>
      <c r="Q385" s="160" t="str">
        <f t="shared" si="210"/>
        <v>1+2597.95804557038i</v>
      </c>
      <c r="R385" s="160">
        <f t="shared" si="218"/>
        <v>2597.9582380292163</v>
      </c>
      <c r="S385" s="160">
        <f t="shared" si="219"/>
        <v>1.5704114091276087</v>
      </c>
      <c r="T385" s="160" t="str">
        <f t="shared" si="211"/>
        <v>1+0.0489027396813247i</v>
      </c>
      <c r="U385" s="160">
        <f t="shared" si="220"/>
        <v>1.0011950249318757</v>
      </c>
      <c r="V385" s="160">
        <f t="shared" si="221"/>
        <v>4.8863812248015684E-2</v>
      </c>
      <c r="W385" s="98" t="str">
        <f t="shared" si="212"/>
        <v>1-0.199842926582336i</v>
      </c>
      <c r="X385" s="160">
        <f t="shared" si="222"/>
        <v>1.0197731097185261</v>
      </c>
      <c r="Y385" s="160">
        <f t="shared" si="223"/>
        <v>-0.19724452315638119</v>
      </c>
      <c r="Z385" s="98" t="str">
        <f t="shared" si="213"/>
        <v>0.124895350420173-1.368286986151i</v>
      </c>
      <c r="AA385" s="160">
        <f t="shared" si="224"/>
        <v>1.3739753000060682</v>
      </c>
      <c r="AB385" s="160">
        <f t="shared" si="225"/>
        <v>-1.4797699498015957</v>
      </c>
      <c r="AC385" s="171" t="str">
        <f t="shared" si="226"/>
        <v>0.214336123418068-0.052229547008411i</v>
      </c>
      <c r="AD385" s="190">
        <f t="shared" si="227"/>
        <v>-13.127573984911976</v>
      </c>
      <c r="AE385" s="169">
        <f t="shared" si="228"/>
        <v>-13.69496156448737</v>
      </c>
      <c r="AF385" s="98" t="str">
        <f t="shared" si="214"/>
        <v>-0.0000119284294234592</v>
      </c>
      <c r="AG385" s="98" t="str">
        <f t="shared" si="215"/>
        <v>0.00529965808096951i</v>
      </c>
      <c r="AH385" s="98">
        <f t="shared" si="229"/>
        <v>5.2996580809695102E-3</v>
      </c>
      <c r="AI385" s="98">
        <f t="shared" si="230"/>
        <v>1.5707963267948966</v>
      </c>
      <c r="AJ385" s="98" t="str">
        <f t="shared" si="216"/>
        <v>1+0.290415362007662i</v>
      </c>
      <c r="AK385" s="98">
        <f t="shared" si="231"/>
        <v>1.0413169942385658</v>
      </c>
      <c r="AL385" s="98">
        <f t="shared" si="232"/>
        <v>0.28264051933538564</v>
      </c>
      <c r="AM385" s="98" t="str">
        <f t="shared" si="217"/>
        <v>1+158.698794638914i</v>
      </c>
      <c r="AN385" s="98">
        <f t="shared" si="233"/>
        <v>158.70194523018361</v>
      </c>
      <c r="AO385" s="98">
        <f t="shared" si="234"/>
        <v>1.5644951651045342</v>
      </c>
      <c r="AP385" s="168" t="str">
        <f t="shared" si="235"/>
        <v>-0.328811995389955+0.0977428469400823i</v>
      </c>
      <c r="AQ385" s="98">
        <f t="shared" si="236"/>
        <v>-9.2933058367962857</v>
      </c>
      <c r="AR385" s="169">
        <f t="shared" si="237"/>
        <v>163.44486115180939</v>
      </c>
      <c r="AS385" s="168" t="str">
        <f t="shared" si="238"/>
        <v>-0.0653712238062496+0.0381235244751319i</v>
      </c>
      <c r="AT385" s="190">
        <f t="shared" si="239"/>
        <v>-22.420879821708265</v>
      </c>
      <c r="AU385" s="169">
        <f t="shared" si="240"/>
        <v>149.74989958732201</v>
      </c>
      <c r="AV385" s="225"/>
      <c r="AX385">
        <f t="shared" si="241"/>
        <v>0</v>
      </c>
      <c r="AY385">
        <f t="shared" si="242"/>
        <v>0</v>
      </c>
    </row>
    <row r="386" spans="14:51" x14ac:dyDescent="0.2">
      <c r="N386" s="170">
        <v>68</v>
      </c>
      <c r="O386" s="199">
        <f t="shared" si="243"/>
        <v>47863.009232263823</v>
      </c>
      <c r="P386" s="189" t="str">
        <f t="shared" si="209"/>
        <v>771.276595744681</v>
      </c>
      <c r="Q386" s="160" t="str">
        <f t="shared" si="210"/>
        <v>1+2658.47226227157i</v>
      </c>
      <c r="R386" s="160">
        <f t="shared" si="218"/>
        <v>2658.4724503495086</v>
      </c>
      <c r="S386" s="160">
        <f t="shared" si="219"/>
        <v>1.5704201709225833</v>
      </c>
      <c r="T386" s="160" t="str">
        <f t="shared" si="211"/>
        <v>1+0.0500418308192294i</v>
      </c>
      <c r="U386" s="160">
        <f t="shared" si="220"/>
        <v>1.0012513095281026</v>
      </c>
      <c r="V386" s="160">
        <f t="shared" si="221"/>
        <v>5.0000122137835647E-2</v>
      </c>
      <c r="W386" s="98" t="str">
        <f t="shared" si="212"/>
        <v>1-0.204497866328581i</v>
      </c>
      <c r="X386" s="160">
        <f t="shared" si="222"/>
        <v>1.0206955360600645</v>
      </c>
      <c r="Y386" s="160">
        <f t="shared" si="223"/>
        <v>-0.20171666675529262</v>
      </c>
      <c r="Z386" s="98" t="str">
        <f t="shared" si="213"/>
        <v>0.08365293889289-1.40015848435726i</v>
      </c>
      <c r="AA386" s="160">
        <f t="shared" si="224"/>
        <v>1.4026551948012873</v>
      </c>
      <c r="AB386" s="160">
        <f t="shared" si="225"/>
        <v>-1.5111219261780957</v>
      </c>
      <c r="AC386" s="171" t="str">
        <f t="shared" si="226"/>
        <v>0.206692534266523-0.0442742777404279i</v>
      </c>
      <c r="AD386" s="190">
        <f t="shared" si="227"/>
        <v>-13.498672461779513</v>
      </c>
      <c r="AE386" s="169">
        <f t="shared" si="228"/>
        <v>-12.090256845281441</v>
      </c>
      <c r="AF386" s="98" t="str">
        <f t="shared" si="214"/>
        <v>-0.0000119284294234592</v>
      </c>
      <c r="AG386" s="98" t="str">
        <f t="shared" si="215"/>
        <v>0.00542310297574016i</v>
      </c>
      <c r="AH386" s="98">
        <f t="shared" si="229"/>
        <v>5.4231029757401596E-3</v>
      </c>
      <c r="AI386" s="98">
        <f t="shared" si="230"/>
        <v>1.5707963267948966</v>
      </c>
      <c r="AJ386" s="98" t="str">
        <f t="shared" si="216"/>
        <v>1+0.297180004793119i</v>
      </c>
      <c r="AK386" s="98">
        <f t="shared" si="231"/>
        <v>1.0432238279721366</v>
      </c>
      <c r="AL386" s="98">
        <f t="shared" si="232"/>
        <v>0.28886763913191604</v>
      </c>
      <c r="AM386" s="98" t="str">
        <f t="shared" si="217"/>
        <v>1+162.395364437403i</v>
      </c>
      <c r="AN386" s="98">
        <f t="shared" si="233"/>
        <v>162.39844331383514</v>
      </c>
      <c r="AO386" s="98">
        <f t="shared" si="234"/>
        <v>1.5646385933878781</v>
      </c>
      <c r="AP386" s="168" t="str">
        <f t="shared" si="235"/>
        <v>-0.327611070385651+0.0995590174468983i</v>
      </c>
      <c r="AQ386" s="98">
        <f t="shared" si="236"/>
        <v>-9.3092044372186713</v>
      </c>
      <c r="AR386" s="169">
        <f t="shared" si="237"/>
        <v>163.0962913042442</v>
      </c>
      <c r="AS386" s="168" t="str">
        <f t="shared" si="238"/>
        <v>-0.0633068588017704+0.0350828491462776i</v>
      </c>
      <c r="AT386" s="190">
        <f t="shared" si="239"/>
        <v>-22.807876898998177</v>
      </c>
      <c r="AU386" s="169">
        <f t="shared" si="240"/>
        <v>151.00603445896274</v>
      </c>
      <c r="AV386" s="225"/>
      <c r="AX386">
        <f t="shared" si="241"/>
        <v>0</v>
      </c>
      <c r="AY386">
        <f t="shared" si="242"/>
        <v>0</v>
      </c>
    </row>
    <row r="387" spans="14:51" x14ac:dyDescent="0.2">
      <c r="N387" s="170">
        <v>69</v>
      </c>
      <c r="O387" s="199">
        <f t="shared" si="243"/>
        <v>48977.881936844598</v>
      </c>
      <c r="P387" s="189" t="str">
        <f t="shared" si="209"/>
        <v>771.276595744681</v>
      </c>
      <c r="Q387" s="160" t="str">
        <f t="shared" si="210"/>
        <v>1+2720.39603615525i</v>
      </c>
      <c r="R387" s="160">
        <f t="shared" si="218"/>
        <v>2720.396219952012</v>
      </c>
      <c r="S387" s="160">
        <f t="shared" si="219"/>
        <v>1.5704287332748106</v>
      </c>
      <c r="T387" s="160" t="str">
        <f t="shared" si="211"/>
        <v>1+0.0512074547982164i</v>
      </c>
      <c r="U387" s="160">
        <f t="shared" si="220"/>
        <v>1.0013102433446446</v>
      </c>
      <c r="V387" s="160">
        <f t="shared" si="221"/>
        <v>5.116276629875767E-2</v>
      </c>
      <c r="W387" s="98" t="str">
        <f t="shared" si="212"/>
        <v>1-0.209261233550403i</v>
      </c>
      <c r="X387" s="160">
        <f t="shared" si="222"/>
        <v>1.0216605423853053</v>
      </c>
      <c r="Y387" s="160">
        <f t="shared" si="223"/>
        <v>-0.20628452626219618</v>
      </c>
      <c r="Z387" s="98" t="str">
        <f t="shared" si="213"/>
        <v>0.0404668323922061-1.43277236512523i</v>
      </c>
      <c r="AA387" s="160">
        <f t="shared" si="224"/>
        <v>1.4333437183001165</v>
      </c>
      <c r="AB387" s="160">
        <f t="shared" si="225"/>
        <v>-1.5425601056871521</v>
      </c>
      <c r="AC387" s="171" t="str">
        <f t="shared" si="226"/>
        <v>0.198971418496897-0.036821775718464i</v>
      </c>
      <c r="AD387" s="190">
        <f t="shared" si="227"/>
        <v>-13.877941548188293</v>
      </c>
      <c r="AE387" s="169">
        <f t="shared" si="228"/>
        <v>-10.484576898141086</v>
      </c>
      <c r="AF387" s="98" t="str">
        <f t="shared" si="214"/>
        <v>-0.0000119284294234592</v>
      </c>
      <c r="AG387" s="98" t="str">
        <f t="shared" si="215"/>
        <v>0.00554942327149181i</v>
      </c>
      <c r="AH387" s="98">
        <f t="shared" si="229"/>
        <v>5.5494232714918103E-3</v>
      </c>
      <c r="AI387" s="98">
        <f t="shared" si="230"/>
        <v>1.5707963267948966</v>
      </c>
      <c r="AJ387" s="98" t="str">
        <f t="shared" si="216"/>
        <v>1+0.304102216350759i</v>
      </c>
      <c r="AK387" s="98">
        <f t="shared" si="231"/>
        <v>1.0452167995155091</v>
      </c>
      <c r="AL387" s="98">
        <f t="shared" si="232"/>
        <v>0.29521603361828186</v>
      </c>
      <c r="AM387" s="98" t="str">
        <f t="shared" si="217"/>
        <v>1+166.178038407673i</v>
      </c>
      <c r="AN387" s="98">
        <f t="shared" si="233"/>
        <v>166.18104720160491</v>
      </c>
      <c r="AO387" s="98">
        <f t="shared" si="234"/>
        <v>1.5647787570897114</v>
      </c>
      <c r="AP387" s="168" t="str">
        <f t="shared" si="235"/>
        <v>-0.326362913903033+0.101397175379736i</v>
      </c>
      <c r="AQ387" s="98">
        <f t="shared" si="236"/>
        <v>-9.3257895152177497</v>
      </c>
      <c r="AR387" s="169">
        <f t="shared" si="237"/>
        <v>162.74058588204724</v>
      </c>
      <c r="AS387" s="168" t="str">
        <f t="shared" si="238"/>
        <v>-0.0612032678737488+0.0321924018354466i</v>
      </c>
      <c r="AT387" s="190">
        <f t="shared" si="239"/>
        <v>-23.203731063406035</v>
      </c>
      <c r="AU387" s="169">
        <f t="shared" si="240"/>
        <v>152.25600898390616</v>
      </c>
      <c r="AV387" s="225"/>
      <c r="AX387">
        <f t="shared" si="241"/>
        <v>0</v>
      </c>
      <c r="AY387">
        <f t="shared" si="242"/>
        <v>0</v>
      </c>
    </row>
    <row r="388" spans="14:51" x14ac:dyDescent="0.2">
      <c r="N388" s="170">
        <v>70</v>
      </c>
      <c r="O388" s="199">
        <f t="shared" si="243"/>
        <v>50118.723362727294</v>
      </c>
      <c r="P388" s="189" t="str">
        <f t="shared" si="209"/>
        <v>771.276595744681</v>
      </c>
      <c r="Q388" s="160" t="str">
        <f t="shared" si="210"/>
        <v>1+2783.76220002602i</v>
      </c>
      <c r="R388" s="160">
        <f t="shared" si="218"/>
        <v>2783.7623796390571</v>
      </c>
      <c r="S388" s="160">
        <f t="shared" si="219"/>
        <v>1.5704371007241582</v>
      </c>
      <c r="T388" s="160" t="str">
        <f t="shared" si="211"/>
        <v>1+0.0524002296475484i</v>
      </c>
      <c r="U388" s="160">
        <f t="shared" si="220"/>
        <v>1.0013719509089096</v>
      </c>
      <c r="V388" s="160">
        <f t="shared" si="221"/>
        <v>5.2352348600213067E-2</v>
      </c>
      <c r="W388" s="98" t="str">
        <f t="shared" si="212"/>
        <v>1-0.214135553848154i</v>
      </c>
      <c r="X388" s="160">
        <f t="shared" si="222"/>
        <v>1.022670052080267</v>
      </c>
      <c r="Y388" s="160">
        <f t="shared" si="223"/>
        <v>-0.21094976077868099</v>
      </c>
      <c r="Z388" s="98" t="str">
        <f t="shared" si="213"/>
        <v>-0.00475457260383005-1.46614592076617i</v>
      </c>
      <c r="AA388" s="160">
        <f t="shared" si="224"/>
        <v>1.4661536300606173</v>
      </c>
      <c r="AB388" s="160">
        <f t="shared" si="225"/>
        <v>-1.5740392208817267</v>
      </c>
      <c r="AC388" s="171" t="str">
        <f t="shared" si="226"/>
        <v>0.191201724419973-0.0298749854485601i</v>
      </c>
      <c r="AD388" s="190">
        <f t="shared" si="227"/>
        <v>-14.265410556314166</v>
      </c>
      <c r="AE388" s="169">
        <f t="shared" si="228"/>
        <v>-8.8805760771952311</v>
      </c>
      <c r="AF388" s="98" t="str">
        <f t="shared" si="214"/>
        <v>-0.0000119284294234592</v>
      </c>
      <c r="AG388" s="98" t="str">
        <f t="shared" si="215"/>
        <v>0.00567868594491732i</v>
      </c>
      <c r="AH388" s="98">
        <f t="shared" si="229"/>
        <v>5.6786859449173199E-3</v>
      </c>
      <c r="AI388" s="98">
        <f t="shared" si="230"/>
        <v>1.5707963267948966</v>
      </c>
      <c r="AJ388" s="98" t="str">
        <f t="shared" si="216"/>
        <v>1+0.311185666928778i</v>
      </c>
      <c r="AK388" s="98">
        <f t="shared" si="231"/>
        <v>1.0472996320546992</v>
      </c>
      <c r="AL388" s="98">
        <f t="shared" si="232"/>
        <v>0.30168702120444268</v>
      </c>
      <c r="AM388" s="98" t="str">
        <f t="shared" si="217"/>
        <v>1+170.048822173535i</v>
      </c>
      <c r="AN388" s="98">
        <f t="shared" si="233"/>
        <v>170.05176248015349</v>
      </c>
      <c r="AO388" s="98">
        <f t="shared" si="234"/>
        <v>1.5649157305046419</v>
      </c>
      <c r="AP388" s="168" t="str">
        <f t="shared" si="235"/>
        <v>-0.325066086643232+0.103256468530864i</v>
      </c>
      <c r="AQ388" s="98">
        <f t="shared" si="236"/>
        <v>-9.3430879838033594</v>
      </c>
      <c r="AR388" s="169">
        <f t="shared" si="237"/>
        <v>162.37767360265983</v>
      </c>
      <c r="AS388" s="168" t="str">
        <f t="shared" si="238"/>
        <v>-0.059068410821809+0.0294541594489048i</v>
      </c>
      <c r="AT388" s="190">
        <f t="shared" si="239"/>
        <v>-23.608498540117534</v>
      </c>
      <c r="AU388" s="169">
        <f t="shared" si="240"/>
        <v>153.4970975254646</v>
      </c>
      <c r="AV388" s="225"/>
      <c r="AX388">
        <f t="shared" si="241"/>
        <v>0</v>
      </c>
      <c r="AY388">
        <f t="shared" si="242"/>
        <v>0</v>
      </c>
    </row>
    <row r="389" spans="14:51" x14ac:dyDescent="0.2">
      <c r="N389" s="170">
        <v>71</v>
      </c>
      <c r="O389" s="199">
        <f t="shared" si="243"/>
        <v>51286.138399136544</v>
      </c>
      <c r="P389" s="189" t="str">
        <f t="shared" si="209"/>
        <v>771.276595744681</v>
      </c>
      <c r="Q389" s="160" t="str">
        <f t="shared" si="210"/>
        <v>1+2848.60435146269i</v>
      </c>
      <c r="R389" s="160">
        <f t="shared" si="218"/>
        <v>2848.6045269872352</v>
      </c>
      <c r="S389" s="160">
        <f t="shared" si="219"/>
        <v>1.5704452777071536</v>
      </c>
      <c r="T389" s="160" t="str">
        <f t="shared" si="211"/>
        <v>1+0.0536207877922387i</v>
      </c>
      <c r="U389" s="160">
        <f t="shared" si="220"/>
        <v>1.0014365625856989</v>
      </c>
      <c r="V389" s="160">
        <f t="shared" si="221"/>
        <v>5.3569486299761569E-2</v>
      </c>
      <c r="W389" s="98" t="str">
        <f t="shared" si="212"/>
        <v>1-0.219123411650975i</v>
      </c>
      <c r="X389" s="160">
        <f t="shared" si="222"/>
        <v>1.0237260715316194</v>
      </c>
      <c r="Y389" s="160">
        <f t="shared" si="223"/>
        <v>-0.21571403120691537</v>
      </c>
      <c r="Z389" s="98" t="str">
        <f t="shared" si="213"/>
        <v>-0.0521071967581599-1.50029684638104i</v>
      </c>
      <c r="AA389" s="160">
        <f t="shared" si="224"/>
        <v>1.5012014479126004</v>
      </c>
      <c r="AB389" s="160">
        <f t="shared" si="225"/>
        <v>-1.6055136298544364</v>
      </c>
      <c r="AC389" s="171" t="str">
        <f t="shared" si="226"/>
        <v>0.183413025772431-0.0234337036402242i</v>
      </c>
      <c r="AD389" s="190">
        <f t="shared" si="227"/>
        <v>-14.661075490878886</v>
      </c>
      <c r="AE389" s="169">
        <f t="shared" si="228"/>
        <v>-7.2809295217315553</v>
      </c>
      <c r="AF389" s="98" t="str">
        <f t="shared" si="214"/>
        <v>-0.0000119284294234592</v>
      </c>
      <c r="AG389" s="98" t="str">
        <f t="shared" si="215"/>
        <v>0.0058109595327971i</v>
      </c>
      <c r="AH389" s="98">
        <f t="shared" si="229"/>
        <v>5.8109595327970999E-3</v>
      </c>
      <c r="AI389" s="98">
        <f t="shared" si="230"/>
        <v>1.5707963267948966</v>
      </c>
      <c r="AJ389" s="98" t="str">
        <f t="shared" si="216"/>
        <v>1+0.318434112266432i</v>
      </c>
      <c r="AK389" s="98">
        <f t="shared" si="231"/>
        <v>1.0494761949920115</v>
      </c>
      <c r="AL389" s="98">
        <f t="shared" si="232"/>
        <v>0.30828186438995792</v>
      </c>
      <c r="AM389" s="98" t="str">
        <f t="shared" si="217"/>
        <v>1+174.009768075775i</v>
      </c>
      <c r="AN389" s="98">
        <f t="shared" si="233"/>
        <v>174.01264145396166</v>
      </c>
      <c r="AO389" s="98">
        <f t="shared" si="234"/>
        <v>1.5650495862372173</v>
      </c>
      <c r="AP389" s="168" t="str">
        <f t="shared" si="235"/>
        <v>-0.323719142116931+0.105135964587794i</v>
      </c>
      <c r="AQ389" s="98">
        <f t="shared" si="236"/>
        <v>-9.3611275648168846</v>
      </c>
      <c r="AR389" s="169">
        <f t="shared" si="237"/>
        <v>162.00748629011935</v>
      </c>
      <c r="AS389" s="168" t="str">
        <f t="shared" si="238"/>
        <v>-0.0569105823200424+0.0268692438215862i</v>
      </c>
      <c r="AT389" s="190">
        <f t="shared" si="239"/>
        <v>-24.02220305569578</v>
      </c>
      <c r="AU389" s="169">
        <f t="shared" si="240"/>
        <v>154.72655676838778</v>
      </c>
      <c r="AV389" s="225"/>
      <c r="AX389">
        <f t="shared" si="241"/>
        <v>0</v>
      </c>
      <c r="AY389">
        <f t="shared" si="242"/>
        <v>0</v>
      </c>
    </row>
    <row r="390" spans="14:51" x14ac:dyDescent="0.2">
      <c r="N390" s="170">
        <v>72</v>
      </c>
      <c r="O390" s="199">
        <f t="shared" si="243"/>
        <v>52480.746024977314</v>
      </c>
      <c r="P390" s="189" t="str">
        <f t="shared" si="209"/>
        <v>771.276595744681</v>
      </c>
      <c r="Q390" s="160" t="str">
        <f t="shared" si="210"/>
        <v>1+2914.95687063222i</v>
      </c>
      <c r="R390" s="160">
        <f t="shared" si="218"/>
        <v>2914.9570421613394</v>
      </c>
      <c r="S390" s="160">
        <f t="shared" si="219"/>
        <v>1.5704532685593373</v>
      </c>
      <c r="T390" s="160" t="str">
        <f t="shared" si="211"/>
        <v>1+0.0548697763883711i</v>
      </c>
      <c r="U390" s="160">
        <f t="shared" si="220"/>
        <v>1.0015042148492985</v>
      </c>
      <c r="V390" s="160">
        <f t="shared" si="221"/>
        <v>5.4814810306963821E-2</v>
      </c>
      <c r="W390" s="98" t="str">
        <f t="shared" si="212"/>
        <v>1-0.224227451587093i</v>
      </c>
      <c r="X390" s="160">
        <f t="shared" si="222"/>
        <v>1.0248306933563427</v>
      </c>
      <c r="Y390" s="160">
        <f t="shared" si="223"/>
        <v>-0.22057899810171275</v>
      </c>
      <c r="Z390" s="98" t="str">
        <f t="shared" si="213"/>
        <v>-0.10169148133527-1.53524324924263i</v>
      </c>
      <c r="AA390" s="160">
        <f t="shared" si="224"/>
        <v>1.5386074846175777</v>
      </c>
      <c r="AB390" s="160">
        <f t="shared" si="225"/>
        <v>-1.6369377338295543</v>
      </c>
      <c r="AC390" s="171" t="str">
        <f t="shared" si="226"/>
        <v>0.175635066514061-0.0174945164931976i</v>
      </c>
      <c r="AD390" s="190">
        <f t="shared" si="227"/>
        <v>-15.064898828424539</v>
      </c>
      <c r="AE390" s="169">
        <f t="shared" si="228"/>
        <v>-5.6883090918856105</v>
      </c>
      <c r="AF390" s="98" t="str">
        <f t="shared" si="214"/>
        <v>-0.0000119284294234592</v>
      </c>
      <c r="AG390" s="98" t="str">
        <f t="shared" si="215"/>
        <v>0.00594631416833832i</v>
      </c>
      <c r="AH390" s="98">
        <f t="shared" si="229"/>
        <v>5.9463141683383201E-3</v>
      </c>
      <c r="AI390" s="98">
        <f t="shared" si="230"/>
        <v>1.5707963267948966</v>
      </c>
      <c r="AJ390" s="98" t="str">
        <f t="shared" si="216"/>
        <v>1+0.325851395585382i</v>
      </c>
      <c r="AK390" s="98">
        <f t="shared" si="231"/>
        <v>1.0517505084405432</v>
      </c>
      <c r="AL390" s="98">
        <f t="shared" si="232"/>
        <v>0.31500176444798855</v>
      </c>
      <c r="AM390" s="98" t="str">
        <f t="shared" si="217"/>
        <v>1+178.062976260339i</v>
      </c>
      <c r="AN390" s="98">
        <f t="shared" si="233"/>
        <v>178.06578423349629</v>
      </c>
      <c r="AO390" s="98">
        <f t="shared" si="234"/>
        <v>1.5651803952403207</v>
      </c>
      <c r="AP390" s="168" t="str">
        <f t="shared" si="235"/>
        <v>-0.322320630267741+0.107034647917718i</v>
      </c>
      <c r="AQ390" s="98">
        <f t="shared" si="236"/>
        <v>-9.3799367919954459</v>
      </c>
      <c r="AR390" s="169">
        <f t="shared" si="237"/>
        <v>161.62995918184467</v>
      </c>
      <c r="AS390" s="168" t="str">
        <f t="shared" si="238"/>
        <v>-0.0547382859225886+0.0244378810886543i</v>
      </c>
      <c r="AT390" s="190">
        <f t="shared" si="239"/>
        <v>-24.444835620419994</v>
      </c>
      <c r="AU390" s="169">
        <f t="shared" si="240"/>
        <v>155.94165008995907</v>
      </c>
      <c r="AV390" s="225"/>
      <c r="AX390">
        <f t="shared" si="241"/>
        <v>0</v>
      </c>
      <c r="AY390">
        <f t="shared" si="242"/>
        <v>0</v>
      </c>
    </row>
    <row r="391" spans="14:51" x14ac:dyDescent="0.2">
      <c r="N391" s="170">
        <v>73</v>
      </c>
      <c r="O391" s="199">
        <f t="shared" si="243"/>
        <v>53703.179637025423</v>
      </c>
      <c r="P391" s="189" t="str">
        <f t="shared" si="209"/>
        <v>771.276595744681</v>
      </c>
      <c r="Q391" s="160" t="str">
        <f t="shared" si="210"/>
        <v>1+2982.8549385186i</v>
      </c>
      <c r="R391" s="160">
        <f t="shared" si="218"/>
        <v>2982.8551061432404</v>
      </c>
      <c r="S391" s="160">
        <f t="shared" si="219"/>
        <v>1.5704610775175607</v>
      </c>
      <c r="T391" s="160" t="str">
        <f t="shared" si="211"/>
        <v>1+0.0561478576662323i</v>
      </c>
      <c r="U391" s="160">
        <f t="shared" si="220"/>
        <v>1.0015750505681076</v>
      </c>
      <c r="V391" s="160">
        <f t="shared" si="221"/>
        <v>5.6088965450031232E-2</v>
      </c>
      <c r="W391" s="98" t="str">
        <f t="shared" si="212"/>
        <v>1-0.229450379886045i</v>
      </c>
      <c r="X391" s="160">
        <f t="shared" si="222"/>
        <v>1.0259860997254546</v>
      </c>
      <c r="Y391" s="160">
        <f t="shared" si="223"/>
        <v>-0.22554631936430131</v>
      </c>
      <c r="Z391" s="98" t="str">
        <f t="shared" si="213"/>
        <v>-0.15361260125065-1.57100365839632i</v>
      </c>
      <c r="AA391" s="160">
        <f t="shared" si="224"/>
        <v>1.5784959062213662</v>
      </c>
      <c r="AB391" s="160">
        <f t="shared" si="225"/>
        <v>-1.668266393747154</v>
      </c>
      <c r="AC391" s="171" t="str">
        <f t="shared" si="226"/>
        <v>0.16789730205681-0.0120508138939483i</v>
      </c>
      <c r="AD391" s="190">
        <f t="shared" si="227"/>
        <v>-15.476809803267003</v>
      </c>
      <c r="AE391" s="169">
        <f t="shared" si="228"/>
        <v>-4.1053593528442898</v>
      </c>
      <c r="AF391" s="98" t="str">
        <f t="shared" si="214"/>
        <v>-0.0000119284294234592</v>
      </c>
      <c r="AG391" s="98" t="str">
        <f t="shared" si="215"/>
        <v>0.00608482161836037i</v>
      </c>
      <c r="AH391" s="98">
        <f t="shared" si="229"/>
        <v>6.0848216183603697E-3</v>
      </c>
      <c r="AI391" s="98">
        <f t="shared" si="230"/>
        <v>1.5707963267948966</v>
      </c>
      <c r="AJ391" s="98" t="str">
        <f t="shared" si="216"/>
        <v>1+0.333441449627426i</v>
      </c>
      <c r="AK391" s="98">
        <f t="shared" si="231"/>
        <v>1.0541267477536274</v>
      </c>
      <c r="AL391" s="98">
        <f t="shared" si="232"/>
        <v>0.32184785590505494</v>
      </c>
      <c r="AM391" s="98" t="str">
        <f t="shared" si="217"/>
        <v>1+182.21059579186i</v>
      </c>
      <c r="AN391" s="98">
        <f t="shared" si="233"/>
        <v>182.21333984871853</v>
      </c>
      <c r="AO391" s="98">
        <f t="shared" si="234"/>
        <v>1.5653082268527003</v>
      </c>
      <c r="AP391" s="168" t="str">
        <f t="shared" si="235"/>
        <v>-0.320869101432675+0.108951416434991i</v>
      </c>
      <c r="AQ391" s="98">
        <f t="shared" si="236"/>
        <v>-9.3995450119084474</v>
      </c>
      <c r="AR391" s="169">
        <f t="shared" si="237"/>
        <v>161.24503124707181</v>
      </c>
      <c r="AS391" s="168" t="str">
        <f t="shared" si="238"/>
        <v>-0.0525601032009989+0.0221593827003866i</v>
      </c>
      <c r="AT391" s="190">
        <f t="shared" si="239"/>
        <v>-24.876354815175446</v>
      </c>
      <c r="AU391" s="169">
        <f t="shared" si="240"/>
        <v>157.13967189422746</v>
      </c>
      <c r="AV391" s="225"/>
      <c r="AX391">
        <f t="shared" si="241"/>
        <v>0</v>
      </c>
      <c r="AY391">
        <f t="shared" si="242"/>
        <v>0</v>
      </c>
    </row>
    <row r="392" spans="14:51" x14ac:dyDescent="0.2">
      <c r="N392" s="170">
        <v>74</v>
      </c>
      <c r="O392" s="199">
        <f t="shared" si="243"/>
        <v>54954.087385762505</v>
      </c>
      <c r="P392" s="189" t="str">
        <f t="shared" si="209"/>
        <v>771.276595744681</v>
      </c>
      <c r="Q392" s="160" t="str">
        <f t="shared" si="210"/>
        <v>1+3052.33455557611i</v>
      </c>
      <c r="R392" s="160">
        <f t="shared" si="218"/>
        <v>3052.3347193851478</v>
      </c>
      <c r="S392" s="160">
        <f t="shared" si="219"/>
        <v>1.5704687087222331</v>
      </c>
      <c r="T392" s="160" t="str">
        <f t="shared" si="211"/>
        <v>1+0.0574557092814326i</v>
      </c>
      <c r="U392" s="160">
        <f t="shared" si="220"/>
        <v>1.0016492193023627</v>
      </c>
      <c r="V392" s="160">
        <f t="shared" si="221"/>
        <v>5.7392610745078058E-2</v>
      </c>
      <c r="W392" s="98" t="str">
        <f t="shared" si="212"/>
        <v>1-0.234794965813546i</v>
      </c>
      <c r="X392" s="160">
        <f t="shared" si="222"/>
        <v>1.0271945657816655</v>
      </c>
      <c r="Y392" s="160">
        <f t="shared" si="223"/>
        <v>-0.23061764777128982</v>
      </c>
      <c r="Z392" s="98" t="str">
        <f t="shared" si="213"/>
        <v>-0.20798068816081-1.60759703448438i</v>
      </c>
      <c r="AA392" s="160">
        <f t="shared" si="224"/>
        <v>1.620994815516329</v>
      </c>
      <c r="AB392" s="160">
        <f t="shared" si="225"/>
        <v>-1.6994553361481703</v>
      </c>
      <c r="AC392" s="171" t="str">
        <f t="shared" si="226"/>
        <v>0.160228451905671-0.00709287949774545i</v>
      </c>
      <c r="AD392" s="190">
        <f t="shared" si="227"/>
        <v>-15.896705190211689</v>
      </c>
      <c r="AE392" s="169">
        <f t="shared" si="228"/>
        <v>-2.5346741624667342</v>
      </c>
      <c r="AF392" s="98" t="str">
        <f t="shared" si="214"/>
        <v>-0.0000119284294234592</v>
      </c>
      <c r="AG392" s="98" t="str">
        <f t="shared" si="215"/>
        <v>0.0062265553213466i</v>
      </c>
      <c r="AH392" s="98">
        <f t="shared" si="229"/>
        <v>6.2265553213466003E-3</v>
      </c>
      <c r="AI392" s="98">
        <f t="shared" si="230"/>
        <v>1.5707963267948966</v>
      </c>
      <c r="AJ392" s="98" t="str">
        <f t="shared" si="216"/>
        <v>1+0.34120829873968i</v>
      </c>
      <c r="AK392" s="98">
        <f t="shared" si="231"/>
        <v>1.0566092480803047</v>
      </c>
      <c r="AL392" s="98">
        <f t="shared" si="232"/>
        <v>0.32882120082275595</v>
      </c>
      <c r="AM392" s="98" t="str">
        <f t="shared" si="217"/>
        <v>1+186.454825793111i</v>
      </c>
      <c r="AN392" s="98">
        <f t="shared" si="233"/>
        <v>186.45750738851834</v>
      </c>
      <c r="AO392" s="98">
        <f t="shared" si="234"/>
        <v>1.5654331488356488</v>
      </c>
      <c r="AP392" s="168" t="str">
        <f t="shared" si="235"/>
        <v>-0.319363110650096+0.110885078579196i</v>
      </c>
      <c r="AQ392" s="98">
        <f t="shared" si="236"/>
        <v>-9.4199823825743163</v>
      </c>
      <c r="AR392" s="169">
        <f t="shared" si="237"/>
        <v>160.85264551658994</v>
      </c>
      <c r="AS392" s="168" t="str">
        <f t="shared" si="238"/>
        <v>-0.0503845623147841+0.0200321485400495i</v>
      </c>
      <c r="AT392" s="190">
        <f t="shared" si="239"/>
        <v>-25.316687572786009</v>
      </c>
      <c r="AU392" s="169">
        <f t="shared" si="240"/>
        <v>158.31797135412322</v>
      </c>
      <c r="AV392" s="225"/>
      <c r="AX392">
        <f t="shared" si="241"/>
        <v>0</v>
      </c>
      <c r="AY392">
        <f t="shared" si="242"/>
        <v>0</v>
      </c>
    </row>
    <row r="393" spans="14:51" x14ac:dyDescent="0.2">
      <c r="N393" s="170">
        <v>75</v>
      </c>
      <c r="O393" s="199">
        <f t="shared" si="243"/>
        <v>56234.132519034953</v>
      </c>
      <c r="P393" s="189" t="str">
        <f t="shared" si="209"/>
        <v>771.276595744681</v>
      </c>
      <c r="Q393" s="160" t="str">
        <f t="shared" si="210"/>
        <v>1+3123.43256081743i</v>
      </c>
      <c r="R393" s="160">
        <f t="shared" si="218"/>
        <v>3123.4327208977193</v>
      </c>
      <c r="S393" s="160">
        <f t="shared" si="219"/>
        <v>1.5704761662195166</v>
      </c>
      <c r="T393" s="160" t="str">
        <f t="shared" si="211"/>
        <v>1+0.0587940246742102i</v>
      </c>
      <c r="U393" s="160">
        <f t="shared" si="220"/>
        <v>1.0017268776155464</v>
      </c>
      <c r="V393" s="160">
        <f t="shared" si="221"/>
        <v>5.8726419667795828E-2</v>
      </c>
      <c r="W393" s="98" t="str">
        <f t="shared" si="212"/>
        <v>1-0.240264043139801i</v>
      </c>
      <c r="X393" s="160">
        <f t="shared" si="222"/>
        <v>1.028458463150498</v>
      </c>
      <c r="Y393" s="160">
        <f t="shared" si="223"/>
        <v>-0.23579462833249171</v>
      </c>
      <c r="Z393" s="98" t="str">
        <f t="shared" si="213"/>
        <v>-0.26491106406736-1.64504277979919i</v>
      </c>
      <c r="AA393" s="160">
        <f t="shared" si="224"/>
        <v>1.6662363635555273</v>
      </c>
      <c r="AB393" s="160">
        <f t="shared" si="225"/>
        <v>-1.7304615391329681</v>
      </c>
      <c r="AC393" s="171" t="str">
        <f t="shared" si="226"/>
        <v>0.152656077994162-0.00260805240853953i</v>
      </c>
      <c r="AD393" s="190">
        <f t="shared" si="227"/>
        <v>-16.324450558120681</v>
      </c>
      <c r="AE393" s="169">
        <f t="shared" si="228"/>
        <v>-0.97877439066146643</v>
      </c>
      <c r="AF393" s="98" t="str">
        <f t="shared" si="214"/>
        <v>-0.0000119284294234592</v>
      </c>
      <c r="AG393" s="98" t="str">
        <f t="shared" si="215"/>
        <v>0.00637159042638241i</v>
      </c>
      <c r="AH393" s="98">
        <f t="shared" si="229"/>
        <v>6.3715904263824102E-3</v>
      </c>
      <c r="AI393" s="98">
        <f t="shared" si="230"/>
        <v>1.5707963267948966</v>
      </c>
      <c r="AJ393" s="98" t="str">
        <f t="shared" si="216"/>
        <v>1+0.349156061008353i</v>
      </c>
      <c r="AK393" s="98">
        <f t="shared" si="231"/>
        <v>1.0592025089372044</v>
      </c>
      <c r="AL393" s="98">
        <f t="shared" si="232"/>
        <v>0.33592278288955923</v>
      </c>
      <c r="AM393" s="98" t="str">
        <f t="shared" si="217"/>
        <v>1+190.797916611019i</v>
      </c>
      <c r="AN393" s="98">
        <f t="shared" si="233"/>
        <v>190.80053716671068</v>
      </c>
      <c r="AO393" s="98">
        <f t="shared" si="234"/>
        <v>1.56555522740885</v>
      </c>
      <c r="AP393" s="168" t="str">
        <f t="shared" si="235"/>
        <v>-0.317801222323838+0.11283435043374i</v>
      </c>
      <c r="AQ393" s="98">
        <f t="shared" si="236"/>
        <v>-9.4412798695595743</v>
      </c>
      <c r="AR393" s="169">
        <f t="shared" si="237"/>
        <v>160.45274942330968</v>
      </c>
      <c r="AS393" s="168" t="str">
        <f t="shared" si="238"/>
        <v>-0.0482200102822931+0.0180536916435521i</v>
      </c>
      <c r="AT393" s="190">
        <f t="shared" si="239"/>
        <v>-25.765730427680261</v>
      </c>
      <c r="AU393" s="169">
        <f t="shared" si="240"/>
        <v>159.47397503264821</v>
      </c>
      <c r="AV393" s="225"/>
      <c r="AX393">
        <f t="shared" si="241"/>
        <v>0</v>
      </c>
      <c r="AY393">
        <f t="shared" si="242"/>
        <v>0</v>
      </c>
    </row>
    <row r="394" spans="14:51" x14ac:dyDescent="0.2">
      <c r="N394" s="170">
        <v>76</v>
      </c>
      <c r="O394" s="199">
        <f t="shared" si="243"/>
        <v>57543.993733715732</v>
      </c>
      <c r="P394" s="189" t="str">
        <f t="shared" si="209"/>
        <v>771.276595744681</v>
      </c>
      <c r="Q394" s="160" t="str">
        <f t="shared" si="210"/>
        <v>1+3196.186651346i</v>
      </c>
      <c r="R394" s="160">
        <f t="shared" si="218"/>
        <v>3196.186807782417</v>
      </c>
      <c r="S394" s="160">
        <f t="shared" si="219"/>
        <v>1.5704834539634713</v>
      </c>
      <c r="T394" s="160" t="str">
        <f t="shared" si="211"/>
        <v>1+0.0601635134371011i</v>
      </c>
      <c r="U394" s="160">
        <f t="shared" si="220"/>
        <v>1.0018081894000948</v>
      </c>
      <c r="V394" s="160">
        <f t="shared" si="221"/>
        <v>6.0091080427331529E-2</v>
      </c>
      <c r="W394" s="98" t="str">
        <f t="shared" si="212"/>
        <v>1-0.245860511641999i</v>
      </c>
      <c r="X394" s="160">
        <f t="shared" si="222"/>
        <v>1.0297802635440561</v>
      </c>
      <c r="Y394" s="160">
        <f t="shared" si="223"/>
        <v>-0.24107889547135683</v>
      </c>
      <c r="Z394" s="98" t="str">
        <f t="shared" si="213"/>
        <v>-0.32452448593037-1.68336074857056i</v>
      </c>
      <c r="AA394" s="160">
        <f t="shared" si="224"/>
        <v>1.7143568916058312</v>
      </c>
      <c r="AB394" s="160">
        <f t="shared" si="225"/>
        <v>-1.7612435900166601</v>
      </c>
      <c r="AC394" s="171" t="str">
        <f t="shared" si="226"/>
        <v>0.14520620152841+0.00141904678630975i</v>
      </c>
      <c r="AD394" s="190">
        <f t="shared" si="227"/>
        <v>-16.759881953850247</v>
      </c>
      <c r="AE394" s="169">
        <f t="shared" si="228"/>
        <v>0.5599127498720623</v>
      </c>
      <c r="AF394" s="98" t="str">
        <f t="shared" si="214"/>
        <v>-0.0000119284294234592</v>
      </c>
      <c r="AG394" s="98" t="str">
        <f t="shared" si="215"/>
        <v>0.00652000383300026i</v>
      </c>
      <c r="AH394" s="98">
        <f t="shared" si="229"/>
        <v>6.5200038330002598E-3</v>
      </c>
      <c r="AI394" s="98">
        <f t="shared" si="230"/>
        <v>1.5707963267948966</v>
      </c>
      <c r="AJ394" s="98" t="str">
        <f t="shared" si="216"/>
        <v>1+0.357288950442199i</v>
      </c>
      <c r="AK394" s="98">
        <f t="shared" si="231"/>
        <v>1.061911198786456</v>
      </c>
      <c r="AL394" s="98">
        <f t="shared" si="232"/>
        <v>0.34315350133270389</v>
      </c>
      <c r="AM394" s="98" t="str">
        <f t="shared" si="217"/>
        <v>1+195.242171009823i</v>
      </c>
      <c r="AN394" s="98">
        <f t="shared" si="233"/>
        <v>195.24473191517609</v>
      </c>
      <c r="AO394" s="98">
        <f t="shared" si="234"/>
        <v>1.5656745272854165</v>
      </c>
      <c r="AP394" s="168" t="str">
        <f t="shared" si="235"/>
        <v>-0.3161820152502+0.114797853017158i</v>
      </c>
      <c r="AQ394" s="98">
        <f t="shared" si="236"/>
        <v>-9.4634692393590871</v>
      </c>
      <c r="AR394" s="169">
        <f t="shared" si="237"/>
        <v>160.04529515309372</v>
      </c>
      <c r="AS394" s="168" t="str">
        <f t="shared" si="238"/>
        <v>-0.0460744929504786+0.0162206831076085i</v>
      </c>
      <c r="AT394" s="190">
        <f t="shared" si="239"/>
        <v>-26.223351193209336</v>
      </c>
      <c r="AU394" s="169">
        <f t="shared" si="240"/>
        <v>160.60520790296576</v>
      </c>
      <c r="AV394" s="225"/>
      <c r="AX394">
        <f t="shared" si="241"/>
        <v>0</v>
      </c>
      <c r="AY394">
        <f t="shared" si="242"/>
        <v>0</v>
      </c>
    </row>
    <row r="395" spans="14:51" x14ac:dyDescent="0.2">
      <c r="N395" s="170">
        <v>77</v>
      </c>
      <c r="O395" s="199">
        <f t="shared" si="243"/>
        <v>58884.365535558936</v>
      </c>
      <c r="P395" s="189" t="str">
        <f t="shared" si="209"/>
        <v>771.276595744681</v>
      </c>
      <c r="Q395" s="160" t="str">
        <f t="shared" si="210"/>
        <v>1+3270.63540234366i</v>
      </c>
      <c r="R395" s="160">
        <f t="shared" si="218"/>
        <v>3270.6355552191499</v>
      </c>
      <c r="S395" s="160">
        <f t="shared" si="219"/>
        <v>1.5704905758181531</v>
      </c>
      <c r="T395" s="160" t="str">
        <f t="shared" si="211"/>
        <v>1+0.0615649016911745i</v>
      </c>
      <c r="U395" s="160">
        <f t="shared" si="220"/>
        <v>1.0018933262180381</v>
      </c>
      <c r="V395" s="160">
        <f t="shared" si="221"/>
        <v>6.1487296242141387E-2</v>
      </c>
      <c r="W395" s="98" t="str">
        <f t="shared" si="212"/>
        <v>1-0.251587338641818i</v>
      </c>
      <c r="X395" s="160">
        <f t="shared" si="222"/>
        <v>1.0311625424562672</v>
      </c>
      <c r="Y395" s="160">
        <f t="shared" si="223"/>
        <v>-0.24647207002205299</v>
      </c>
      <c r="Z395" s="98" t="str">
        <f t="shared" si="213"/>
        <v>-0.38694740181013-1.72257125749274i</v>
      </c>
      <c r="AA395" s="160">
        <f t="shared" si="224"/>
        <v>1.7654971053240871</v>
      </c>
      <c r="AB395" s="160">
        <f t="shared" si="225"/>
        <v>-1.7917620074855483</v>
      </c>
      <c r="AC395" s="171" t="str">
        <f t="shared" si="226"/>
        <v>0.137902969038084+0.00500623532468694i</v>
      </c>
      <c r="AD395" s="190">
        <f t="shared" si="227"/>
        <v>-17.202807963706626</v>
      </c>
      <c r="AE395" s="169">
        <f t="shared" si="228"/>
        <v>2.079072349587892</v>
      </c>
      <c r="AF395" s="98" t="str">
        <f t="shared" si="214"/>
        <v>-0.0000119284294234592</v>
      </c>
      <c r="AG395" s="98" t="str">
        <f t="shared" si="215"/>
        <v>0.00667187423195282i</v>
      </c>
      <c r="AH395" s="98">
        <f t="shared" si="229"/>
        <v>6.6718742319528202E-3</v>
      </c>
      <c r="AI395" s="98">
        <f t="shared" si="230"/>
        <v>1.5707963267948966</v>
      </c>
      <c r="AJ395" s="98" t="str">
        <f t="shared" si="216"/>
        <v>1+0.365611279206848i</v>
      </c>
      <c r="AK395" s="98">
        <f t="shared" si="231"/>
        <v>1.0647401596085628</v>
      </c>
      <c r="AL395" s="98">
        <f t="shared" si="232"/>
        <v>0.3505141646624923</v>
      </c>
      <c r="AM395" s="98" t="str">
        <f t="shared" si="217"/>
        <v>1+199.789945392033i</v>
      </c>
      <c r="AN395" s="98">
        <f t="shared" si="233"/>
        <v>199.79244800480203</v>
      </c>
      <c r="AO395" s="98">
        <f t="shared" si="234"/>
        <v>1.5657911117061303</v>
      </c>
      <c r="AP395" s="168" t="str">
        <f t="shared" si="235"/>
        <v>-0.314504088012204+0.116774109781663i</v>
      </c>
      <c r="AQ395" s="98">
        <f t="shared" si="236"/>
        <v>-9.4865830498522854</v>
      </c>
      <c r="AR395" s="169">
        <f t="shared" si="237"/>
        <v>159.63024000514409</v>
      </c>
      <c r="AS395" s="168" t="str">
        <f t="shared" si="238"/>
        <v>-0.0439556461848956+0.0145290149705053i</v>
      </c>
      <c r="AT395" s="190">
        <f t="shared" si="239"/>
        <v>-26.689391013558922</v>
      </c>
      <c r="AU395" s="169">
        <f t="shared" si="240"/>
        <v>161.70931235473202</v>
      </c>
      <c r="AV395" s="225"/>
      <c r="AX395">
        <f t="shared" si="241"/>
        <v>0</v>
      </c>
      <c r="AY395">
        <f t="shared" si="242"/>
        <v>0</v>
      </c>
    </row>
    <row r="396" spans="14:51" x14ac:dyDescent="0.2">
      <c r="N396" s="170">
        <v>78</v>
      </c>
      <c r="O396" s="199">
        <f t="shared" si="243"/>
        <v>60255.95860743591</v>
      </c>
      <c r="P396" s="189" t="str">
        <f t="shared" si="209"/>
        <v>771.276595744681</v>
      </c>
      <c r="Q396" s="160" t="str">
        <f t="shared" si="210"/>
        <v>1+3346.81828752362i</v>
      </c>
      <c r="R396" s="160">
        <f t="shared" si="218"/>
        <v>3346.8184369192386</v>
      </c>
      <c r="S396" s="160">
        <f t="shared" si="219"/>
        <v>1.5704975355596602</v>
      </c>
      <c r="T396" s="160" t="str">
        <f t="shared" si="211"/>
        <v>1+0.0629989324710326i</v>
      </c>
      <c r="U396" s="160">
        <f t="shared" si="220"/>
        <v>1.0019824676572389</v>
      </c>
      <c r="V396" s="160">
        <f t="shared" si="221"/>
        <v>6.2915785617562128E-2</v>
      </c>
      <c r="W396" s="98" t="str">
        <f t="shared" si="212"/>
        <v>1-0.257447560578738i</v>
      </c>
      <c r="X396" s="160">
        <f t="shared" si="222"/>
        <v>1.0326079829480028</v>
      </c>
      <c r="Y396" s="160">
        <f t="shared" si="223"/>
        <v>-0.25197575603748612</v>
      </c>
      <c r="Z396" s="98" t="str">
        <f t="shared" si="213"/>
        <v>-0.45231221908042-1.76269509649657i</v>
      </c>
      <c r="AA396" s="160">
        <f t="shared" si="224"/>
        <v>1.8198022823214908</v>
      </c>
      <c r="AB396" s="160">
        <f t="shared" si="225"/>
        <v>-1.8219795224915114</v>
      </c>
      <c r="AC396" s="171" t="str">
        <f t="shared" si="226"/>
        <v>0.130768375742676+0.00817344443281996i</v>
      </c>
      <c r="AD396" s="190">
        <f t="shared" si="227"/>
        <v>-17.653012089956409</v>
      </c>
      <c r="AE396" s="169">
        <f t="shared" si="228"/>
        <v>3.5765180948293791</v>
      </c>
      <c r="AF396" s="98" t="str">
        <f t="shared" si="214"/>
        <v>-0.0000119284294234592</v>
      </c>
      <c r="AG396" s="98" t="str">
        <f t="shared" si="215"/>
        <v>0.00682728214693587i</v>
      </c>
      <c r="AH396" s="98">
        <f t="shared" si="229"/>
        <v>6.8272821469358702E-3</v>
      </c>
      <c r="AI396" s="98">
        <f t="shared" si="230"/>
        <v>1.5707963267948966</v>
      </c>
      <c r="AJ396" s="98" t="str">
        <f t="shared" si="216"/>
        <v>1+0.374127459911171i</v>
      </c>
      <c r="AK396" s="98">
        <f t="shared" si="231"/>
        <v>1.0676944114584401</v>
      </c>
      <c r="AL396" s="98">
        <f t="shared" si="232"/>
        <v>0.35800548426348366</v>
      </c>
      <c r="AM396" s="98" t="str">
        <f t="shared" si="217"/>
        <v>1+204.443651047822i</v>
      </c>
      <c r="AN396" s="98">
        <f t="shared" si="233"/>
        <v>204.44609669485894</v>
      </c>
      <c r="AO396" s="98">
        <f t="shared" si="234"/>
        <v>1.5659050424729104</v>
      </c>
      <c r="AP396" s="168" t="str">
        <f t="shared" si="235"/>
        <v>-0.312766064742828+0.118761544355607i</v>
      </c>
      <c r="AQ396" s="98">
        <f t="shared" si="236"/>
        <v>-9.5106546376290773</v>
      </c>
      <c r="AR396" s="169">
        <f t="shared" si="237"/>
        <v>159.20754676111679</v>
      </c>
      <c r="AS396" s="168" t="str">
        <f t="shared" si="238"/>
        <v>-0.0418706011573947+0.0129738782054272i</v>
      </c>
      <c r="AT396" s="190">
        <f t="shared" si="239"/>
        <v>-27.163666727585483</v>
      </c>
      <c r="AU396" s="169">
        <f t="shared" si="240"/>
        <v>162.78406485594621</v>
      </c>
      <c r="AV396" s="225"/>
      <c r="AX396">
        <f t="shared" si="241"/>
        <v>0</v>
      </c>
      <c r="AY396">
        <f t="shared" si="242"/>
        <v>0</v>
      </c>
    </row>
    <row r="397" spans="14:51" x14ac:dyDescent="0.2">
      <c r="N397" s="170">
        <v>79</v>
      </c>
      <c r="O397" s="199">
        <f t="shared" si="243"/>
        <v>61659.500186148245</v>
      </c>
      <c r="P397" s="189" t="str">
        <f t="shared" si="209"/>
        <v>771.276595744681</v>
      </c>
      <c r="Q397" s="160" t="str">
        <f t="shared" si="210"/>
        <v>1+3424.77570005998i</v>
      </c>
      <c r="R397" s="160">
        <f t="shared" si="218"/>
        <v>3424.7758460549389</v>
      </c>
      <c r="S397" s="160">
        <f t="shared" si="219"/>
        <v>1.5705043368781371</v>
      </c>
      <c r="T397" s="160" t="str">
        <f t="shared" si="211"/>
        <v>1+0.064466366118776i</v>
      </c>
      <c r="U397" s="160">
        <f t="shared" si="220"/>
        <v>1.0020758017039231</v>
      </c>
      <c r="V397" s="160">
        <f t="shared" si="221"/>
        <v>6.437728262481289E-2</v>
      </c>
      <c r="W397" s="98" t="str">
        <f t="shared" si="212"/>
        <v>1-0.263444284619998i</v>
      </c>
      <c r="X397" s="160">
        <f t="shared" si="222"/>
        <v>1.0341193795200545</v>
      </c>
      <c r="Y397" s="160">
        <f t="shared" si="223"/>
        <v>-0.25759153740293328</v>
      </c>
      <c r="Z397" s="98" t="str">
        <f t="shared" si="213"/>
        <v>-0.52075758528225-1.80375353977258i</v>
      </c>
      <c r="AA397" s="160">
        <f t="shared" si="224"/>
        <v>1.8774225136796223</v>
      </c>
      <c r="AB397" s="160">
        <f t="shared" si="225"/>
        <v>-1.8518613137154292</v>
      </c>
      <c r="AC397" s="171" t="str">
        <f t="shared" si="226"/>
        <v>0.123822051478765+0.0109423649427935i</v>
      </c>
      <c r="AD397" s="190">
        <f t="shared" si="227"/>
        <v>-18.110255373456695</v>
      </c>
      <c r="AE397" s="169">
        <f t="shared" si="228"/>
        <v>5.0502059687852405</v>
      </c>
      <c r="AF397" s="98" t="str">
        <f t="shared" si="214"/>
        <v>-0.0000119284294234592</v>
      </c>
      <c r="AG397" s="98" t="str">
        <f t="shared" si="215"/>
        <v>0.00698630997728297i</v>
      </c>
      <c r="AH397" s="98">
        <f t="shared" si="229"/>
        <v>6.9863099772829703E-3</v>
      </c>
      <c r="AI397" s="98">
        <f t="shared" si="230"/>
        <v>1.5707963267948966</v>
      </c>
      <c r="AJ397" s="98" t="str">
        <f t="shared" si="216"/>
        <v>1+0.382842007946899i</v>
      </c>
      <c r="AK397" s="98">
        <f t="shared" si="231"/>
        <v>1.0707791569921472</v>
      </c>
      <c r="AL397" s="98">
        <f t="shared" si="232"/>
        <v>0.36562806784956997</v>
      </c>
      <c r="AM397" s="98" t="str">
        <f t="shared" si="217"/>
        <v>1+209.205755433528i</v>
      </c>
      <c r="AN397" s="98">
        <f t="shared" si="233"/>
        <v>209.20814541148516</v>
      </c>
      <c r="AO397" s="98">
        <f t="shared" si="234"/>
        <v>1.5660163799815199</v>
      </c>
      <c r="AP397" s="168" t="str">
        <f t="shared" si="235"/>
        <v>-0.310966601255901+0.120758478568608i</v>
      </c>
      <c r="AQ397" s="98">
        <f t="shared" si="236"/>
        <v>-9.5357181019783823</v>
      </c>
      <c r="AR397" s="169">
        <f t="shared" si="237"/>
        <v>158.77718406199315</v>
      </c>
      <c r="AS397" s="168" t="str">
        <f t="shared" si="238"/>
        <v>-0.039825905851319+0.0115498525138573i</v>
      </c>
      <c r="AT397" s="190">
        <f t="shared" si="239"/>
        <v>-27.645973475435074</v>
      </c>
      <c r="AU397" s="169">
        <f t="shared" si="240"/>
        <v>163.82739003077842</v>
      </c>
      <c r="AV397" s="225"/>
      <c r="AX397">
        <f t="shared" si="241"/>
        <v>0</v>
      </c>
      <c r="AY397">
        <f t="shared" si="242"/>
        <v>0</v>
      </c>
    </row>
    <row r="398" spans="14:51" x14ac:dyDescent="0.2">
      <c r="N398" s="170">
        <v>80</v>
      </c>
      <c r="O398" s="199">
        <f t="shared" si="243"/>
        <v>63095.734448019342</v>
      </c>
      <c r="P398" s="189" t="str">
        <f t="shared" si="209"/>
        <v>771.276595744681</v>
      </c>
      <c r="Q398" s="160" t="str">
        <f t="shared" si="210"/>
        <v>1+3504.54897400479i</v>
      </c>
      <c r="R398" s="160">
        <f t="shared" si="218"/>
        <v>3504.5491166764987</v>
      </c>
      <c r="S398" s="160">
        <f t="shared" si="219"/>
        <v>1.5705109833797304</v>
      </c>
      <c r="T398" s="160" t="str">
        <f t="shared" si="211"/>
        <v>1+0.0659679806871488i</v>
      </c>
      <c r="U398" s="160">
        <f t="shared" si="220"/>
        <v>1.0021735251322199</v>
      </c>
      <c r="V398" s="160">
        <f t="shared" si="221"/>
        <v>6.5872537181120808E-2</v>
      </c>
      <c r="W398" s="98" t="str">
        <f t="shared" si="212"/>
        <v>1-0.26958069030806i</v>
      </c>
      <c r="X398" s="160">
        <f t="shared" si="222"/>
        <v>1.0356996420714695</v>
      </c>
      <c r="Y398" s="160">
        <f t="shared" si="223"/>
        <v>-0.263320974250424</v>
      </c>
      <c r="Z398" s="98" t="str">
        <f t="shared" si="213"/>
        <v>-0.59242868221399-1.84576835705089i</v>
      </c>
      <c r="AA398" s="160">
        <f t="shared" si="224"/>
        <v>1.9385129794252465</v>
      </c>
      <c r="AB398" s="160">
        <f t="shared" si="225"/>
        <v>-1.8813751950912236</v>
      </c>
      <c r="AC398" s="171" t="str">
        <f t="shared" si="226"/>
        <v>0.117081111506431+0.0133360753117412i</v>
      </c>
      <c r="AD398" s="190">
        <f t="shared" si="227"/>
        <v>-18.57427919025341</v>
      </c>
      <c r="AE398" s="169">
        <f t="shared" si="228"/>
        <v>6.498245217204353</v>
      </c>
      <c r="AF398" s="98" t="str">
        <f t="shared" si="214"/>
        <v>-0.0000119284294234592</v>
      </c>
      <c r="AG398" s="98" t="str">
        <f t="shared" si="215"/>
        <v>0.00714904204165477i</v>
      </c>
      <c r="AH398" s="98">
        <f t="shared" si="229"/>
        <v>7.1490420416547703E-3</v>
      </c>
      <c r="AI398" s="98">
        <f t="shared" si="230"/>
        <v>1.5707963267948966</v>
      </c>
      <c r="AJ398" s="98" t="str">
        <f t="shared" si="216"/>
        <v>1+0.391759543882754i</v>
      </c>
      <c r="AK398" s="98">
        <f t="shared" si="231"/>
        <v>1.0739997859512</v>
      </c>
      <c r="AL398" s="98">
        <f t="shared" si="232"/>
        <v>0.37338241280249185</v>
      </c>
      <c r="AM398" s="98" t="str">
        <f t="shared" si="217"/>
        <v>1+214.07878347993i</v>
      </c>
      <c r="AN398" s="98">
        <f t="shared" si="233"/>
        <v>214.08111905594743</v>
      </c>
      <c r="AO398" s="98">
        <f t="shared" si="234"/>
        <v>1.5661251832535321</v>
      </c>
      <c r="AP398" s="168" t="str">
        <f t="shared" si="235"/>
        <v>-0.309104391539897+0.122763130799985i</v>
      </c>
      <c r="AQ398" s="98">
        <f t="shared" si="236"/>
        <v>-9.5618082853346973</v>
      </c>
      <c r="AR398" s="169">
        <f t="shared" si="237"/>
        <v>158.33912679158564</v>
      </c>
      <c r="AS398" s="168" t="str">
        <f t="shared" si="238"/>
        <v>-0.0378274640908639+0.0102510043613056i</v>
      </c>
      <c r="AT398" s="190">
        <f t="shared" si="239"/>
        <v>-28.136087475588116</v>
      </c>
      <c r="AU398" s="169">
        <f t="shared" si="240"/>
        <v>164.83737200879</v>
      </c>
      <c r="AV398" s="225"/>
      <c r="AX398">
        <f t="shared" si="241"/>
        <v>0</v>
      </c>
      <c r="AY398">
        <f t="shared" si="242"/>
        <v>0</v>
      </c>
    </row>
    <row r="399" spans="14:51" x14ac:dyDescent="0.2">
      <c r="N399" s="170">
        <v>81</v>
      </c>
      <c r="O399" s="199">
        <f t="shared" si="243"/>
        <v>64565.422903465682</v>
      </c>
      <c r="P399" s="189" t="str">
        <f t="shared" si="209"/>
        <v>771.276595744681</v>
      </c>
      <c r="Q399" s="160" t="str">
        <f t="shared" si="210"/>
        <v>1+3586.18040620382i</v>
      </c>
      <c r="R399" s="160">
        <f t="shared" si="218"/>
        <v>3586.1805456279244</v>
      </c>
      <c r="S399" s="160">
        <f t="shared" si="219"/>
        <v>1.570517478588501</v>
      </c>
      <c r="T399" s="160" t="str">
        <f t="shared" si="211"/>
        <v>1+0.0675045723520717i</v>
      </c>
      <c r="U399" s="160">
        <f t="shared" si="220"/>
        <v>1.0022758439114634</v>
      </c>
      <c r="V399" s="160">
        <f t="shared" si="221"/>
        <v>6.7402315330622548E-2</v>
      </c>
      <c r="W399" s="98" t="str">
        <f t="shared" si="212"/>
        <v>1-0.275860031246446i</v>
      </c>
      <c r="X399" s="160">
        <f t="shared" si="222"/>
        <v>1.0373517999402566</v>
      </c>
      <c r="Y399" s="160">
        <f t="shared" si="223"/>
        <v>-0.26916559916953015</v>
      </c>
      <c r="Z399" s="98" t="str">
        <f t="shared" si="213"/>
        <v>-0.66747753388135-1.88876182514374i</v>
      </c>
      <c r="AA399" s="160">
        <f t="shared" si="224"/>
        <v>2.003234257483792</v>
      </c>
      <c r="AB399" s="160">
        <f t="shared" si="225"/>
        <v>-1.9104917545168818</v>
      </c>
      <c r="AC399" s="171" t="str">
        <f t="shared" si="226"/>
        <v>0.110560071715592+0.0153786646382442i</v>
      </c>
      <c r="AD399" s="190">
        <f t="shared" si="227"/>
        <v>-19.044808149954605</v>
      </c>
      <c r="AE399" s="169">
        <f t="shared" si="228"/>
        <v>7.9189065290428076</v>
      </c>
      <c r="AF399" s="98" t="str">
        <f t="shared" si="214"/>
        <v>-0.0000119284294234592</v>
      </c>
      <c r="AG399" s="98" t="str">
        <f t="shared" si="215"/>
        <v>0.00731556462274584i</v>
      </c>
      <c r="AH399" s="98">
        <f t="shared" si="229"/>
        <v>7.3155646227458402E-3</v>
      </c>
      <c r="AI399" s="98">
        <f t="shared" si="230"/>
        <v>1.5707963267948966</v>
      </c>
      <c r="AJ399" s="98" t="str">
        <f t="shared" si="216"/>
        <v>1+0.400884795914328i</v>
      </c>
      <c r="AK399" s="98">
        <f t="shared" si="231"/>
        <v>1.0773618795907309</v>
      </c>
      <c r="AL399" s="98">
        <f t="shared" si="232"/>
        <v>0.38126889941598141</v>
      </c>
      <c r="AM399" s="98" t="str">
        <f t="shared" si="217"/>
        <v>1+219.065318931002i</v>
      </c>
      <c r="AN399" s="98">
        <f t="shared" si="233"/>
        <v>219.06760134337898</v>
      </c>
      <c r="AO399" s="98">
        <f t="shared" si="234"/>
        <v>1.5662315099675721</v>
      </c>
      <c r="AP399" s="168" t="str">
        <f t="shared" si="235"/>
        <v>-0.307178174606111+0.124773614692779i</v>
      </c>
      <c r="AQ399" s="98">
        <f t="shared" si="236"/>
        <v>-9.5889607499808207</v>
      </c>
      <c r="AR399" s="169">
        <f t="shared" si="237"/>
        <v>157.89335646541045</v>
      </c>
      <c r="AS399" s="168" t="str">
        <f t="shared" si="238"/>
        <v>-0.035880492589978+0.00907098965719189i</v>
      </c>
      <c r="AT399" s="190">
        <f t="shared" si="239"/>
        <v>-28.633768899935433</v>
      </c>
      <c r="AU399" s="169">
        <f t="shared" si="240"/>
        <v>165.81226299445325</v>
      </c>
      <c r="AV399" s="225"/>
      <c r="AX399">
        <f t="shared" si="241"/>
        <v>0</v>
      </c>
      <c r="AY399">
        <f t="shared" si="242"/>
        <v>0</v>
      </c>
    </row>
    <row r="400" spans="14:51" x14ac:dyDescent="0.2">
      <c r="N400" s="170">
        <v>82</v>
      </c>
      <c r="O400" s="199">
        <f t="shared" si="243"/>
        <v>66069.344800759733</v>
      </c>
      <c r="P400" s="189" t="str">
        <f t="shared" si="209"/>
        <v>771.276595744681</v>
      </c>
      <c r="Q400" s="160" t="str">
        <f t="shared" si="210"/>
        <v>1+3669.71327872292i</v>
      </c>
      <c r="R400" s="160">
        <f t="shared" si="218"/>
        <v>3669.7134149733442</v>
      </c>
      <c r="S400" s="160">
        <f t="shared" si="219"/>
        <v>1.5705238259482921</v>
      </c>
      <c r="T400" s="160" t="str">
        <f t="shared" si="211"/>
        <v>1+0.0690769558347842i</v>
      </c>
      <c r="U400" s="160">
        <f t="shared" si="220"/>
        <v>1.0023829736320349</v>
      </c>
      <c r="V400" s="160">
        <f t="shared" si="221"/>
        <v>6.8967399525669229E-2</v>
      </c>
      <c r="W400" s="98" t="str">
        <f t="shared" si="212"/>
        <v>1-0.282285636824838i</v>
      </c>
      <c r="X400" s="160">
        <f t="shared" si="222"/>
        <v>1.039079006022932</v>
      </c>
      <c r="Y400" s="160">
        <f t="shared" si="223"/>
        <v>-0.27512691321086702</v>
      </c>
      <c r="Z400" s="98" t="str">
        <f t="shared" si="213"/>
        <v>-0.74606332896068-1.932756739757i</v>
      </c>
      <c r="AA400" s="160">
        <f t="shared" si="224"/>
        <v>2.0717526652320251</v>
      </c>
      <c r="AB400" s="160">
        <f t="shared" si="225"/>
        <v>-1.9391844444072883</v>
      </c>
      <c r="AC400" s="171" t="str">
        <f t="shared" si="226"/>
        <v>0.10427082525054+0.0170948623132952i</v>
      </c>
      <c r="AD400" s="190">
        <f t="shared" si="227"/>
        <v>-19.521553026532285</v>
      </c>
      <c r="AE400" s="169">
        <f t="shared" si="228"/>
        <v>9.3106274697518803</v>
      </c>
      <c r="AF400" s="98" t="str">
        <f t="shared" si="214"/>
        <v>-0.0000119284294234592</v>
      </c>
      <c r="AG400" s="98" t="str">
        <f t="shared" si="215"/>
        <v>0.00748596601303282i</v>
      </c>
      <c r="AH400" s="98">
        <f t="shared" si="229"/>
        <v>7.4859660130328198E-3</v>
      </c>
      <c r="AI400" s="98">
        <f t="shared" si="230"/>
        <v>1.5707963267948966</v>
      </c>
      <c r="AJ400" s="98" t="str">
        <f t="shared" si="216"/>
        <v>1+0.410222602371032i</v>
      </c>
      <c r="AK400" s="98">
        <f t="shared" si="231"/>
        <v>1.0808712150372317</v>
      </c>
      <c r="AL400" s="98">
        <f t="shared" si="232"/>
        <v>0.38928778407055192</v>
      </c>
      <c r="AM400" s="98" t="str">
        <f t="shared" si="217"/>
        <v>1+224.168005713843i</v>
      </c>
      <c r="AN400" s="98">
        <f t="shared" si="233"/>
        <v>224.1702361726943</v>
      </c>
      <c r="AO400" s="98">
        <f t="shared" si="234"/>
        <v>1.5663354164898486</v>
      </c>
      <c r="AP400" s="168" t="str">
        <f t="shared" si="235"/>
        <v>-0.305186741678458+0.126787938277029i</v>
      </c>
      <c r="AQ400" s="98">
        <f t="shared" si="236"/>
        <v>-9.6172117508122295</v>
      </c>
      <c r="AR400" s="169">
        <f t="shared" si="237"/>
        <v>157.43986162349151</v>
      </c>
      <c r="AS400" s="168" t="str">
        <f t="shared" si="238"/>
        <v>-0.0339894957581686+0.00800315762712391i</v>
      </c>
      <c r="AT400" s="190">
        <f t="shared" si="239"/>
        <v>-29.138764777344509</v>
      </c>
      <c r="AU400" s="169">
        <f t="shared" si="240"/>
        <v>166.7504890932434</v>
      </c>
      <c r="AV400" s="225"/>
      <c r="AX400">
        <f t="shared" si="241"/>
        <v>0</v>
      </c>
      <c r="AY400">
        <f t="shared" si="242"/>
        <v>0</v>
      </c>
    </row>
    <row r="401" spans="14:51" x14ac:dyDescent="0.2">
      <c r="N401" s="170">
        <v>83</v>
      </c>
      <c r="O401" s="199">
        <f t="shared" si="243"/>
        <v>67608.297539198305</v>
      </c>
      <c r="P401" s="189" t="str">
        <f t="shared" si="209"/>
        <v>771.276595744681</v>
      </c>
      <c r="Q401" s="160" t="str">
        <f t="shared" si="210"/>
        <v>1+3755.19188179679i</v>
      </c>
      <c r="R401" s="160">
        <f t="shared" si="218"/>
        <v>3755.1920149457756</v>
      </c>
      <c r="S401" s="160">
        <f t="shared" si="219"/>
        <v>1.5705300288245561</v>
      </c>
      <c r="T401" s="160" t="str">
        <f t="shared" si="211"/>
        <v>1+0.0706859648338218i</v>
      </c>
      <c r="U401" s="160">
        <f t="shared" si="220"/>
        <v>1.0024951399505577</v>
      </c>
      <c r="V401" s="160">
        <f t="shared" si="221"/>
        <v>7.0568588908127478E-2</v>
      </c>
      <c r="W401" s="98" t="str">
        <f t="shared" si="212"/>
        <v>1-0.288860913984367i</v>
      </c>
      <c r="X401" s="160">
        <f t="shared" si="222"/>
        <v>1.0408845409688261</v>
      </c>
      <c r="Y401" s="160">
        <f t="shared" si="223"/>
        <v>-0.28120638167937057</v>
      </c>
      <c r="Z401" s="98" t="str">
        <f t="shared" si="213"/>
        <v>-0.82835275845952-1.97777642757673i</v>
      </c>
      <c r="AA401" s="160">
        <f t="shared" si="224"/>
        <v>2.1442406324677434</v>
      </c>
      <c r="AB401" s="160">
        <f t="shared" si="225"/>
        <v>-1.9674296260988491</v>
      </c>
      <c r="AC401" s="171" t="str">
        <f t="shared" si="226"/>
        <v>0.0982226754866349+0.0185096845065729i</v>
      </c>
      <c r="AD401" s="190">
        <f t="shared" si="227"/>
        <v>-20.004213657492215</v>
      </c>
      <c r="AE401" s="169">
        <f t="shared" si="228"/>
        <v>10.672015282515629</v>
      </c>
      <c r="AF401" s="98" t="str">
        <f t="shared" si="214"/>
        <v>-0.0000119284294234592</v>
      </c>
      <c r="AG401" s="98" t="str">
        <f t="shared" si="215"/>
        <v>0.00766033656158838i</v>
      </c>
      <c r="AH401" s="98">
        <f t="shared" si="229"/>
        <v>7.6603365615883802E-3</v>
      </c>
      <c r="AI401" s="98">
        <f t="shared" si="230"/>
        <v>1.5707963267948966</v>
      </c>
      <c r="AJ401" s="98" t="str">
        <f t="shared" si="216"/>
        <v>1+0.419777914281451i</v>
      </c>
      <c r="AK401" s="98">
        <f t="shared" si="231"/>
        <v>1.084533769561135</v>
      </c>
      <c r="AL401" s="98">
        <f t="shared" si="232"/>
        <v>0.39743919236679048</v>
      </c>
      <c r="AM401" s="98" t="str">
        <f t="shared" si="217"/>
        <v>1+229.389549340527i</v>
      </c>
      <c r="AN401" s="98">
        <f t="shared" si="233"/>
        <v>229.39172902842438</v>
      </c>
      <c r="AO401" s="98">
        <f t="shared" si="234"/>
        <v>1.5664369579039954</v>
      </c>
      <c r="AP401" s="168" t="str">
        <f t="shared" si="235"/>
        <v>-0.303128943707668+0.128804003546977i</v>
      </c>
      <c r="AQ401" s="98">
        <f t="shared" si="236"/>
        <v>-9.6465982039750422</v>
      </c>
      <c r="AR401" s="169">
        <f t="shared" si="237"/>
        <v>156.97863822550562</v>
      </c>
      <c r="AS401" s="168" t="str">
        <f t="shared" si="238"/>
        <v>-0.0321582573372427+0.00704065272893446i</v>
      </c>
      <c r="AT401" s="190">
        <f t="shared" si="239"/>
        <v>-29.650811861467265</v>
      </c>
      <c r="AU401" s="169">
        <f t="shared" si="240"/>
        <v>167.65065350802121</v>
      </c>
      <c r="AV401" s="225"/>
      <c r="AX401">
        <f t="shared" si="241"/>
        <v>0</v>
      </c>
      <c r="AY401">
        <f t="shared" si="242"/>
        <v>0</v>
      </c>
    </row>
    <row r="402" spans="14:51" x14ac:dyDescent="0.2">
      <c r="N402" s="170">
        <v>84</v>
      </c>
      <c r="O402" s="199">
        <f t="shared" si="243"/>
        <v>69183.097091893651</v>
      </c>
      <c r="P402" s="189" t="str">
        <f t="shared" si="209"/>
        <v>771.276595744681</v>
      </c>
      <c r="Q402" s="160" t="str">
        <f t="shared" si="210"/>
        <v>1+3842.66153731222i</v>
      </c>
      <c r="R402" s="160">
        <f t="shared" si="218"/>
        <v>3842.6616674303646</v>
      </c>
      <c r="S402" s="160">
        <f t="shared" si="219"/>
        <v>1.5705360905061381</v>
      </c>
      <c r="T402" s="160" t="str">
        <f t="shared" si="211"/>
        <v>1+0.0723324524670534i</v>
      </c>
      <c r="U402" s="160">
        <f t="shared" si="220"/>
        <v>1.0026125790552893</v>
      </c>
      <c r="V402" s="160">
        <f t="shared" si="221"/>
        <v>7.220669959022602E-2</v>
      </c>
      <c r="W402" s="98" t="str">
        <f t="shared" si="212"/>
        <v>1-0.295589349024016i</v>
      </c>
      <c r="X402" s="160">
        <f t="shared" si="222"/>
        <v>1.0427718174444693</v>
      </c>
      <c r="Y402" s="160">
        <f t="shared" si="223"/>
        <v>-0.28740542971525124</v>
      </c>
      <c r="Z402" s="98" t="str">
        <f t="shared" si="213"/>
        <v>-0.91452036929056-2.02384475863733i</v>
      </c>
      <c r="AA402" s="160">
        <f t="shared" si="224"/>
        <v>2.2208771044141846</v>
      </c>
      <c r="AB402" s="160">
        <f t="shared" si="225"/>
        <v>-1.9952065712506242</v>
      </c>
      <c r="AC402" s="171" t="str">
        <f t="shared" si="226"/>
        <v>0.0924224187026412+0.0196481059211647i</v>
      </c>
      <c r="AD402" s="190">
        <f t="shared" si="227"/>
        <v>-20.492481754559279</v>
      </c>
      <c r="AE402" s="169">
        <f t="shared" si="228"/>
        <v>12.00184723771198</v>
      </c>
      <c r="AF402" s="98" t="str">
        <f t="shared" si="214"/>
        <v>-0.0000119284294234592</v>
      </c>
      <c r="AG402" s="98" t="str">
        <f t="shared" si="215"/>
        <v>0.00783876872198542i</v>
      </c>
      <c r="AH402" s="98">
        <f t="shared" si="229"/>
        <v>7.8387687219854205E-3</v>
      </c>
      <c r="AI402" s="98">
        <f t="shared" si="230"/>
        <v>1.5707963267948966</v>
      </c>
      <c r="AJ402" s="98" t="str">
        <f t="shared" si="216"/>
        <v>1+0.429555797998439i</v>
      </c>
      <c r="AK402" s="98">
        <f t="shared" si="231"/>
        <v>1.0883557247490709</v>
      </c>
      <c r="AL402" s="98">
        <f t="shared" si="232"/>
        <v>0.40572311224789104</v>
      </c>
      <c r="AM402" s="98" t="str">
        <f t="shared" si="217"/>
        <v>1+234.732718342601i</v>
      </c>
      <c r="AN402" s="98">
        <f t="shared" si="233"/>
        <v>234.73484841519985</v>
      </c>
      <c r="AO402" s="98">
        <f t="shared" si="234"/>
        <v>1.566536188040234</v>
      </c>
      <c r="AP402" s="168" t="str">
        <f t="shared" si="235"/>
        <v>-0.301003699187651+0.130819606537523i</v>
      </c>
      <c r="AQ402" s="98">
        <f t="shared" si="236"/>
        <v>-9.6771576512025845</v>
      </c>
      <c r="AR402" s="169">
        <f t="shared" si="237"/>
        <v>156.50969004650088</v>
      </c>
      <c r="AS402" s="168" t="str">
        <f t="shared" si="238"/>
        <v>-0.0303898474031793+0.00617651188562437i</v>
      </c>
      <c r="AT402" s="190">
        <f t="shared" si="239"/>
        <v>-30.16963940576186</v>
      </c>
      <c r="AU402" s="169">
        <f t="shared" si="240"/>
        <v>168.51153728421286</v>
      </c>
      <c r="AV402" s="225"/>
      <c r="AX402">
        <f t="shared" si="241"/>
        <v>0</v>
      </c>
      <c r="AY402">
        <f t="shared" si="242"/>
        <v>0</v>
      </c>
    </row>
    <row r="403" spans="14:51" x14ac:dyDescent="0.2">
      <c r="N403" s="170">
        <v>85</v>
      </c>
      <c r="O403" s="199">
        <f t="shared" si="243"/>
        <v>70794.578438413781</v>
      </c>
      <c r="P403" s="189" t="str">
        <f t="shared" ref="P403:P466" si="244">COMPLEX(Adc,0)</f>
        <v>771.276595744681</v>
      </c>
      <c r="Q403" s="160" t="str">
        <f t="shared" ref="Q403:Q466" si="245">IMSUM(COMPLEX(1,0),IMDIV(COMPLEX(0,2*PI()*O403),COMPLEX(wp_lf,0)))</f>
        <v>1+3932.16862283838i</v>
      </c>
      <c r="R403" s="160">
        <f t="shared" si="218"/>
        <v>3932.1687499946752</v>
      </c>
      <c r="S403" s="160">
        <f t="shared" si="219"/>
        <v>1.5705420142070199</v>
      </c>
      <c r="T403" s="160" t="str">
        <f t="shared" ref="T403:T466" si="246">IMSUM(COMPLEX(1,0),IMDIV(COMPLEX(0,2*PI()*O403),COMPLEX(wz_esr,0)))</f>
        <v>1+0.0740172917240165i</v>
      </c>
      <c r="U403" s="160">
        <f t="shared" si="220"/>
        <v>1.0027355381525869</v>
      </c>
      <c r="V403" s="160">
        <f t="shared" si="221"/>
        <v>7.3882564934465197E-2</v>
      </c>
      <c r="W403" s="98" t="str">
        <f t="shared" ref="W403:W466" si="247">IMSUB(COMPLEX(1,0),IMDIV(COMPLEX(0,2*PI()*O403),COMPLEX(wz_rhp,0)))</f>
        <v>1-0.302474509449105i</v>
      </c>
      <c r="X403" s="160">
        <f t="shared" si="222"/>
        <v>1.0447443844627626</v>
      </c>
      <c r="Y403" s="160">
        <f t="shared" si="223"/>
        <v>-0.29372543766152276</v>
      </c>
      <c r="Z403" s="98" t="str">
        <f t="shared" ref="Z403:Z466" si="248">IF(Dc_Mode_Loop="CCM",IMSUM(COMPLEX(1,0),IMDIV(COMPLEX(0,2*PI()*O403),COMPLEX(Q*(wsl/2),0)),IMDIV(IMPOWER(COMPLEX(0,2*PI()*O403),2),IMPOWER(COMPLEX(wsl/2,0),2))),COMPLEX(1,0))</f>
        <v>-1.00474893450909-2.07098615897771i</v>
      </c>
      <c r="AA403" s="160">
        <f t="shared" si="224"/>
        <v>2.3018479732759074</v>
      </c>
      <c r="AB403" s="160">
        <f t="shared" si="225"/>
        <v>-2.0224974242730478</v>
      </c>
      <c r="AC403" s="171" t="str">
        <f t="shared" si="226"/>
        <v>0.0868744687247803+0.0205347633022376i</v>
      </c>
      <c r="AD403" s="190">
        <f t="shared" si="227"/>
        <v>-20.986043577549999</v>
      </c>
      <c r="AE403" s="169">
        <f t="shared" si="228"/>
        <v>13.29906876159572</v>
      </c>
      <c r="AF403" s="98" t="str">
        <f t="shared" ref="AF403:AF466" si="249">COMPLEX(Adc_ea,0)</f>
        <v>-0.0000119284294234592</v>
      </c>
      <c r="AG403" s="98" t="str">
        <f t="shared" ref="AG403:AG466" si="250">COMPLEX(0,2*PI()*O403*wp0_ea)</f>
        <v>0.00802135710131724i</v>
      </c>
      <c r="AH403" s="98">
        <f t="shared" si="229"/>
        <v>8.0213571013172408E-3</v>
      </c>
      <c r="AI403" s="98">
        <f t="shared" si="230"/>
        <v>1.5707963267948966</v>
      </c>
      <c r="AJ403" s="98" t="str">
        <f t="shared" ref="AJ403:AJ466" si="251">IMSUM(COMPLEX(1,0),IMDIV(COMPLEX(0,2*PI()*O403),COMPLEX(wp1_ea,0)))</f>
        <v>1+0.43956143788537i</v>
      </c>
      <c r="AK403" s="98">
        <f t="shared" si="231"/>
        <v>1.092343470560361</v>
      </c>
      <c r="AL403" s="98">
        <f t="shared" si="232"/>
        <v>0.41413938714514281</v>
      </c>
      <c r="AM403" s="98" t="str">
        <f t="shared" ref="AM403:AM466" si="252">IMSUM(COMPLEX(1,0),IMDIV(COMPLEX(0,2*PI()*O403),COMPLEX(wz_ea,0)))</f>
        <v>1+240.200345738996i</v>
      </c>
      <c r="AN403" s="98">
        <f t="shared" si="233"/>
        <v>240.20242732564802</v>
      </c>
      <c r="AO403" s="98">
        <f t="shared" si="234"/>
        <v>1.5666331595038749</v>
      </c>
      <c r="AP403" s="168" t="str">
        <f t="shared" si="235"/>
        <v>-0.298810002246648+0.132832437945335i</v>
      </c>
      <c r="AQ403" s="98">
        <f t="shared" si="236"/>
        <v>-9.7089282196879481</v>
      </c>
      <c r="AR403" s="169">
        <f t="shared" si="237"/>
        <v>156.03302907126638</v>
      </c>
      <c r="AS403" s="168" t="str">
        <f t="shared" si="238"/>
        <v>-0.0286866428668946+0.00540375480744232i</v>
      </c>
      <c r="AT403" s="190">
        <f t="shared" si="239"/>
        <v>-30.694971797237937</v>
      </c>
      <c r="AU403" s="169">
        <f t="shared" si="240"/>
        <v>169.3320978328621</v>
      </c>
      <c r="AV403" s="225"/>
      <c r="AX403">
        <f t="shared" si="241"/>
        <v>0</v>
      </c>
      <c r="AY403">
        <f t="shared" si="242"/>
        <v>0</v>
      </c>
    </row>
    <row r="404" spans="14:51" x14ac:dyDescent="0.2">
      <c r="N404" s="170">
        <v>86</v>
      </c>
      <c r="O404" s="199">
        <f t="shared" si="243"/>
        <v>72443.596007499116</v>
      </c>
      <c r="P404" s="189" t="str">
        <f t="shared" si="244"/>
        <v>771.276595744681</v>
      </c>
      <c r="Q404" s="160" t="str">
        <f t="shared" si="245"/>
        <v>1+4023.76059621679i</v>
      </c>
      <c r="R404" s="160">
        <f t="shared" ref="R404:R467" si="253">IMABS(Q404)</f>
        <v>4023.7607204786541</v>
      </c>
      <c r="S404" s="160">
        <f t="shared" ref="S404:S467" si="254">IMARGUMENT(Q404)</f>
        <v>1.5705478030680247</v>
      </c>
      <c r="T404" s="160" t="str">
        <f t="shared" si="246"/>
        <v>1+0.0757413759287864i</v>
      </c>
      <c r="U404" s="160">
        <f t="shared" ref="U404:U467" si="255">IMABS(T404)</f>
        <v>1.0028642759753614</v>
      </c>
      <c r="V404" s="160">
        <f t="shared" ref="V404:V467" si="256">IMARGUMENT(T404)</f>
        <v>7.5597035832057041E-2</v>
      </c>
      <c r="W404" s="98" t="str">
        <f t="shared" si="247"/>
        <v>1-0.309520045862828i</v>
      </c>
      <c r="X404" s="160">
        <f t="shared" ref="X404:X467" si="257">IMABS(W404)</f>
        <v>1.0468059317709884</v>
      </c>
      <c r="Y404" s="160">
        <f t="shared" ref="Y404:Y467" si="258">IMARGUMENT(W404)</f>
        <v>-0.30016773621809478</v>
      </c>
      <c r="Z404" s="98" t="str">
        <f t="shared" si="248"/>
        <v>-1.0992298409991-2.11922562359233i</v>
      </c>
      <c r="AA404" s="160">
        <f t="shared" ref="AA404:AA467" si="259">IMABS(Z404)</f>
        <v>2.3873465368549258</v>
      </c>
      <c r="AB404" s="160">
        <f t="shared" ref="AB404:AB467" si="260">IMARGUMENT(Z404)</f>
        <v>-2.0492871304435161</v>
      </c>
      <c r="AC404" s="171" t="str">
        <f t="shared" ref="AC404:AC467" si="261">(IMDIV(IMPRODUCT(P404,T404,W404),IMPRODUCT(Q404,Z404)))</f>
        <v>0.0815810152608044+0.0211936951982662i</v>
      </c>
      <c r="AD404" s="190">
        <f t="shared" ref="AD404:AD467" si="262">20*LOG(IMABS(AC404))</f>
        <v>-21.484582432386198</v>
      </c>
      <c r="AE404" s="169">
        <f t="shared" ref="AE404:AE467" si="263">(180/PI())*IMARGUMENT(AC404)</f>
        <v>14.562789611130622</v>
      </c>
      <c r="AF404" s="98" t="str">
        <f t="shared" si="249"/>
        <v>-0.0000119284294234592</v>
      </c>
      <c r="AG404" s="98" t="str">
        <f t="shared" si="250"/>
        <v>0.00820819851035941i</v>
      </c>
      <c r="AH404" s="98">
        <f t="shared" ref="AH404:AH467" si="264">IMABS(AG404)</f>
        <v>8.2081985103594109E-3</v>
      </c>
      <c r="AI404" s="98">
        <f t="shared" ref="AI404:AI467" si="265">IMARGUMENT(AG404)</f>
        <v>1.5707963267948966</v>
      </c>
      <c r="AJ404" s="98" t="str">
        <f t="shared" si="251"/>
        <v>1+0.449800139064951i</v>
      </c>
      <c r="AK404" s="98">
        <f t="shared" ref="AK404:AK467" si="266">IMABS(AJ404)</f>
        <v>1.096503609252085</v>
      </c>
      <c r="AL404" s="98">
        <f t="shared" ref="AL404:AL467" si="267">IMARGUMENT(AJ404)</f>
        <v>0.42268770918297632</v>
      </c>
      <c r="AM404" s="98" t="str">
        <f t="shared" si="252"/>
        <v>1+245.795330538129i</v>
      </c>
      <c r="AN404" s="98">
        <f t="shared" ref="AN404:AN467" si="268">IMABS(AM404)</f>
        <v>245.79736474248068</v>
      </c>
      <c r="AO404" s="98">
        <f t="shared" ref="AO404:AO467" si="269">IMARGUMENT(AM404)</f>
        <v>1.5667279237031726</v>
      </c>
      <c r="AP404" s="168" t="str">
        <f t="shared" ref="AP404:AP467" si="270">IMPRODUCT(AF404,IMDIV(AM404,IMPRODUCT(AG404,AJ404)))</f>
        <v>-0.296546930980198+0.134840084339687i</v>
      </c>
      <c r="AQ404" s="98">
        <f t="shared" ref="AQ404:AQ467" si="271">20*LOG(IMABS(AP404))</f>
        <v>-9.7419485773477117</v>
      </c>
      <c r="AR404" s="169">
        <f t="shared" ref="AR404:AR467" si="272">(180/PI())*IMARGUMENT(AP404)</f>
        <v>155.54867588524863</v>
      </c>
      <c r="AS404" s="168" t="str">
        <f t="shared" ref="AS404:AS467" si="273">IMPRODUCT(AC404,AP404)</f>
        <v>-0.0270503593498441+0.00471546571110856i</v>
      </c>
      <c r="AT404" s="190">
        <f t="shared" ref="AT404:AT467" si="274">20*LOG(IMABS(AS404))</f>
        <v>-31.226531009733904</v>
      </c>
      <c r="AU404" s="169">
        <f t="shared" ref="AU404:AU467" si="275">(180/PI())*IMARGUMENT(AS404)</f>
        <v>170.11146549637925</v>
      </c>
      <c r="AV404" s="225"/>
      <c r="AX404">
        <f t="shared" ref="AX404:AX467" si="276">SUM((AT405&lt;0)*(AT404&gt;0))*O404</f>
        <v>0</v>
      </c>
      <c r="AY404">
        <f t="shared" ref="AY404:AY467" si="277">IF(AX404&gt;0,AU404,0)</f>
        <v>0</v>
      </c>
    </row>
    <row r="405" spans="14:51" x14ac:dyDescent="0.2">
      <c r="N405" s="170">
        <v>87</v>
      </c>
      <c r="O405" s="199">
        <f t="shared" si="243"/>
        <v>74131.024130091857</v>
      </c>
      <c r="P405" s="189" t="str">
        <f t="shared" si="244"/>
        <v>771.276595744681</v>
      </c>
      <c r="Q405" s="160" t="str">
        <f t="shared" si="245"/>
        <v>1+4117.48602072408i</v>
      </c>
      <c r="R405" s="160">
        <f t="shared" si="253"/>
        <v>4117.4861421573987</v>
      </c>
      <c r="S405" s="160">
        <f t="shared" si="254"/>
        <v>1.5705534601584816</v>
      </c>
      <c r="T405" s="160" t="str">
        <f t="shared" si="246"/>
        <v>1+0.0775056192136295i</v>
      </c>
      <c r="U405" s="160">
        <f t="shared" si="255"/>
        <v>1.0029990633144621</v>
      </c>
      <c r="V405" s="160">
        <f t="shared" si="256"/>
        <v>7.7350980979327022E-2</v>
      </c>
      <c r="W405" s="98" t="str">
        <f t="shared" si="247"/>
        <v>1-0.31672969390185i</v>
      </c>
      <c r="X405" s="160">
        <f t="shared" si="257"/>
        <v>1.048960294291047</v>
      </c>
      <c r="Y405" s="160">
        <f t="shared" si="258"/>
        <v>-0.30673360138366745</v>
      </c>
      <c r="Z405" s="98" t="str">
        <f t="shared" si="248"/>
        <v>-1.19816349543051-2.16858872968385i</v>
      </c>
      <c r="AA405" s="160">
        <f t="shared" si="259"/>
        <v>2.4775739828094077</v>
      </c>
      <c r="AB405" s="160">
        <f t="shared" si="260"/>
        <v>-2.0755633347458584</v>
      </c>
      <c r="AC405" s="171" t="str">
        <f t="shared" si="261"/>
        <v>0.0765422075476322+0.021648120567965i</v>
      </c>
      <c r="AD405" s="190">
        <f t="shared" si="262"/>
        <v>-21.987780963686738</v>
      </c>
      <c r="AE405" s="169">
        <f t="shared" si="263"/>
        <v>15.792278383467583</v>
      </c>
      <c r="AF405" s="98" t="str">
        <f t="shared" si="249"/>
        <v>-0.0000119284294234592</v>
      </c>
      <c r="AG405" s="98" t="str">
        <f t="shared" si="250"/>
        <v>0.00839939201490011i</v>
      </c>
      <c r="AH405" s="98">
        <f t="shared" si="264"/>
        <v>8.3993920149001092E-3</v>
      </c>
      <c r="AI405" s="98">
        <f t="shared" si="265"/>
        <v>1.5707963267948966</v>
      </c>
      <c r="AJ405" s="98" t="str">
        <f t="shared" si="251"/>
        <v>1+0.460277330232074i</v>
      </c>
      <c r="AK405" s="98">
        <f t="shared" si="266"/>
        <v>1.1008429591570115</v>
      </c>
      <c r="AL405" s="98">
        <f t="shared" si="267"/>
        <v>0.43136761248308081</v>
      </c>
      <c r="AM405" s="98" t="str">
        <f t="shared" si="252"/>
        <v>1+251.520639275i</v>
      </c>
      <c r="AN405" s="98">
        <f t="shared" si="268"/>
        <v>251.52262717557775</v>
      </c>
      <c r="AO405" s="98">
        <f t="shared" si="269"/>
        <v>1.5668205308765477</v>
      </c>
      <c r="AP405" s="168" t="str">
        <f t="shared" si="270"/>
        <v>-0.29421365598721+0.136840030007025i</v>
      </c>
      <c r="AQ405" s="98">
        <f t="shared" si="271"/>
        <v>-9.7762578833516294</v>
      </c>
      <c r="AR405" s="169">
        <f t="shared" si="272"/>
        <v>155.05666005975789</v>
      </c>
      <c r="AS405" s="168" t="str">
        <f t="shared" si="273"/>
        <v>-0.0254820921880367+0.00410486528006903i</v>
      </c>
      <c r="AT405" s="190">
        <f t="shared" si="274"/>
        <v>-31.764038847038375</v>
      </c>
      <c r="AU405" s="169">
        <f t="shared" si="275"/>
        <v>170.84893844322548</v>
      </c>
      <c r="AV405" s="225"/>
      <c r="AX405">
        <f t="shared" si="276"/>
        <v>0</v>
      </c>
      <c r="AY405">
        <f t="shared" si="277"/>
        <v>0</v>
      </c>
    </row>
    <row r="406" spans="14:51" x14ac:dyDescent="0.2">
      <c r="N406" s="170">
        <v>88</v>
      </c>
      <c r="O406" s="199">
        <f t="shared" si="243"/>
        <v>75857.757502918481</v>
      </c>
      <c r="P406" s="189" t="str">
        <f t="shared" si="244"/>
        <v>771.276595744681</v>
      </c>
      <c r="Q406" s="160" t="str">
        <f t="shared" si="245"/>
        <v>1+4213.39459082091i</v>
      </c>
      <c r="R406" s="160">
        <f t="shared" si="253"/>
        <v>4213.3947094900686</v>
      </c>
      <c r="S406" s="160">
        <f t="shared" si="254"/>
        <v>1.5705589884778537</v>
      </c>
      <c r="T406" s="160" t="str">
        <f t="shared" si="246"/>
        <v>1+0.0793109570036874i</v>
      </c>
      <c r="U406" s="160">
        <f t="shared" si="255"/>
        <v>1.0031401835739813</v>
      </c>
      <c r="V406" s="160">
        <f t="shared" si="256"/>
        <v>7.9145287151451152E-2</v>
      </c>
      <c r="W406" s="98" t="str">
        <f t="shared" si="247"/>
        <v>1-0.324107276216991i</v>
      </c>
      <c r="X406" s="160">
        <f t="shared" si="257"/>
        <v>1.0512114566046153</v>
      </c>
      <c r="Y406" s="160">
        <f t="shared" si="258"/>
        <v>-0.31342424918804473</v>
      </c>
      <c r="Z406" s="98" t="str">
        <f t="shared" si="248"/>
        <v>-1.30175974934864-2.2191016502245i</v>
      </c>
      <c r="AA406" s="160">
        <f t="shared" si="259"/>
        <v>2.5727398972794222</v>
      </c>
      <c r="AB406" s="160">
        <f t="shared" si="260"/>
        <v>-2.1013162566175847</v>
      </c>
      <c r="AC406" s="171" t="str">
        <f t="shared" si="261"/>
        <v>0.0717563552335078+0.0219202570959881i</v>
      </c>
      <c r="AD406" s="190">
        <f t="shared" si="262"/>
        <v>-22.495323221609929</v>
      </c>
      <c r="AE406" s="169">
        <f t="shared" si="263"/>
        <v>16.986955656897567</v>
      </c>
      <c r="AF406" s="98" t="str">
        <f t="shared" si="249"/>
        <v>-0.0000119284294234592</v>
      </c>
      <c r="AG406" s="98" t="str">
        <f t="shared" si="250"/>
        <v>0.0085950389882662i</v>
      </c>
      <c r="AH406" s="98">
        <f t="shared" si="264"/>
        <v>8.5950389882662008E-3</v>
      </c>
      <c r="AI406" s="98">
        <f t="shared" si="265"/>
        <v>1.5707963267948966</v>
      </c>
      <c r="AJ406" s="98" t="str">
        <f t="shared" si="251"/>
        <v>1+0.470998566532175i</v>
      </c>
      <c r="AK406" s="98">
        <f t="shared" si="266"/>
        <v>1.1053685582987078</v>
      </c>
      <c r="AL406" s="98">
        <f t="shared" si="267"/>
        <v>0.44017846660986548</v>
      </c>
      <c r="AM406" s="98" t="str">
        <f t="shared" si="252"/>
        <v>1+257.379307584082i</v>
      </c>
      <c r="AN406" s="98">
        <f t="shared" si="268"/>
        <v>257.38125023486367</v>
      </c>
      <c r="AO406" s="98">
        <f t="shared" si="269"/>
        <v>1.5669110301191922</v>
      </c>
      <c r="AP406" s="168" t="str">
        <f t="shared" si="270"/>
        <v>-0.291809449064438+0.138829659471614i</v>
      </c>
      <c r="AQ406" s="98">
        <f t="shared" si="271"/>
        <v>-9.8118957338169093</v>
      </c>
      <c r="AR406" s="169">
        <f t="shared" si="272"/>
        <v>154.55702052904036</v>
      </c>
      <c r="AS406" s="168" t="str">
        <f t="shared" si="273"/>
        <v>-0.0239823643157283+0.00356537221546093i</v>
      </c>
      <c r="AT406" s="190">
        <f t="shared" si="274"/>
        <v>-32.307218955426833</v>
      </c>
      <c r="AU406" s="169">
        <f t="shared" si="275"/>
        <v>171.54397618593794</v>
      </c>
      <c r="AV406" s="225"/>
      <c r="AX406">
        <f t="shared" si="276"/>
        <v>0</v>
      </c>
      <c r="AY406">
        <f t="shared" si="277"/>
        <v>0</v>
      </c>
    </row>
    <row r="407" spans="14:51" x14ac:dyDescent="0.2">
      <c r="N407" s="170">
        <v>89</v>
      </c>
      <c r="O407" s="199">
        <f t="shared" si="243"/>
        <v>77624.711662869129</v>
      </c>
      <c r="P407" s="189" t="str">
        <f t="shared" si="244"/>
        <v>771.276595744681</v>
      </c>
      <c r="Q407" s="160" t="str">
        <f t="shared" si="245"/>
        <v>1+4311.53715850066i</v>
      </c>
      <c r="R407" s="160">
        <f t="shared" si="253"/>
        <v>4311.5372744685792</v>
      </c>
      <c r="S407" s="160">
        <f t="shared" si="254"/>
        <v>1.5705643909573272</v>
      </c>
      <c r="T407" s="160" t="str">
        <f t="shared" si="246"/>
        <v>1+0.0811583465129534i</v>
      </c>
      <c r="U407" s="160">
        <f t="shared" si="255"/>
        <v>1.0032879333514964</v>
      </c>
      <c r="V407" s="160">
        <f t="shared" si="256"/>
        <v>8.0980859472860073E-2</v>
      </c>
      <c r="W407" s="98" t="str">
        <f t="shared" si="247"/>
        <v>1-0.331656704500049i</v>
      </c>
      <c r="X407" s="160">
        <f t="shared" si="257"/>
        <v>1.053563557475216</v>
      </c>
      <c r="Y407" s="160">
        <f t="shared" si="258"/>
        <v>-0.32024083021900601</v>
      </c>
      <c r="Z407" s="98" t="str">
        <f t="shared" si="248"/>
        <v>-1.41023834429743-2.27079116783338i</v>
      </c>
      <c r="AA407" s="160">
        <f t="shared" si="259"/>
        <v>2.6730627968001128</v>
      </c>
      <c r="AB407" s="160">
        <f t="shared" si="260"/>
        <v>-2.1265385457347916</v>
      </c>
      <c r="AC407" s="171" t="str">
        <f t="shared" si="261"/>
        <v>0.067220139021255+0.0220311785908239i</v>
      </c>
      <c r="AD407" s="190">
        <f t="shared" si="262"/>
        <v>-23.006896491226275</v>
      </c>
      <c r="AE407" s="169">
        <f t="shared" si="263"/>
        <v>18.146386056924189</v>
      </c>
      <c r="AF407" s="98" t="str">
        <f t="shared" si="249"/>
        <v>-0.0000119284294234592</v>
      </c>
      <c r="AG407" s="98" t="str">
        <f t="shared" si="250"/>
        <v>0.00879524316507265i</v>
      </c>
      <c r="AH407" s="98">
        <f t="shared" si="264"/>
        <v>8.7952431650726495E-3</v>
      </c>
      <c r="AI407" s="98">
        <f t="shared" si="265"/>
        <v>1.5707963267948966</v>
      </c>
      <c r="AJ407" s="98" t="str">
        <f t="shared" si="251"/>
        <v>1+0.481969532506654i</v>
      </c>
      <c r="AK407" s="98">
        <f t="shared" si="266"/>
        <v>1.110087667828394</v>
      </c>
      <c r="AL407" s="98">
        <f t="shared" si="267"/>
        <v>0.44911947020223941</v>
      </c>
      <c r="AM407" s="98" t="str">
        <f t="shared" si="252"/>
        <v>1+263.374441808863i</v>
      </c>
      <c r="AN407" s="98">
        <f t="shared" si="268"/>
        <v>263.37634023983662</v>
      </c>
      <c r="AO407" s="98">
        <f t="shared" si="269"/>
        <v>1.5669994694090696</v>
      </c>
      <c r="AP407" s="168" t="str">
        <f t="shared" si="270"/>
        <v>-0.289333692008601+0.140806260732219i</v>
      </c>
      <c r="AQ407" s="98">
        <f t="shared" si="271"/>
        <v>-9.8489021025914933</v>
      </c>
      <c r="AR407" s="169">
        <f t="shared" si="272"/>
        <v>154.04980595663923</v>
      </c>
      <c r="AS407" s="168" t="str">
        <f t="shared" si="273"/>
        <v>-0.0225511788772488+0.00309065418049891i</v>
      </c>
      <c r="AT407" s="190">
        <f t="shared" si="274"/>
        <v>-32.855798593817752</v>
      </c>
      <c r="AU407" s="169">
        <f t="shared" si="275"/>
        <v>172.19619201356343</v>
      </c>
      <c r="AV407" s="225"/>
      <c r="AX407">
        <f t="shared" si="276"/>
        <v>0</v>
      </c>
      <c r="AY407">
        <f t="shared" si="277"/>
        <v>0</v>
      </c>
    </row>
    <row r="408" spans="14:51" x14ac:dyDescent="0.2">
      <c r="N408" s="170">
        <v>90</v>
      </c>
      <c r="O408" s="199">
        <f t="shared" si="243"/>
        <v>79432.823472428237</v>
      </c>
      <c r="P408" s="189" t="str">
        <f t="shared" si="244"/>
        <v>771.276595744681</v>
      </c>
      <c r="Q408" s="160" t="str">
        <f t="shared" si="245"/>
        <v>1+4411.96576025181i</v>
      </c>
      <c r="R408" s="160">
        <f t="shared" si="253"/>
        <v>4411.9658735799776</v>
      </c>
      <c r="S408" s="160">
        <f t="shared" si="254"/>
        <v>1.5705696704613672</v>
      </c>
      <c r="T408" s="160" t="str">
        <f t="shared" si="246"/>
        <v>1+0.0830487672517986i</v>
      </c>
      <c r="U408" s="160">
        <f t="shared" si="255"/>
        <v>1.0034426230443092</v>
      </c>
      <c r="V408" s="160">
        <f t="shared" si="256"/>
        <v>8.2858621683576356E-2</v>
      </c>
      <c r="W408" s="98" t="str">
        <f t="shared" si="247"/>
        <v>1-0.33938198155783i</v>
      </c>
      <c r="X408" s="160">
        <f t="shared" si="257"/>
        <v>1.0560208943984579</v>
      </c>
      <c r="Y408" s="160">
        <f t="shared" si="258"/>
        <v>-0.32718442394953784</v>
      </c>
      <c r="Z408" s="98" t="str">
        <f t="shared" si="248"/>
        <v>-1.52382937792078-2.32368468897694i</v>
      </c>
      <c r="AA408" s="160">
        <f t="shared" si="259"/>
        <v>2.7787706826581227</v>
      </c>
      <c r="AB408" s="160">
        <f t="shared" si="260"/>
        <v>-2.1512251237453013</v>
      </c>
      <c r="AC408" s="171" t="str">
        <f t="shared" si="261"/>
        <v>0.0629288244247236+0.0220007096258422i</v>
      </c>
      <c r="AD408" s="190">
        <f t="shared" si="262"/>
        <v>-23.522192880412526</v>
      </c>
      <c r="AE408" s="169">
        <f t="shared" si="263"/>
        <v>19.270269528437673</v>
      </c>
      <c r="AF408" s="98" t="str">
        <f t="shared" si="249"/>
        <v>-0.0000119284294234592</v>
      </c>
      <c r="AG408" s="98" t="str">
        <f t="shared" si="250"/>
        <v>0.00900011069622406i</v>
      </c>
      <c r="AH408" s="98">
        <f t="shared" si="264"/>
        <v>9.0001106962240597E-3</v>
      </c>
      <c r="AI408" s="98">
        <f t="shared" si="265"/>
        <v>1.5707963267948966</v>
      </c>
      <c r="AJ408" s="98" t="str">
        <f t="shared" si="251"/>
        <v>1+0.493196045106892i</v>
      </c>
      <c r="AK408" s="98">
        <f t="shared" si="266"/>
        <v>1.1150077752684415</v>
      </c>
      <c r="AL408" s="98">
        <f t="shared" si="267"/>
        <v>0.458189644839121</v>
      </c>
      <c r="AM408" s="98" t="str">
        <f t="shared" si="252"/>
        <v>1+269.509220648866i</v>
      </c>
      <c r="AN408" s="98">
        <f t="shared" si="268"/>
        <v>269.51107586657577</v>
      </c>
      <c r="AO408" s="98">
        <f t="shared" si="269"/>
        <v>1.5670858956323248</v>
      </c>
      <c r="AP408" s="168" t="str">
        <f t="shared" si="270"/>
        <v>-0.286785885469212+0.142767029251514i</v>
      </c>
      <c r="AQ408" s="98">
        <f t="shared" si="271"/>
        <v>-9.887317277083044</v>
      </c>
      <c r="AR408" s="169">
        <f t="shared" si="272"/>
        <v>153.53507508833107</v>
      </c>
      <c r="AS408" s="168" t="str">
        <f t="shared" si="273"/>
        <v>-0.0211880745888876+0.00267466832640973i</v>
      </c>
      <c r="AT408" s="190">
        <f t="shared" si="274"/>
        <v>-33.409510157495575</v>
      </c>
      <c r="AU408" s="169">
        <f t="shared" si="275"/>
        <v>172.80534461676874</v>
      </c>
      <c r="AV408" s="225"/>
      <c r="AX408">
        <f t="shared" si="276"/>
        <v>0</v>
      </c>
      <c r="AY408">
        <f t="shared" si="277"/>
        <v>0</v>
      </c>
    </row>
    <row r="409" spans="14:51" x14ac:dyDescent="0.2">
      <c r="N409" s="170">
        <v>91</v>
      </c>
      <c r="O409" s="199">
        <f t="shared" si="243"/>
        <v>81283.051616410012</v>
      </c>
      <c r="P409" s="189" t="str">
        <f t="shared" si="244"/>
        <v>771.276595744681</v>
      </c>
      <c r="Q409" s="160" t="str">
        <f t="shared" si="245"/>
        <v>1+4514.73364464831i</v>
      </c>
      <c r="R409" s="160">
        <f t="shared" si="253"/>
        <v>4514.7337553968127</v>
      </c>
      <c r="S409" s="160">
        <f t="shared" si="254"/>
        <v>1.5705748297892357</v>
      </c>
      <c r="T409" s="160" t="str">
        <f t="shared" si="246"/>
        <v>1+0.0849832215463208i</v>
      </c>
      <c r="U409" s="160">
        <f t="shared" si="255"/>
        <v>1.0036045774827809</v>
      </c>
      <c r="V409" s="160">
        <f t="shared" si="256"/>
        <v>8.4779516400703123E-2</v>
      </c>
      <c r="W409" s="98" t="str">
        <f t="shared" si="247"/>
        <v>1-0.347287203434483i</v>
      </c>
      <c r="X409" s="160">
        <f t="shared" si="257"/>
        <v>1.0585879281709876</v>
      </c>
      <c r="Y409" s="160">
        <f t="shared" si="258"/>
        <v>-0.33425603287305639</v>
      </c>
      <c r="Z409" s="98" t="str">
        <f t="shared" si="248"/>
        <v>-1.64277379203039-2.37781025850018i</v>
      </c>
      <c r="AA409" s="160">
        <f t="shared" si="259"/>
        <v>2.8901016171080558</v>
      </c>
      <c r="AB409" s="160">
        <f t="shared" si="260"/>
        <v>-2.1753730165129759</v>
      </c>
      <c r="AC409" s="171" t="str">
        <f t="shared" si="261"/>
        <v>0.0588764729513269+0.021847354660676i</v>
      </c>
      <c r="AD409" s="190">
        <f t="shared" si="262"/>
        <v>-24.040910668898444</v>
      </c>
      <c r="AE409" s="169">
        <f t="shared" si="263"/>
        <v>20.358432074943696</v>
      </c>
      <c r="AF409" s="98" t="str">
        <f t="shared" si="249"/>
        <v>-0.0000119284294234592</v>
      </c>
      <c r="AG409" s="98" t="str">
        <f t="shared" si="250"/>
        <v>0.00920975020519714i</v>
      </c>
      <c r="AH409" s="98">
        <f t="shared" si="264"/>
        <v>9.2097502051971397E-3</v>
      </c>
      <c r="AI409" s="98">
        <f t="shared" si="265"/>
        <v>1.5707963267948966</v>
      </c>
      <c r="AJ409" s="98" t="str">
        <f t="shared" si="251"/>
        <v>1+0.504684056778465i</v>
      </c>
      <c r="AK409" s="98">
        <f t="shared" si="266"/>
        <v>1.1201365975479816</v>
      </c>
      <c r="AL409" s="98">
        <f t="shared" si="267"/>
        <v>0.46738782918835881</v>
      </c>
      <c r="AM409" s="98" t="str">
        <f t="shared" si="252"/>
        <v>1+275.786896845032i</v>
      </c>
      <c r="AN409" s="98">
        <f t="shared" si="268"/>
        <v>275.7887098331118</v>
      </c>
      <c r="AO409" s="98">
        <f t="shared" si="269"/>
        <v>1.5671703546081179</v>
      </c>
      <c r="AP409" s="168" t="str">
        <f t="shared" si="270"/>
        <v>-0.284165657789215+0.144709072730946i</v>
      </c>
      <c r="AQ409" s="98">
        <f t="shared" si="271"/>
        <v>-9.9271817891209295</v>
      </c>
      <c r="AR409" s="169">
        <f t="shared" si="272"/>
        <v>153.01289708879125</v>
      </c>
      <c r="AS409" s="168" t="str">
        <f t="shared" si="273"/>
        <v>-0.0198921820990933+0.00231169189834987i</v>
      </c>
      <c r="AT409" s="190">
        <f t="shared" si="274"/>
        <v>-33.968092458019356</v>
      </c>
      <c r="AU409" s="169">
        <f t="shared" si="275"/>
        <v>173.37132916373494</v>
      </c>
      <c r="AV409" s="225"/>
      <c r="AX409">
        <f t="shared" si="276"/>
        <v>0</v>
      </c>
      <c r="AY409">
        <f t="shared" si="277"/>
        <v>0</v>
      </c>
    </row>
    <row r="410" spans="14:51" x14ac:dyDescent="0.2">
      <c r="N410" s="170">
        <v>92</v>
      </c>
      <c r="O410" s="199">
        <f t="shared" si="243"/>
        <v>83176.377110267174</v>
      </c>
      <c r="P410" s="189" t="str">
        <f t="shared" si="244"/>
        <v>771.276595744681</v>
      </c>
      <c r="Q410" s="160" t="str">
        <f t="shared" si="245"/>
        <v>1+4619.89530058276i</v>
      </c>
      <c r="R410" s="160">
        <f t="shared" si="253"/>
        <v>4619.8954088103201</v>
      </c>
      <c r="S410" s="160">
        <f t="shared" si="254"/>
        <v>1.5705798716764752</v>
      </c>
      <c r="T410" s="160" t="str">
        <f t="shared" si="246"/>
        <v>1+0.0869627350697929i</v>
      </c>
      <c r="U410" s="160">
        <f t="shared" si="255"/>
        <v>1.0037741365919024</v>
      </c>
      <c r="V410" s="160">
        <f t="shared" si="256"/>
        <v>8.6744505374217531E-2</v>
      </c>
      <c r="W410" s="98" t="str">
        <f t="shared" si="247"/>
        <v>1-0.355376561583288i</v>
      </c>
      <c r="X410" s="160">
        <f t="shared" si="257"/>
        <v>1.0612692874679641</v>
      </c>
      <c r="Y410" s="160">
        <f t="shared" si="258"/>
        <v>-0.34145657645624122</v>
      </c>
      <c r="Z410" s="98" t="str">
        <f t="shared" si="248"/>
        <v>-1.76732388367576-2.43319657449652i</v>
      </c>
      <c r="AA410" s="160">
        <f t="shared" si="259"/>
        <v>3.0073043211408401</v>
      </c>
      <c r="AB410" s="160">
        <f t="shared" si="260"/>
        <v>-2.1989811809981217</v>
      </c>
      <c r="AC410" s="171" t="str">
        <f t="shared" si="261"/>
        <v>0.0550561460440909+0.0215882582362178i</v>
      </c>
      <c r="AD410" s="190">
        <f t="shared" si="262"/>
        <v>-24.562755426582655</v>
      </c>
      <c r="AE410" s="169">
        <f t="shared" si="263"/>
        <v>21.410816200589068</v>
      </c>
      <c r="AF410" s="98" t="str">
        <f t="shared" si="249"/>
        <v>-0.0000119284294234592</v>
      </c>
      <c r="AG410" s="98" t="str">
        <f t="shared" si="250"/>
        <v>0.00942427284563447i</v>
      </c>
      <c r="AH410" s="98">
        <f t="shared" si="264"/>
        <v>9.4242728456344696E-3</v>
      </c>
      <c r="AI410" s="98">
        <f t="shared" si="265"/>
        <v>1.5707963267948966</v>
      </c>
      <c r="AJ410" s="98" t="str">
        <f t="shared" si="251"/>
        <v>1+0.516439658617225i</v>
      </c>
      <c r="AK410" s="98">
        <f t="shared" si="266"/>
        <v>1.1254820838168309</v>
      </c>
      <c r="AL410" s="98">
        <f t="shared" si="267"/>
        <v>0.47671267349072916</v>
      </c>
      <c r="AM410" s="98" t="str">
        <f t="shared" si="252"/>
        <v>1+282.210798904376i</v>
      </c>
      <c r="AN410" s="98">
        <f t="shared" si="268"/>
        <v>282.21257062407085</v>
      </c>
      <c r="AO410" s="98">
        <f t="shared" si="269"/>
        <v>1.5672528911128936</v>
      </c>
      <c r="AP410" s="168" t="str">
        <f t="shared" si="270"/>
        <v>-0.281472773764528+0.146629416698838i</v>
      </c>
      <c r="AQ410" s="98">
        <f t="shared" si="271"/>
        <v>-9.968536340878412</v>
      </c>
      <c r="AR410" s="169">
        <f t="shared" si="272"/>
        <v>152.48335185902837</v>
      </c>
      <c r="AS410" s="168" t="str">
        <f t="shared" si="273"/>
        <v>-0.0186622798525357+0.00199634365363794i</v>
      </c>
      <c r="AT410" s="190">
        <f t="shared" si="274"/>
        <v>-34.531291767461077</v>
      </c>
      <c r="AU410" s="169">
        <f t="shared" si="275"/>
        <v>173.89416805961744</v>
      </c>
      <c r="AV410" s="225"/>
      <c r="AX410">
        <f t="shared" si="276"/>
        <v>0</v>
      </c>
      <c r="AY410">
        <f t="shared" si="277"/>
        <v>0</v>
      </c>
    </row>
    <row r="411" spans="14:51" x14ac:dyDescent="0.2">
      <c r="N411" s="170">
        <v>93</v>
      </c>
      <c r="O411" s="199">
        <f t="shared" si="243"/>
        <v>85113.803820237721</v>
      </c>
      <c r="P411" s="189" t="str">
        <f t="shared" si="244"/>
        <v>771.276595744681</v>
      </c>
      <c r="Q411" s="160" t="str">
        <f t="shared" si="245"/>
        <v>1+4727.50648615712i</v>
      </c>
      <c r="R411" s="160">
        <f t="shared" si="253"/>
        <v>4727.5065919211202</v>
      </c>
      <c r="S411" s="160">
        <f t="shared" si="254"/>
        <v>1.5705847987963601</v>
      </c>
      <c r="T411" s="160" t="str">
        <f t="shared" si="246"/>
        <v>1+0.0889883573864868i</v>
      </c>
      <c r="U411" s="160">
        <f t="shared" si="255"/>
        <v>1.0039516560822763</v>
      </c>
      <c r="V411" s="160">
        <f t="shared" si="256"/>
        <v>8.8754569736149744E-2</v>
      </c>
      <c r="W411" s="98" t="str">
        <f t="shared" si="247"/>
        <v>1-0.363654345089008i</v>
      </c>
      <c r="X411" s="160">
        <f t="shared" si="257"/>
        <v>1.0640697734181324</v>
      </c>
      <c r="Y411" s="160">
        <f t="shared" si="258"/>
        <v>-0.34878688492116777</v>
      </c>
      <c r="Z411" s="98" t="str">
        <f t="shared" si="248"/>
        <v>-1.89774384029997-2.48987300352383i</v>
      </c>
      <c r="AA411" s="160">
        <f t="shared" si="259"/>
        <v>3.130638793772488</v>
      </c>
      <c r="AB411" s="160">
        <f t="shared" si="260"/>
        <v>-2.2220503304040031</v>
      </c>
      <c r="AC411" s="171" t="str">
        <f t="shared" si="261"/>
        <v>0.0514600981339867+0.0212391924483715i</v>
      </c>
      <c r="AD411" s="190">
        <f t="shared" si="262"/>
        <v>-25.087440913546271</v>
      </c>
      <c r="AE411" s="169">
        <f t="shared" si="263"/>
        <v>22.427471262247405</v>
      </c>
      <c r="AF411" s="98" t="str">
        <f t="shared" si="249"/>
        <v>-0.0000119284294234592</v>
      </c>
      <c r="AG411" s="98" t="str">
        <f t="shared" si="250"/>
        <v>0.00964379236027955i</v>
      </c>
      <c r="AH411" s="98">
        <f t="shared" si="264"/>
        <v>9.6437923602795492E-3</v>
      </c>
      <c r="AI411" s="98">
        <f t="shared" si="265"/>
        <v>1.5707963267948966</v>
      </c>
      <c r="AJ411" s="98" t="str">
        <f t="shared" si="251"/>
        <v>1+0.528469083598871i</v>
      </c>
      <c r="AK411" s="98">
        <f t="shared" si="266"/>
        <v>1.1310524180248369</v>
      </c>
      <c r="AL411" s="98">
        <f t="shared" si="267"/>
        <v>0.48616263443221958</v>
      </c>
      <c r="AM411" s="98" t="str">
        <f t="shared" si="252"/>
        <v>1+288.784332864801i</v>
      </c>
      <c r="AN411" s="98">
        <f t="shared" si="268"/>
        <v>288.7860642554765</v>
      </c>
      <c r="AO411" s="98">
        <f t="shared" si="269"/>
        <v>1.567333548904098</v>
      </c>
      <c r="AP411" s="168" t="str">
        <f t="shared" si="270"/>
        <v>-0.278707143248055+0.148525010933735i</v>
      </c>
      <c r="AQ411" s="98">
        <f t="shared" si="271"/>
        <v>-10.011421725920526</v>
      </c>
      <c r="AR411" s="169">
        <f t="shared" si="272"/>
        <v>151.94653033153821</v>
      </c>
      <c r="AS411" s="168" t="str">
        <f t="shared" si="273"/>
        <v>-0.0174968482328061+0.00172359698582017i</v>
      </c>
      <c r="AT411" s="190">
        <f t="shared" si="274"/>
        <v>-35.098862639466788</v>
      </c>
      <c r="AU411" s="169">
        <f t="shared" si="275"/>
        <v>174.37400159378561</v>
      </c>
      <c r="AV411" s="225"/>
      <c r="AX411">
        <f t="shared" si="276"/>
        <v>0</v>
      </c>
      <c r="AY411">
        <f t="shared" si="277"/>
        <v>0</v>
      </c>
    </row>
    <row r="412" spans="14:51" x14ac:dyDescent="0.2">
      <c r="N412" s="170">
        <v>94</v>
      </c>
      <c r="O412" s="199">
        <f t="shared" si="243"/>
        <v>87096.358995608127</v>
      </c>
      <c r="P412" s="189" t="str">
        <f t="shared" si="244"/>
        <v>771.276595744681</v>
      </c>
      <c r="Q412" s="160" t="str">
        <f t="shared" si="245"/>
        <v>1+4837.6242582464i</v>
      </c>
      <c r="R412" s="160">
        <f t="shared" si="253"/>
        <v>4837.6243616029169</v>
      </c>
      <c r="S412" s="160">
        <f t="shared" si="254"/>
        <v>1.5705896137613136</v>
      </c>
      <c r="T412" s="160" t="str">
        <f t="shared" si="246"/>
        <v>1+0.0910611625081674i</v>
      </c>
      <c r="U412" s="160">
        <f t="shared" si="255"/>
        <v>1.0041375081717339</v>
      </c>
      <c r="V412" s="160">
        <f t="shared" si="256"/>
        <v>9.081071024216987E-2</v>
      </c>
      <c r="W412" s="98" t="str">
        <f t="shared" si="247"/>
        <v>1-0.372124942942029i</v>
      </c>
      <c r="X412" s="160">
        <f t="shared" si="257"/>
        <v>1.066994364164876</v>
      </c>
      <c r="Y412" s="160">
        <f t="shared" si="258"/>
        <v>-0.35624769287076891</v>
      </c>
      <c r="Z412" s="98" t="str">
        <f t="shared" si="248"/>
        <v>-2.03431030011675-2.54786959617497i</v>
      </c>
      <c r="AA412" s="160">
        <f t="shared" si="259"/>
        <v>3.2603769530951334</v>
      </c>
      <c r="AB412" s="160">
        <f t="shared" si="260"/>
        <v>-2.2445827606985636</v>
      </c>
      <c r="AC412" s="171" t="str">
        <f t="shared" si="261"/>
        <v>0.0480799561185547+0.0208145677393857i</v>
      </c>
      <c r="AD412" s="190">
        <f t="shared" si="262"/>
        <v>-25.61468977739586</v>
      </c>
      <c r="AE412" s="169">
        <f t="shared" si="263"/>
        <v>23.408543908939052</v>
      </c>
      <c r="AF412" s="98" t="str">
        <f t="shared" si="249"/>
        <v>-0.0000119284294234592</v>
      </c>
      <c r="AG412" s="98" t="str">
        <f t="shared" si="250"/>
        <v>0.00986842514128474i</v>
      </c>
      <c r="AH412" s="98">
        <f t="shared" si="264"/>
        <v>9.8684251412847392E-3</v>
      </c>
      <c r="AI412" s="98">
        <f t="shared" si="265"/>
        <v>1.5707963267948966</v>
      </c>
      <c r="AJ412" s="98" t="str">
        <f t="shared" si="251"/>
        <v>1+0.540778709883758i</v>
      </c>
      <c r="AK412" s="98">
        <f t="shared" si="266"/>
        <v>1.1368560212549088</v>
      </c>
      <c r="AL412" s="98">
        <f t="shared" si="267"/>
        <v>0.49573597045908757</v>
      </c>
      <c r="AM412" s="98" t="str">
        <f t="shared" si="252"/>
        <v>1+295.510984101024i</v>
      </c>
      <c r="AN412" s="98">
        <f t="shared" si="268"/>
        <v>295.51267608066433</v>
      </c>
      <c r="AO412" s="98">
        <f t="shared" si="269"/>
        <v>1.5674123707433598</v>
      </c>
      <c r="AP412" s="168" t="str">
        <f t="shared" si="270"/>
        <v>-0.275868829518511+0.150392736738269i</v>
      </c>
      <c r="AQ412" s="98">
        <f t="shared" si="271"/>
        <v>-10.055878745487174</v>
      </c>
      <c r="AR412" s="169">
        <f t="shared" si="272"/>
        <v>151.40253474006144</v>
      </c>
      <c r="AS412" s="168" t="str">
        <f t="shared" si="273"/>
        <v>-0.0163941210240774+0.00148878574372723i</v>
      </c>
      <c r="AT412" s="190">
        <f t="shared" si="274"/>
        <v>-35.670568522883002</v>
      </c>
      <c r="AU412" s="169">
        <f t="shared" si="275"/>
        <v>174.81107864900048</v>
      </c>
      <c r="AV412" s="225"/>
      <c r="AX412">
        <f t="shared" si="276"/>
        <v>0</v>
      </c>
      <c r="AY412">
        <f t="shared" si="277"/>
        <v>0</v>
      </c>
    </row>
    <row r="413" spans="14:51" x14ac:dyDescent="0.2">
      <c r="N413" s="170">
        <v>95</v>
      </c>
      <c r="O413" s="199">
        <f t="shared" si="243"/>
        <v>89125.093813374609</v>
      </c>
      <c r="P413" s="189" t="str">
        <f t="shared" si="244"/>
        <v>771.276595744681</v>
      </c>
      <c r="Q413" s="160" t="str">
        <f t="shared" si="245"/>
        <v>1+4950.30700275093i</v>
      </c>
      <c r="R413" s="160">
        <f t="shared" si="253"/>
        <v>4950.3071037547661</v>
      </c>
      <c r="S413" s="160">
        <f t="shared" si="254"/>
        <v>1.5705943191242933</v>
      </c>
      <c r="T413" s="160" t="str">
        <f t="shared" si="246"/>
        <v>1+0.0931822494635466i</v>
      </c>
      <c r="U413" s="160">
        <f t="shared" si="255"/>
        <v>1.004332082338848</v>
      </c>
      <c r="V413" s="160">
        <f t="shared" si="256"/>
        <v>9.2913947504520797E-2</v>
      </c>
      <c r="W413" s="98" t="str">
        <f t="shared" si="247"/>
        <v>1-0.380792846365454i</v>
      </c>
      <c r="X413" s="160">
        <f t="shared" si="257"/>
        <v>1.0700482194009315</v>
      </c>
      <c r="Y413" s="160">
        <f t="shared" si="258"/>
        <v>-0.36383963277398484</v>
      </c>
      <c r="Z413" s="98" t="str">
        <f t="shared" si="248"/>
        <v>-2.17731293889714-2.60721710301104i</v>
      </c>
      <c r="AA413" s="160">
        <f t="shared" si="259"/>
        <v>3.3968032995924538</v>
      </c>
      <c r="AB413" s="160">
        <f t="shared" si="260"/>
        <v>-2.2665821810979532</v>
      </c>
      <c r="AC413" s="171" t="str">
        <f t="shared" si="261"/>
        <v>0.0449068834613407+0.0203274630620472i</v>
      </c>
      <c r="AD413" s="190">
        <f t="shared" si="262"/>
        <v>-26.144234065736359</v>
      </c>
      <c r="AE413" s="169">
        <f t="shared" si="263"/>
        <v>24.354268755794475</v>
      </c>
      <c r="AF413" s="98" t="str">
        <f t="shared" si="249"/>
        <v>-0.0000119284294234592</v>
      </c>
      <c r="AG413" s="98" t="str">
        <f t="shared" si="250"/>
        <v>0.0100982902919239i</v>
      </c>
      <c r="AH413" s="98">
        <f t="shared" si="264"/>
        <v>1.0098290291923899E-2</v>
      </c>
      <c r="AI413" s="98">
        <f t="shared" si="265"/>
        <v>1.5707963267948966</v>
      </c>
      <c r="AJ413" s="98" t="str">
        <f t="shared" si="251"/>
        <v>1+0.553375064198676i</v>
      </c>
      <c r="AK413" s="98">
        <f t="shared" si="266"/>
        <v>1.142901553799315</v>
      </c>
      <c r="AL413" s="98">
        <f t="shared" si="267"/>
        <v>0.50543073759088686</v>
      </c>
      <c r="AM413" s="98" t="str">
        <f t="shared" si="252"/>
        <v>1+302.394319172567i</v>
      </c>
      <c r="AN413" s="98">
        <f t="shared" si="268"/>
        <v>302.3959726382617</v>
      </c>
      <c r="AO413" s="98">
        <f t="shared" si="269"/>
        <v>1.5674893984191416</v>
      </c>
      <c r="AP413" s="168" t="str">
        <f t="shared" si="270"/>
        <v>-0.27295805732972+0.152229415071283i</v>
      </c>
      <c r="AQ413" s="98">
        <f t="shared" si="271"/>
        <v>-10.101948120167158</v>
      </c>
      <c r="AR413" s="169">
        <f t="shared" si="272"/>
        <v>150.85147886077525</v>
      </c>
      <c r="AS413" s="168" t="str">
        <f t="shared" si="273"/>
        <v>-0.0153521334821582+0.00128760377413612i</v>
      </c>
      <c r="AT413" s="190">
        <f t="shared" si="274"/>
        <v>-36.24618218590355</v>
      </c>
      <c r="AU413" s="169">
        <f t="shared" si="275"/>
        <v>175.20574761656971</v>
      </c>
      <c r="AV413" s="225"/>
      <c r="AX413">
        <f t="shared" si="276"/>
        <v>0</v>
      </c>
      <c r="AY413">
        <f t="shared" si="277"/>
        <v>0</v>
      </c>
    </row>
    <row r="414" spans="14:51" x14ac:dyDescent="0.2">
      <c r="N414" s="170">
        <v>96</v>
      </c>
      <c r="O414" s="199">
        <f t="shared" si="243"/>
        <v>91201.083935591028</v>
      </c>
      <c r="P414" s="189" t="str">
        <f t="shared" si="244"/>
        <v>771.276595744681</v>
      </c>
      <c r="Q414" s="160" t="str">
        <f t="shared" si="245"/>
        <v>1+5065.61446555337i</v>
      </c>
      <c r="R414" s="160">
        <f t="shared" si="253"/>
        <v>5065.6145642580768</v>
      </c>
      <c r="S414" s="160">
        <f t="shared" si="254"/>
        <v>1.5705989173801436</v>
      </c>
      <c r="T414" s="160" t="str">
        <f t="shared" si="246"/>
        <v>1+0.0953527428810043i</v>
      </c>
      <c r="U414" s="160">
        <f t="shared" si="255"/>
        <v>1.0045357861096491</v>
      </c>
      <c r="V414" s="160">
        <f t="shared" si="256"/>
        <v>9.506532221516549E-2</v>
      </c>
      <c r="W414" s="98" t="str">
        <f t="shared" si="247"/>
        <v>1-0.389662651196411i</v>
      </c>
      <c r="X414" s="160">
        <f t="shared" si="257"/>
        <v>1.0732366848637889</v>
      </c>
      <c r="Y414" s="160">
        <f t="shared" si="258"/>
        <v>-0.37156322832955618</v>
      </c>
      <c r="Z414" s="98" t="str">
        <f t="shared" si="248"/>
        <v>-2.3270550844107-2.66794699086573i</v>
      </c>
      <c r="AA414" s="160">
        <f t="shared" si="259"/>
        <v>3.5402156024670579</v>
      </c>
      <c r="AB414" s="160">
        <f t="shared" si="260"/>
        <v>-2.288053550594896</v>
      </c>
      <c r="AC414" s="171" t="str">
        <f t="shared" si="261"/>
        <v>0.0419317278765858+0.0197896716308775i</v>
      </c>
      <c r="AD414" s="190">
        <f t="shared" si="262"/>
        <v>-26.675815572846187</v>
      </c>
      <c r="AE414" s="169">
        <f t="shared" si="263"/>
        <v>25.264959410752706</v>
      </c>
      <c r="AF414" s="98" t="str">
        <f t="shared" si="249"/>
        <v>-0.0000119284294234592</v>
      </c>
      <c r="AG414" s="98" t="str">
        <f t="shared" si="250"/>
        <v>0.0103335096897425i</v>
      </c>
      <c r="AH414" s="98">
        <f t="shared" si="264"/>
        <v>1.03335096897425E-2</v>
      </c>
      <c r="AI414" s="98">
        <f t="shared" si="265"/>
        <v>1.5707963267948966</v>
      </c>
      <c r="AJ414" s="98" t="str">
        <f t="shared" si="251"/>
        <v>1+0.566264825297418i</v>
      </c>
      <c r="AK414" s="98">
        <f t="shared" si="266"/>
        <v>1.1491979169704039</v>
      </c>
      <c r="AL414" s="98">
        <f t="shared" si="267"/>
        <v>0.51524478578691701</v>
      </c>
      <c r="AM414" s="98" t="str">
        <f t="shared" si="252"/>
        <v>1+309.437987714798i</v>
      </c>
      <c r="AN414" s="98">
        <f t="shared" si="268"/>
        <v>309.43960354321729</v>
      </c>
      <c r="AO414" s="98">
        <f t="shared" si="269"/>
        <v>1.5675646727688779</v>
      </c>
      <c r="AP414" s="168" t="str">
        <f t="shared" si="270"/>
        <v>-0.269975220552161+0.154031815537449i</v>
      </c>
      <c r="AQ414" s="98">
        <f t="shared" si="271"/>
        <v>-10.149670397166089</v>
      </c>
      <c r="AR414" s="169">
        <f t="shared" si="272"/>
        <v>150.29348822175004</v>
      </c>
      <c r="AS414" s="168" t="str">
        <f t="shared" si="273"/>
        <v>-0.0143687665318085+0.00111609921025177i</v>
      </c>
      <c r="AT414" s="190">
        <f t="shared" si="274"/>
        <v>-36.825485970012245</v>
      </c>
      <c r="AU414" s="169">
        <f t="shared" si="275"/>
        <v>175.55844763250278</v>
      </c>
      <c r="AV414" s="225"/>
      <c r="AX414">
        <f t="shared" si="276"/>
        <v>0</v>
      </c>
      <c r="AY414">
        <f t="shared" si="277"/>
        <v>0</v>
      </c>
    </row>
    <row r="415" spans="14:51" x14ac:dyDescent="0.2">
      <c r="N415" s="170">
        <v>97</v>
      </c>
      <c r="O415" s="199">
        <f t="shared" si="243"/>
        <v>93325.430079699145</v>
      </c>
      <c r="P415" s="189" t="str">
        <f t="shared" si="244"/>
        <v>771.276595744681</v>
      </c>
      <c r="Q415" s="160" t="str">
        <f t="shared" si="245"/>
        <v>1+5183.60778419678i</v>
      </c>
      <c r="R415" s="160">
        <f t="shared" si="253"/>
        <v>5183.6078806546948</v>
      </c>
      <c r="S415" s="160">
        <f t="shared" si="254"/>
        <v>1.57060341096692</v>
      </c>
      <c r="T415" s="160" t="str">
        <f t="shared" si="246"/>
        <v>1+0.0975737935848803i</v>
      </c>
      <c r="U415" s="160">
        <f t="shared" si="255"/>
        <v>1.0047490458788926</v>
      </c>
      <c r="V415" s="160">
        <f t="shared" si="256"/>
        <v>9.7265895357924903E-2</v>
      </c>
      <c r="W415" s="98" t="str">
        <f t="shared" si="247"/>
        <v>1-0.398739060322827i</v>
      </c>
      <c r="X415" s="160">
        <f t="shared" si="257"/>
        <v>1.0765652967781987</v>
      </c>
      <c r="Y415" s="160">
        <f t="shared" si="258"/>
        <v>-0.37941888773003657</v>
      </c>
      <c r="Z415" s="98" t="str">
        <f t="shared" si="248"/>
        <v>-2.48385435982434-2.73009145952942i</v>
      </c>
      <c r="AA415" s="160">
        <f t="shared" si="259"/>
        <v>3.6909256099539394</v>
      </c>
      <c r="AB415" s="160">
        <f t="shared" si="260"/>
        <v>-2.3090029221441282</v>
      </c>
      <c r="AC415" s="171" t="str">
        <f t="shared" si="261"/>
        <v>0.0391451522143855+0.0192117587372287i</v>
      </c>
      <c r="AD415" s="190">
        <f t="shared" si="262"/>
        <v>-27.209186040121462</v>
      </c>
      <c r="AE415" s="169">
        <f t="shared" si="263"/>
        <v>26.140999945068334</v>
      </c>
      <c r="AF415" s="98" t="str">
        <f t="shared" si="249"/>
        <v>-0.0000119284294234592</v>
      </c>
      <c r="AG415" s="98" t="str">
        <f t="shared" si="250"/>
        <v>0.0105742080511787i</v>
      </c>
      <c r="AH415" s="98">
        <f t="shared" si="264"/>
        <v>1.05742080511787E-2</v>
      </c>
      <c r="AI415" s="98">
        <f t="shared" si="265"/>
        <v>1.5707963267948966</v>
      </c>
      <c r="AJ415" s="98" t="str">
        <f t="shared" si="251"/>
        <v>1+0.579454827501933i</v>
      </c>
      <c r="AK415" s="98">
        <f t="shared" si="266"/>
        <v>1.1557542546386299</v>
      </c>
      <c r="AL415" s="98">
        <f t="shared" si="267"/>
        <v>0.52517575592116306</v>
      </c>
      <c r="AM415" s="98" t="str">
        <f t="shared" si="252"/>
        <v>1+316.645724374011i</v>
      </c>
      <c r="AN415" s="98">
        <f t="shared" si="268"/>
        <v>316.6473034218705</v>
      </c>
      <c r="AO415" s="98">
        <f t="shared" si="269"/>
        <v>1.5676382337006116</v>
      </c>
      <c r="AP415" s="168" t="str">
        <f t="shared" si="270"/>
        <v>-0.266920889315311+0.155796666224356i</v>
      </c>
      <c r="AQ415" s="98">
        <f t="shared" si="271"/>
        <v>-10.19908585342375</v>
      </c>
      <c r="AR415" s="169">
        <f t="shared" si="272"/>
        <v>149.72870027751281</v>
      </c>
      <c r="AS415" s="168" t="str">
        <f t="shared" si="273"/>
        <v>-0.0134417868050139+0.000970664486393947i</v>
      </c>
      <c r="AT415" s="190">
        <f t="shared" si="274"/>
        <v>-37.408271893545191</v>
      </c>
      <c r="AU415" s="169">
        <f t="shared" si="275"/>
        <v>175.86970022258114</v>
      </c>
      <c r="AV415" s="225"/>
      <c r="AX415">
        <f t="shared" si="276"/>
        <v>0</v>
      </c>
      <c r="AY415">
        <f t="shared" si="277"/>
        <v>0</v>
      </c>
    </row>
    <row r="416" spans="14:51" x14ac:dyDescent="0.2">
      <c r="N416" s="170">
        <v>98</v>
      </c>
      <c r="O416" s="199">
        <f t="shared" si="243"/>
        <v>95499.258602143804</v>
      </c>
      <c r="P416" s="189" t="str">
        <f t="shared" si="244"/>
        <v>771.276595744681</v>
      </c>
      <c r="Q416" s="160" t="str">
        <f t="shared" si="245"/>
        <v>1+5304.34952030054i</v>
      </c>
      <c r="R416" s="160">
        <f t="shared" si="253"/>
        <v>5304.3496145628042</v>
      </c>
      <c r="S416" s="160">
        <f t="shared" si="254"/>
        <v>1.570607802267181</v>
      </c>
      <c r="T416" s="160" t="str">
        <f t="shared" si="246"/>
        <v>1+0.0998465792056569i</v>
      </c>
      <c r="U416" s="160">
        <f t="shared" si="255"/>
        <v>1.0049723077672694</v>
      </c>
      <c r="V416" s="160">
        <f t="shared" si="256"/>
        <v>9.951674840830306E-2</v>
      </c>
      <c r="W416" s="98" t="str">
        <f t="shared" si="247"/>
        <v>1-0.408026886176962i</v>
      </c>
      <c r="X416" s="160">
        <f t="shared" si="257"/>
        <v>1.0800397862316311</v>
      </c>
      <c r="Y416" s="160">
        <f t="shared" si="258"/>
        <v>-0.3874068968503675</v>
      </c>
      <c r="Z416" s="98" t="str">
        <f t="shared" si="248"/>
        <v>-2.64804335742366-2.793683458822i</v>
      </c>
      <c r="AA416" s="160">
        <f t="shared" si="259"/>
        <v>3.8492597848016472</v>
      </c>
      <c r="AB416" s="160">
        <f t="shared" si="260"/>
        <v>-2.329437295689706</v>
      </c>
      <c r="AC416" s="171" t="str">
        <f t="shared" si="261"/>
        <v>0.0365377486913819+0.0186031284369707i</v>
      </c>
      <c r="AD416" s="190">
        <f t="shared" si="262"/>
        <v>-27.744107229727554</v>
      </c>
      <c r="AE416" s="169">
        <f t="shared" si="263"/>
        <v>26.982836874035744</v>
      </c>
      <c r="AF416" s="98" t="str">
        <f t="shared" si="249"/>
        <v>-0.0000119284294234592</v>
      </c>
      <c r="AG416" s="98" t="str">
        <f t="shared" si="250"/>
        <v>0.01082051299769i</v>
      </c>
      <c r="AH416" s="98">
        <f t="shared" si="264"/>
        <v>1.0820512997689999E-2</v>
      </c>
      <c r="AI416" s="98">
        <f t="shared" si="265"/>
        <v>1.5707963267948966</v>
      </c>
      <c r="AJ416" s="98" t="str">
        <f t="shared" si="251"/>
        <v>1+0.592952064325982i</v>
      </c>
      <c r="AK416" s="98">
        <f t="shared" si="266"/>
        <v>1.162579954492784</v>
      </c>
      <c r="AL416" s="98">
        <f t="shared" si="267"/>
        <v>0.53522107741988323</v>
      </c>
      <c r="AM416" s="98" t="str">
        <f t="shared" si="252"/>
        <v>1+324.021350787589i</v>
      </c>
      <c r="AN416" s="98">
        <f t="shared" si="268"/>
        <v>324.02289389210415</v>
      </c>
      <c r="AO416" s="98">
        <f t="shared" si="269"/>
        <v>1.5677101202141359</v>
      </c>
      <c r="AP416" s="168" t="str">
        <f t="shared" si="270"/>
        <v>-0.263795816557254+0.157520664367086i</v>
      </c>
      <c r="AQ416" s="98">
        <f t="shared" si="271"/>
        <v>-10.250234394886249</v>
      </c>
      <c r="AR416" s="169">
        <f t="shared" si="272"/>
        <v>149.15726454561289</v>
      </c>
      <c r="AS416" s="168" t="str">
        <f t="shared" si="273"/>
        <v>-0.0125688824019047+0.000848022991793946i</v>
      </c>
      <c r="AT416" s="190">
        <f t="shared" si="274"/>
        <v>-37.994341624613789</v>
      </c>
      <c r="AU416" s="169">
        <f t="shared" si="275"/>
        <v>176.14010141964866</v>
      </c>
      <c r="AV416" s="225"/>
      <c r="AX416">
        <f t="shared" si="276"/>
        <v>0</v>
      </c>
      <c r="AY416">
        <f t="shared" si="277"/>
        <v>0</v>
      </c>
    </row>
    <row r="417" spans="14:51" x14ac:dyDescent="0.2">
      <c r="N417" s="170">
        <v>99</v>
      </c>
      <c r="O417" s="199">
        <f t="shared" si="243"/>
        <v>97723.722095581266</v>
      </c>
      <c r="P417" s="189" t="str">
        <f t="shared" si="244"/>
        <v>771.276595744681</v>
      </c>
      <c r="Q417" s="160" t="str">
        <f t="shared" si="245"/>
        <v>1+5427.90369273131i</v>
      </c>
      <c r="R417" s="160">
        <f t="shared" si="253"/>
        <v>5427.9037848479029</v>
      </c>
      <c r="S417" s="160">
        <f t="shared" si="254"/>
        <v>1.5706120936092516</v>
      </c>
      <c r="T417" s="160" t="str">
        <f t="shared" si="246"/>
        <v>1+0.102172304804354i</v>
      </c>
      <c r="U417" s="160">
        <f t="shared" si="255"/>
        <v>1.0052060385160018</v>
      </c>
      <c r="V417" s="160">
        <f t="shared" si="256"/>
        <v>0.10181898351959781</v>
      </c>
      <c r="W417" s="98" t="str">
        <f t="shared" si="247"/>
        <v>1-0.417531053287022i</v>
      </c>
      <c r="X417" s="160">
        <f t="shared" si="257"/>
        <v>1.0836660834680441</v>
      </c>
      <c r="Y417" s="160">
        <f t="shared" si="258"/>
        <v>-0.39552741238819411</v>
      </c>
      <c r="Z417" s="98" t="str">
        <f t="shared" si="248"/>
        <v>-2.81997034408576-2.85875670606321i</v>
      </c>
      <c r="AA417" s="160">
        <f t="shared" si="259"/>
        <v>4.015560066290198</v>
      </c>
      <c r="AB417" s="160">
        <f t="shared" si="260"/>
        <v>-2.3493644808403022</v>
      </c>
      <c r="AC417" s="171" t="str">
        <f t="shared" si="261"/>
        <v>0.0341001370260335+0.0179720962904929i</v>
      </c>
      <c r="AD417" s="190">
        <f t="shared" si="262"/>
        <v>-28.280350890265748</v>
      </c>
      <c r="AE417" s="169">
        <f t="shared" si="263"/>
        <v>27.79097169248789</v>
      </c>
      <c r="AF417" s="98" t="str">
        <f t="shared" si="249"/>
        <v>-0.0000119284294234592</v>
      </c>
      <c r="AG417" s="98" t="str">
        <f t="shared" si="250"/>
        <v>0.0110725551234189i</v>
      </c>
      <c r="AH417" s="98">
        <f t="shared" si="264"/>
        <v>1.10725551234189E-2</v>
      </c>
      <c r="AI417" s="98">
        <f t="shared" si="265"/>
        <v>1.5707963267948966</v>
      </c>
      <c r="AJ417" s="98" t="str">
        <f t="shared" si="251"/>
        <v>1+0.606763692183184i</v>
      </c>
      <c r="AK417" s="98">
        <f t="shared" si="266"/>
        <v>1.1696846490194568</v>
      </c>
      <c r="AL417" s="98">
        <f t="shared" si="267"/>
        <v>0.54537796661431615</v>
      </c>
      <c r="AM417" s="98" t="str">
        <f t="shared" si="252"/>
        <v>1+331.568777610283i</v>
      </c>
      <c r="AN417" s="98">
        <f t="shared" si="268"/>
        <v>331.57028558961269</v>
      </c>
      <c r="AO417" s="98">
        <f t="shared" si="269"/>
        <v>1.5677803704216584</v>
      </c>
      <c r="AP417" s="168" t="str">
        <f t="shared" si="270"/>
        <v>-0.260600943887008+0.159200487809593i</v>
      </c>
      <c r="AQ417" s="98">
        <f t="shared" si="271"/>
        <v>-10.303155452291195</v>
      </c>
      <c r="AR417" s="169">
        <f t="shared" si="272"/>
        <v>148.5793427021907</v>
      </c>
      <c r="AS417" s="168" t="str">
        <f t="shared" si="273"/>
        <v>-0.0117476943920681+0.000745213191987852i</v>
      </c>
      <c r="AT417" s="190">
        <f t="shared" si="274"/>
        <v>-38.58350634255693</v>
      </c>
      <c r="AU417" s="169">
        <f t="shared" si="275"/>
        <v>176.37031439467862</v>
      </c>
      <c r="AV417" s="225"/>
      <c r="AX417">
        <f t="shared" si="276"/>
        <v>0</v>
      </c>
      <c r="AY417">
        <f t="shared" si="277"/>
        <v>0</v>
      </c>
    </row>
    <row r="418" spans="14:51" x14ac:dyDescent="0.2">
      <c r="N418" s="170">
        <v>100</v>
      </c>
      <c r="O418" s="199">
        <f t="shared" si="243"/>
        <v>100000</v>
      </c>
      <c r="P418" s="189" t="str">
        <f t="shared" si="244"/>
        <v>771.276595744681</v>
      </c>
      <c r="Q418" s="160" t="str">
        <f t="shared" si="245"/>
        <v>1+5554.33581154678i</v>
      </c>
      <c r="R418" s="160">
        <f t="shared" si="253"/>
        <v>5554.3359015665428</v>
      </c>
      <c r="S418" s="160">
        <f t="shared" si="254"/>
        <v>1.5706162872684575</v>
      </c>
      <c r="T418" s="160" t="str">
        <f t="shared" si="246"/>
        <v>1+0.104552203511468i</v>
      </c>
      <c r="U418" s="160">
        <f t="shared" si="255"/>
        <v>1.0054507264202972</v>
      </c>
      <c r="V418" s="160">
        <f t="shared" si="256"/>
        <v>0.10417372369379901</v>
      </c>
      <c r="W418" s="98" t="str">
        <f t="shared" si="247"/>
        <v>1-0.427256600888211i</v>
      </c>
      <c r="X418" s="160">
        <f t="shared" si="257"/>
        <v>1.0874503220848979</v>
      </c>
      <c r="Y418" s="160">
        <f t="shared" si="258"/>
        <v>-0.4037804549860064</v>
      </c>
      <c r="Z418" s="98" t="str">
        <f t="shared" si="248"/>
        <v>-3.00000000000001-2.92534570395009i</v>
      </c>
      <c r="AA418" s="160">
        <f t="shared" si="259"/>
        <v>4.1901846603245669</v>
      </c>
      <c r="AB418" s="160">
        <f t="shared" si="260"/>
        <v>-2.3687929696711825</v>
      </c>
      <c r="AC418" s="171" t="str">
        <f t="shared" si="261"/>
        <v>0.0318230473452061+0.0173259657205448i</v>
      </c>
      <c r="AD418" s="190">
        <f t="shared" si="262"/>
        <v>-28.817698632265738</v>
      </c>
      <c r="AE418" s="169">
        <f t="shared" si="263"/>
        <v>28.565953990676505</v>
      </c>
      <c r="AF418" s="98" t="str">
        <f t="shared" si="249"/>
        <v>-0.0000119284294234592</v>
      </c>
      <c r="AG418" s="98" t="str">
        <f t="shared" si="250"/>
        <v>0.0113304680644369i</v>
      </c>
      <c r="AH418" s="98">
        <f t="shared" si="264"/>
        <v>1.13304680644369E-2</v>
      </c>
      <c r="AI418" s="98">
        <f t="shared" si="265"/>
        <v>1.5707963267948966</v>
      </c>
      <c r="AJ418" s="98" t="str">
        <f t="shared" si="251"/>
        <v>1+0.620897034181448i</v>
      </c>
      <c r="AK418" s="98">
        <f t="shared" si="266"/>
        <v>1.1770782162011657</v>
      </c>
      <c r="AL418" s="98">
        <f t="shared" si="267"/>
        <v>0.55564342585868753</v>
      </c>
      <c r="AM418" s="98" t="str">
        <f t="shared" si="252"/>
        <v>1+339.292006587698i</v>
      </c>
      <c r="AN418" s="98">
        <f t="shared" si="268"/>
        <v>339.29348024137818</v>
      </c>
      <c r="AO418" s="98">
        <f t="shared" si="269"/>
        <v>1.5678490215679937</v>
      </c>
      <c r="AP418" s="168" t="str">
        <f t="shared" si="270"/>
        <v>-0.257337406665091+0.160832807221055i</v>
      </c>
      <c r="AQ418" s="98">
        <f t="shared" si="271"/>
        <v>-10.35788787388082</v>
      </c>
      <c r="AR418" s="169">
        <f t="shared" si="272"/>
        <v>147.99510863366854</v>
      </c>
      <c r="AS418" s="168" t="str">
        <f t="shared" si="273"/>
        <v>-0.0109758441806467+0.000659570952364776i</v>
      </c>
      <c r="AT418" s="190">
        <f t="shared" si="274"/>
        <v>-39.175586506146594</v>
      </c>
      <c r="AU418" s="169">
        <f t="shared" si="275"/>
        <v>176.56106262434503</v>
      </c>
      <c r="AV418" s="225"/>
      <c r="AX418">
        <f t="shared" si="276"/>
        <v>0</v>
      </c>
      <c r="AY418">
        <f t="shared" si="277"/>
        <v>0</v>
      </c>
    </row>
    <row r="419" spans="14:51" x14ac:dyDescent="0.2">
      <c r="N419" s="170">
        <v>1</v>
      </c>
      <c r="O419" s="199">
        <f>10^(5+(N419/100))</f>
        <v>102329.29922807543</v>
      </c>
      <c r="P419" s="189" t="str">
        <f t="shared" si="244"/>
        <v>771.276595744681</v>
      </c>
      <c r="Q419" s="160" t="str">
        <f t="shared" si="245"/>
        <v>1+5683.71291272985i</v>
      </c>
      <c r="R419" s="160">
        <f t="shared" si="253"/>
        <v>5683.7130007005135</v>
      </c>
      <c r="S419" s="160">
        <f t="shared" si="254"/>
        <v>1.5706203854683314</v>
      </c>
      <c r="T419" s="160" t="str">
        <f t="shared" si="246"/>
        <v>1+0.106987537180797i</v>
      </c>
      <c r="U419" s="160">
        <f t="shared" si="255"/>
        <v>1.0057068823031949</v>
      </c>
      <c r="V419" s="160">
        <f t="shared" si="256"/>
        <v>0.10658211293567703</v>
      </c>
      <c r="W419" s="98" t="str">
        <f t="shared" si="247"/>
        <v>1-0.437208685594602i</v>
      </c>
      <c r="X419" s="160">
        <f t="shared" si="257"/>
        <v>1.0913988431180233</v>
      </c>
      <c r="Y419" s="160">
        <f t="shared" si="258"/>
        <v>-0.41216590236811201</v>
      </c>
      <c r="Z419" s="98" t="str">
        <f t="shared" si="248"/>
        <v>-3.18851419220361-2.99348575885073i</v>
      </c>
      <c r="AA419" s="160">
        <f t="shared" si="259"/>
        <v>4.3735088592943274</v>
      </c>
      <c r="AB419" s="160">
        <f t="shared" si="260"/>
        <v>-2.3877318198553334</v>
      </c>
      <c r="AC419" s="171" t="str">
        <f t="shared" si="261"/>
        <v>0.0296973889426778+0.0166711059350968i</v>
      </c>
      <c r="AD419" s="190">
        <f t="shared" si="262"/>
        <v>-29.355941730052795</v>
      </c>
      <c r="AE419" s="169">
        <f t="shared" si="263"/>
        <v>29.308375160163131</v>
      </c>
      <c r="AF419" s="98" t="str">
        <f t="shared" si="249"/>
        <v>-0.0000119284294234592</v>
      </c>
      <c r="AG419" s="98" t="str">
        <f t="shared" si="250"/>
        <v>0.0115943885695992i</v>
      </c>
      <c r="AH419" s="98">
        <f t="shared" si="264"/>
        <v>1.15943885695992E-2</v>
      </c>
      <c r="AI419" s="98">
        <f t="shared" si="265"/>
        <v>1.5707963267948966</v>
      </c>
      <c r="AJ419" s="98" t="str">
        <f t="shared" si="251"/>
        <v>1+0.635359584005779i</v>
      </c>
      <c r="AK419" s="98">
        <f t="shared" si="266"/>
        <v>1.1847707799350879</v>
      </c>
      <c r="AL419" s="98">
        <f t="shared" si="267"/>
        <v>0.56601424346058515</v>
      </c>
      <c r="AM419" s="98" t="str">
        <f t="shared" si="252"/>
        <v>1+347.195132678067i</v>
      </c>
      <c r="AN419" s="98">
        <f t="shared" si="268"/>
        <v>347.19657278743489</v>
      </c>
      <c r="AO419" s="98">
        <f t="shared" si="269"/>
        <v>1.5679161100502985</v>
      </c>
      <c r="AP419" s="168" t="str">
        <f t="shared" si="270"/>
        <v>-0.254006538209656+0.162414299013904i</v>
      </c>
      <c r="AQ419" s="98">
        <f t="shared" si="271"/>
        <v>-10.414469815503839</v>
      </c>
      <c r="AR419" s="169">
        <f t="shared" si="272"/>
        <v>147.40474844186991</v>
      </c>
      <c r="AS419" s="168" t="str">
        <f t="shared" si="273"/>
        <v>-0.0102509569434306+0.00058871070096789i</v>
      </c>
      <c r="AT419" s="190">
        <f t="shared" si="274"/>
        <v>-39.770411545556627</v>
      </c>
      <c r="AU419" s="169">
        <f t="shared" si="275"/>
        <v>176.71312360203302</v>
      </c>
      <c r="AV419" s="225"/>
      <c r="AX419">
        <f t="shared" si="276"/>
        <v>0</v>
      </c>
      <c r="AY419">
        <f t="shared" si="277"/>
        <v>0</v>
      </c>
    </row>
    <row r="420" spans="14:51" x14ac:dyDescent="0.2">
      <c r="N420" s="170">
        <v>2</v>
      </c>
      <c r="O420" s="199">
        <f t="shared" ref="O420:O483" si="278">10^(5+(N420/100))</f>
        <v>104712.85480508996</v>
      </c>
      <c r="P420" s="189" t="str">
        <f t="shared" si="244"/>
        <v>771.276595744681</v>
      </c>
      <c r="Q420" s="160" t="str">
        <f t="shared" si="245"/>
        <v>1+5816.10359373209i</v>
      </c>
      <c r="R420" s="160">
        <f t="shared" si="253"/>
        <v>5816.1036797002971</v>
      </c>
      <c r="S420" s="160">
        <f t="shared" si="254"/>
        <v>1.5706243903817929</v>
      </c>
      <c r="T420" s="160" t="str">
        <f t="shared" si="246"/>
        <v>1+0.109479597058486i</v>
      </c>
      <c r="U420" s="160">
        <f t="shared" si="255"/>
        <v>1.0059750405313685</v>
      </c>
      <c r="V420" s="160">
        <f t="shared" si="256"/>
        <v>0.10904531638833748</v>
      </c>
      <c r="W420" s="98" t="str">
        <f t="shared" si="247"/>
        <v>1-0.447392584133236i</v>
      </c>
      <c r="X420" s="160">
        <f t="shared" si="257"/>
        <v>1.095518198998727</v>
      </c>
      <c r="Y420" s="160">
        <f t="shared" si="258"/>
        <v>-0.4206834825283719</v>
      </c>
      <c r="Z420" s="98" t="str">
        <f t="shared" si="248"/>
        <v>-3.38591278457276-3.06321299952419i</v>
      </c>
      <c r="AA420" s="160">
        <f t="shared" si="259"/>
        <v>4.5659258935277567</v>
      </c>
      <c r="AB420" s="160">
        <f t="shared" si="260"/>
        <v>-2.4061905480987136</v>
      </c>
      <c r="AC420" s="171" t="str">
        <f t="shared" si="261"/>
        <v>0.0277143061038985+0.0160130297258739i</v>
      </c>
      <c r="AD420" s="190">
        <f t="shared" si="262"/>
        <v>-29.894880865115262</v>
      </c>
      <c r="AE420" s="169">
        <f t="shared" si="263"/>
        <v>30.018862686121317</v>
      </c>
      <c r="AF420" s="98" t="str">
        <f t="shared" si="249"/>
        <v>-0.0000119284294234592</v>
      </c>
      <c r="AG420" s="98" t="str">
        <f t="shared" si="250"/>
        <v>0.011864456573051i</v>
      </c>
      <c r="AH420" s="98">
        <f t="shared" si="264"/>
        <v>1.1864456573051E-2</v>
      </c>
      <c r="AI420" s="98">
        <f t="shared" si="265"/>
        <v>1.5707963267948966</v>
      </c>
      <c r="AJ420" s="98" t="str">
        <f t="shared" si="251"/>
        <v>1+0.650159009891529i</v>
      </c>
      <c r="AK420" s="98">
        <f t="shared" si="266"/>
        <v>1.192772710177062</v>
      </c>
      <c r="AL420" s="98">
        <f t="shared" si="267"/>
        <v>0.57648699446697849</v>
      </c>
      <c r="AM420" s="98" t="str">
        <f t="shared" si="252"/>
        <v>1+355.282346223453i</v>
      </c>
      <c r="AN420" s="98">
        <f t="shared" si="268"/>
        <v>355.28375355206089</v>
      </c>
      <c r="AO420" s="98">
        <f t="shared" si="269"/>
        <v>1.5679816714373571</v>
      </c>
      <c r="AP420" s="168" t="str">
        <f t="shared" si="270"/>
        <v>-0.250609873038349+0.163941658898416i</v>
      </c>
      <c r="AQ420" s="98">
        <f t="shared" si="271"/>
        <v>-10.472938628625117</v>
      </c>
      <c r="AR420" s="169">
        <f t="shared" si="272"/>
        <v>146.80846040008976</v>
      </c>
      <c r="AS420" s="168" t="str">
        <f t="shared" si="273"/>
        <v>-0.00957068139129336+0.00053050597133105i</v>
      </c>
      <c r="AT420" s="190">
        <f t="shared" si="274"/>
        <v>-40.367819493740377</v>
      </c>
      <c r="AU420" s="169">
        <f t="shared" si="275"/>
        <v>176.82732308621107</v>
      </c>
      <c r="AV420" s="225"/>
      <c r="AX420">
        <f t="shared" si="276"/>
        <v>0</v>
      </c>
      <c r="AY420">
        <f t="shared" si="277"/>
        <v>0</v>
      </c>
    </row>
    <row r="421" spans="14:51" x14ac:dyDescent="0.2">
      <c r="N421" s="170">
        <v>3</v>
      </c>
      <c r="O421" s="199">
        <f t="shared" si="278"/>
        <v>107151.93052376082</v>
      </c>
      <c r="P421" s="189" t="str">
        <f t="shared" si="244"/>
        <v>771.276595744681</v>
      </c>
      <c r="Q421" s="160" t="str">
        <f t="shared" si="245"/>
        <v>1+5951.57804984497i</v>
      </c>
      <c r="R421" s="160">
        <f t="shared" si="253"/>
        <v>5951.5781338563029</v>
      </c>
      <c r="S421" s="160">
        <f t="shared" si="254"/>
        <v>1.5706283041322995</v>
      </c>
      <c r="T421" s="160" t="str">
        <f t="shared" si="246"/>
        <v>1+0.11202970446767i</v>
      </c>
      <c r="U421" s="160">
        <f t="shared" si="255"/>
        <v>1.0062557600745019</v>
      </c>
      <c r="V421" s="160">
        <f t="shared" si="256"/>
        <v>0.1115645204484404</v>
      </c>
      <c r="W421" s="98" t="str">
        <f t="shared" si="247"/>
        <v>1-0.457813696141918i</v>
      </c>
      <c r="X421" s="160">
        <f t="shared" si="257"/>
        <v>1.0998151573674206</v>
      </c>
      <c r="Y421" s="160">
        <f t="shared" si="258"/>
        <v>-0.42933276700754958</v>
      </c>
      <c r="Z421" s="98" t="str">
        <f t="shared" si="248"/>
        <v>-3.59261448598756-3.13456439627642i</v>
      </c>
      <c r="AA421" s="160">
        <f t="shared" si="259"/>
        <v>4.7678478162931563</v>
      </c>
      <c r="AB421" s="160">
        <f t="shared" si="260"/>
        <v>-2.4241790336725035</v>
      </c>
      <c r="AC421" s="171" t="str">
        <f t="shared" si="261"/>
        <v>0.0258652222789444+0.0153564697890504i</v>
      </c>
      <c r="AD421" s="190">
        <f t="shared" si="262"/>
        <v>-30.43432582458399</v>
      </c>
      <c r="AE421" s="169">
        <f t="shared" si="263"/>
        <v>30.698075011856663</v>
      </c>
      <c r="AF421" s="98" t="str">
        <f t="shared" si="249"/>
        <v>-0.0000119284294234592</v>
      </c>
      <c r="AG421" s="98" t="str">
        <f t="shared" si="250"/>
        <v>0.0121408152684224i</v>
      </c>
      <c r="AH421" s="98">
        <f t="shared" si="264"/>
        <v>1.21408152684224E-2</v>
      </c>
      <c r="AI421" s="98">
        <f t="shared" si="265"/>
        <v>1.5707963267948966</v>
      </c>
      <c r="AJ421" s="98" t="str">
        <f t="shared" si="251"/>
        <v>1+0.665303158690196i</v>
      </c>
      <c r="AK421" s="98">
        <f t="shared" si="266"/>
        <v>1.201094622818349</v>
      </c>
      <c r="AL421" s="98">
        <f t="shared" si="267"/>
        <v>0.58705804234456027</v>
      </c>
      <c r="AM421" s="98" t="str">
        <f t="shared" si="252"/>
        <v>1+363.557935171524i</v>
      </c>
      <c r="AN421" s="98">
        <f t="shared" si="268"/>
        <v>363.55931046554429</v>
      </c>
      <c r="AO421" s="98">
        <f t="shared" si="269"/>
        <v>1.5680457404884292</v>
      </c>
      <c r="AP421" s="168" t="str">
        <f t="shared" si="270"/>
        <v>-0.247149149060783+0.165411615997122i</v>
      </c>
      <c r="AQ421" s="98">
        <f t="shared" si="271"/>
        <v>-10.533330746806321</v>
      </c>
      <c r="AR421" s="169">
        <f t="shared" si="272"/>
        <v>146.20645485789709</v>
      </c>
      <c r="AS421" s="168" t="str">
        <f t="shared" si="273"/>
        <v>-0.00893270616032692+0.000483069774343527i</v>
      </c>
      <c r="AT421" s="190">
        <f t="shared" si="274"/>
        <v>-40.967656571390314</v>
      </c>
      <c r="AU421" s="169">
        <f t="shared" si="275"/>
        <v>176.90452986975376</v>
      </c>
      <c r="AV421" s="225"/>
      <c r="AX421">
        <f t="shared" si="276"/>
        <v>0</v>
      </c>
      <c r="AY421">
        <f t="shared" si="277"/>
        <v>0</v>
      </c>
    </row>
    <row r="422" spans="14:51" x14ac:dyDescent="0.2">
      <c r="N422" s="170">
        <v>4</v>
      </c>
      <c r="O422" s="199">
        <f t="shared" si="278"/>
        <v>109647.81961431868</v>
      </c>
      <c r="P422" s="189" t="str">
        <f t="shared" si="244"/>
        <v>771.276595744681</v>
      </c>
      <c r="Q422" s="160" t="str">
        <f t="shared" si="245"/>
        <v>1+6090.20811141831i</v>
      </c>
      <c r="R422" s="160">
        <f t="shared" si="253"/>
        <v>6090.208193517311</v>
      </c>
      <c r="S422" s="160">
        <f t="shared" si="254"/>
        <v>1.5706321287949732</v>
      </c>
      <c r="T422" s="160" t="str">
        <f t="shared" si="246"/>
        <v>1+0.11463921150905i</v>
      </c>
      <c r="U422" s="160">
        <f t="shared" si="255"/>
        <v>1.0065496256098934</v>
      </c>
      <c r="V422" s="160">
        <f t="shared" si="256"/>
        <v>0.11414093285911048</v>
      </c>
      <c r="W422" s="98" t="str">
        <f t="shared" si="247"/>
        <v>1-0.468477547032175i</v>
      </c>
      <c r="X422" s="160">
        <f t="shared" si="257"/>
        <v>1.1042967047280743</v>
      </c>
      <c r="Y422" s="160">
        <f t="shared" si="258"/>
        <v>-0.43811316430190717</v>
      </c>
      <c r="Z422" s="98" t="str">
        <f t="shared" si="248"/>
        <v>-3.80905773846968-3.20757778056241i</v>
      </c>
      <c r="AA422" s="160">
        <f t="shared" si="259"/>
        <v>4.9797064244143376</v>
      </c>
      <c r="AB422" s="160">
        <f t="shared" si="260"/>
        <v>-2.4417074316939282</v>
      </c>
      <c r="AC422" s="171" t="str">
        <f t="shared" si="261"/>
        <v>0.0241418739003798+0.0147054525169274i</v>
      </c>
      <c r="AD422" s="190">
        <f t="shared" si="262"/>
        <v>-30.97409516689979</v>
      </c>
      <c r="AE422" s="169">
        <f t="shared" si="263"/>
        <v>31.346696953082144</v>
      </c>
      <c r="AF422" s="98" t="str">
        <f t="shared" si="249"/>
        <v>-0.0000119284294234592</v>
      </c>
      <c r="AG422" s="98" t="str">
        <f t="shared" si="250"/>
        <v>0.0124236111847518i</v>
      </c>
      <c r="AH422" s="98">
        <f t="shared" si="264"/>
        <v>1.24236111847518E-2</v>
      </c>
      <c r="AI422" s="98">
        <f t="shared" si="265"/>
        <v>1.5707963267948966</v>
      </c>
      <c r="AJ422" s="98" t="str">
        <f t="shared" si="251"/>
        <v>1+0.680800060029928i</v>
      </c>
      <c r="AK422" s="98">
        <f t="shared" si="266"/>
        <v>1.2097473793055944</v>
      </c>
      <c r="AL422" s="98">
        <f t="shared" si="267"/>
        <v>0.59772354158776886</v>
      </c>
      <c r="AM422" s="98" t="str">
        <f t="shared" si="252"/>
        <v>1+372.026287349081i</v>
      </c>
      <c r="AN422" s="98">
        <f t="shared" si="268"/>
        <v>372.02763133770179</v>
      </c>
      <c r="AO422" s="98">
        <f t="shared" si="269"/>
        <v>1.5681083511716682</v>
      </c>
      <c r="AP422" s="168" t="str">
        <f t="shared" si="270"/>
        <v>-0.243626308642636+0.166820947430719i</v>
      </c>
      <c r="AQ422" s="98">
        <f t="shared" si="271"/>
        <v>-10.595681571269896</v>
      </c>
      <c r="AR422" s="169">
        <f t="shared" si="272"/>
        <v>145.59895409276356</v>
      </c>
      <c r="AS422" s="168" t="str">
        <f t="shared" si="273"/>
        <v>-0.00833477314333681+0.000444735163195722i</v>
      </c>
      <c r="AT422" s="190">
        <f t="shared" si="274"/>
        <v>-41.569776738169686</v>
      </c>
      <c r="AU422" s="169">
        <f t="shared" si="275"/>
        <v>176.94565104584569</v>
      </c>
      <c r="AV422" s="225"/>
      <c r="AX422">
        <f t="shared" si="276"/>
        <v>0</v>
      </c>
      <c r="AY422">
        <f t="shared" si="277"/>
        <v>0</v>
      </c>
    </row>
    <row r="423" spans="14:51" x14ac:dyDescent="0.2">
      <c r="N423" s="170">
        <v>5</v>
      </c>
      <c r="O423" s="199">
        <f t="shared" si="278"/>
        <v>112201.84543019651</v>
      </c>
      <c r="P423" s="189" t="str">
        <f t="shared" si="244"/>
        <v>771.276595744681</v>
      </c>
      <c r="Q423" s="160" t="str">
        <f t="shared" si="245"/>
        <v>1+6232.06728194576i</v>
      </c>
      <c r="R423" s="160">
        <f t="shared" si="253"/>
        <v>6232.0673621759588</v>
      </c>
      <c r="S423" s="160">
        <f t="shared" si="254"/>
        <v>1.5706358663977</v>
      </c>
      <c r="T423" s="160" t="str">
        <f t="shared" si="246"/>
        <v>1+0.117309501777802i</v>
      </c>
      <c r="U423" s="160">
        <f t="shared" si="255"/>
        <v>1.0068572486739895</v>
      </c>
      <c r="V423" s="160">
        <f t="shared" si="256"/>
        <v>0.11677578277849404</v>
      </c>
      <c r="W423" s="98" t="str">
        <f t="shared" si="247"/>
        <v>1-0.479389790918903i</v>
      </c>
      <c r="X423" s="160">
        <f t="shared" si="257"/>
        <v>1.1089700499279813</v>
      </c>
      <c r="Y423" s="160">
        <f t="shared" si="258"/>
        <v>-0.44702391344740317</v>
      </c>
      <c r="Z423" s="98" t="str">
        <f t="shared" si="248"/>
        <v>-4.0357016471767-3.28229186504497i</v>
      </c>
      <c r="AA423" s="160">
        <f t="shared" si="259"/>
        <v>5.2019542166732986</v>
      </c>
      <c r="AB423" s="160">
        <f t="shared" si="260"/>
        <v>-2.4587860957019951</v>
      </c>
      <c r="AC423" s="171" t="str">
        <f t="shared" si="261"/>
        <v>0.022536335116873+0.0140633684754506i</v>
      </c>
      <c r="AD423" s="190">
        <f t="shared" si="262"/>
        <v>-31.514015865233318</v>
      </c>
      <c r="AE423" s="169">
        <f t="shared" si="263"/>
        <v>31.965435633299027</v>
      </c>
      <c r="AF423" s="98" t="str">
        <f t="shared" si="249"/>
        <v>-0.0000119284294234592</v>
      </c>
      <c r="AG423" s="98" t="str">
        <f t="shared" si="250"/>
        <v>0.0127129942641773i</v>
      </c>
      <c r="AH423" s="98">
        <f t="shared" si="264"/>
        <v>1.27129942641773E-2</v>
      </c>
      <c r="AI423" s="98">
        <f t="shared" si="265"/>
        <v>1.5707963267948966</v>
      </c>
      <c r="AJ423" s="98" t="str">
        <f t="shared" si="251"/>
        <v>1+0.696657930572943i</v>
      </c>
      <c r="AK423" s="98">
        <f t="shared" si="266"/>
        <v>1.218742086017454</v>
      </c>
      <c r="AL423" s="98">
        <f t="shared" si="267"/>
        <v>0.608479441281782</v>
      </c>
      <c r="AM423" s="98" t="str">
        <f t="shared" si="252"/>
        <v>1+380.691892788541i</v>
      </c>
      <c r="AN423" s="98">
        <f t="shared" si="268"/>
        <v>380.69320618435262</v>
      </c>
      <c r="AO423" s="98">
        <f t="shared" si="269"/>
        <v>1.5681695366821227</v>
      </c>
      <c r="AP423" s="168" t="str">
        <f t="shared" si="270"/>
        <v>-0.240043498470222+0.168166493276188i</v>
      </c>
      <c r="AQ423" s="98">
        <f t="shared" si="271"/>
        <v>-10.660025356198666</v>
      </c>
      <c r="AR423" s="169">
        <f t="shared" si="272"/>
        <v>144.98619210694685</v>
      </c>
      <c r="AS423" s="168" t="str">
        <f t="shared" si="273"/>
        <v>-0.00777468808431893+0.000414036278778548i</v>
      </c>
      <c r="AT423" s="190">
        <f t="shared" si="274"/>
        <v>-42.174041221431992</v>
      </c>
      <c r="AU423" s="169">
        <f t="shared" si="275"/>
        <v>176.95162774024584</v>
      </c>
      <c r="AV423" s="225"/>
      <c r="AX423">
        <f t="shared" si="276"/>
        <v>0</v>
      </c>
      <c r="AY423">
        <f t="shared" si="277"/>
        <v>0</v>
      </c>
    </row>
    <row r="424" spans="14:51" x14ac:dyDescent="0.2">
      <c r="N424" s="170">
        <v>6</v>
      </c>
      <c r="O424" s="199">
        <f t="shared" si="278"/>
        <v>114815.36214968823</v>
      </c>
      <c r="P424" s="189" t="str">
        <f t="shared" si="244"/>
        <v>771.276595744681</v>
      </c>
      <c r="Q424" s="160" t="str">
        <f t="shared" si="245"/>
        <v>1+6377.23077703725i</v>
      </c>
      <c r="R424" s="160">
        <f t="shared" si="253"/>
        <v>6377.2308554411866</v>
      </c>
      <c r="S424" s="160">
        <f t="shared" si="254"/>
        <v>1.570639518922206</v>
      </c>
      <c r="T424" s="160" t="str">
        <f t="shared" si="246"/>
        <v>1+0.120041991097171i</v>
      </c>
      <c r="U424" s="160">
        <f t="shared" si="255"/>
        <v>1.007179268862586</v>
      </c>
      <c r="V424" s="160">
        <f t="shared" si="256"/>
        <v>0.11947032082173102</v>
      </c>
      <c r="W424" s="98" t="str">
        <f t="shared" si="247"/>
        <v>1-0.490556213618248i</v>
      </c>
      <c r="X424" s="160">
        <f t="shared" si="257"/>
        <v>1.1138426274476445</v>
      </c>
      <c r="Y424" s="160">
        <f t="shared" si="258"/>
        <v>-0.45606407782635711</v>
      </c>
      <c r="Z424" s="98" t="str">
        <f t="shared" si="248"/>
        <v>-4.27302695422563-3.35874626412064i</v>
      </c>
      <c r="AA424" s="160">
        <f t="shared" si="259"/>
        <v>5.4350653922729499</v>
      </c>
      <c r="AB424" s="160">
        <f t="shared" si="260"/>
        <v>-2.4754255090003348</v>
      </c>
      <c r="AC424" s="171" t="str">
        <f t="shared" si="261"/>
        <v>0.0210410346576447+0.013433039011616i</v>
      </c>
      <c r="AD424" s="190">
        <f t="shared" si="262"/>
        <v>-32.053922937770729</v>
      </c>
      <c r="AE424" s="169">
        <f t="shared" si="263"/>
        <v>32.555016907225294</v>
      </c>
      <c r="AF424" s="98" t="str">
        <f t="shared" si="249"/>
        <v>-0.0000119284294234592</v>
      </c>
      <c r="AG424" s="98" t="str">
        <f t="shared" si="250"/>
        <v>0.0130091179414381i</v>
      </c>
      <c r="AH424" s="98">
        <f t="shared" si="264"/>
        <v>1.30091179414381E-2</v>
      </c>
      <c r="AI424" s="98">
        <f t="shared" si="265"/>
        <v>1.5707963267948966</v>
      </c>
      <c r="AJ424" s="98" t="str">
        <f t="shared" si="251"/>
        <v>1+0.712885178372102i</v>
      </c>
      <c r="AK424" s="98">
        <f t="shared" si="266"/>
        <v>1.2280900934144139</v>
      </c>
      <c r="AL424" s="98">
        <f t="shared" si="267"/>
        <v>0.61932148964100575</v>
      </c>
      <c r="AM424" s="98" t="str">
        <f t="shared" si="252"/>
        <v>1+389.559346108609i</v>
      </c>
      <c r="AN424" s="98">
        <f t="shared" si="268"/>
        <v>389.56062960798164</v>
      </c>
      <c r="AO424" s="98">
        <f t="shared" si="269"/>
        <v>1.5682293294593264</v>
      </c>
      <c r="AP424" s="168" t="str">
        <f t="shared" si="270"/>
        <v>-0.236403068153815+0.16944517178733i</v>
      </c>
      <c r="AQ424" s="98">
        <f t="shared" si="271"/>
        <v>-10.726395094462376</v>
      </c>
      <c r="AR424" s="169">
        <f t="shared" si="272"/>
        <v>144.36841436846561</v>
      </c>
      <c r="AS424" s="168" t="str">
        <f t="shared" si="273"/>
        <v>-0.00725032875314714+0.000389690095171858i</v>
      </c>
      <c r="AT424" s="190">
        <f t="shared" si="274"/>
        <v>-42.780318032233104</v>
      </c>
      <c r="AU424" s="169">
        <f t="shared" si="275"/>
        <v>176.92343127569089</v>
      </c>
      <c r="AV424" s="225"/>
      <c r="AX424">
        <f t="shared" si="276"/>
        <v>0</v>
      </c>
      <c r="AY424">
        <f t="shared" si="277"/>
        <v>0</v>
      </c>
    </row>
    <row r="425" spans="14:51" x14ac:dyDescent="0.2">
      <c r="N425" s="170">
        <v>7</v>
      </c>
      <c r="O425" s="199">
        <f t="shared" si="278"/>
        <v>117489.75549395311</v>
      </c>
      <c r="P425" s="189" t="str">
        <f t="shared" si="244"/>
        <v>771.276595744681</v>
      </c>
      <c r="Q425" s="160" t="str">
        <f t="shared" si="245"/>
        <v>1+6525.77556429938i</v>
      </c>
      <c r="R425" s="160">
        <f t="shared" si="253"/>
        <v>6525.775640918625</v>
      </c>
      <c r="S425" s="160">
        <f t="shared" si="254"/>
        <v>1.5706430883051079</v>
      </c>
      <c r="T425" s="160" t="str">
        <f t="shared" si="246"/>
        <v>1+0.122838128269164i</v>
      </c>
      <c r="U425" s="160">
        <f t="shared" si="255"/>
        <v>1.0075163550814803</v>
      </c>
      <c r="V425" s="160">
        <f t="shared" si="256"/>
        <v>0.12222581907402283</v>
      </c>
      <c r="W425" s="98" t="str">
        <f t="shared" si="247"/>
        <v>1-0.501982735715334i</v>
      </c>
      <c r="X425" s="160">
        <f t="shared" si="257"/>
        <v>1.1189221004861112</v>
      </c>
      <c r="Y425" s="160">
        <f t="shared" si="258"/>
        <v>-0.46523253924578128</v>
      </c>
      <c r="Z425" s="98" t="str">
        <f t="shared" si="248"/>
        <v>-4.52153705841156-3.43698151492382i</v>
      </c>
      <c r="AA425" s="160">
        <f t="shared" si="259"/>
        <v>5.6795368917295628</v>
      </c>
      <c r="AB425" s="160">
        <f t="shared" si="260"/>
        <v>-2.491636224191367</v>
      </c>
      <c r="AC425" s="171" t="str">
        <f t="shared" si="261"/>
        <v>0.0196487659662999+0.0128167786283028i</v>
      </c>
      <c r="AD425" s="190">
        <f t="shared" si="262"/>
        <v>-32.593659072614614</v>
      </c>
      <c r="AE425" s="169">
        <f t="shared" si="263"/>
        <v>33.11618223633473</v>
      </c>
      <c r="AF425" s="98" t="str">
        <f t="shared" si="249"/>
        <v>-0.0000119284294234592</v>
      </c>
      <c r="AG425" s="98" t="str">
        <f t="shared" si="250"/>
        <v>0.0133121392252274i</v>
      </c>
      <c r="AH425" s="98">
        <f t="shared" si="264"/>
        <v>1.33121392252274E-2</v>
      </c>
      <c r="AI425" s="98">
        <f t="shared" si="265"/>
        <v>1.5707963267948966</v>
      </c>
      <c r="AJ425" s="98" t="str">
        <f t="shared" si="251"/>
        <v>1+0.729490407328989i</v>
      </c>
      <c r="AK425" s="98">
        <f t="shared" si="266"/>
        <v>1.2378029949814366</v>
      </c>
      <c r="AL425" s="98">
        <f t="shared" si="267"/>
        <v>0.63024523953622968</v>
      </c>
      <c r="AM425" s="98" t="str">
        <f t="shared" si="252"/>
        <v>1+398.633348950414i</v>
      </c>
      <c r="AN425" s="98">
        <f t="shared" si="268"/>
        <v>398.63460323386693</v>
      </c>
      <c r="AO425" s="98">
        <f t="shared" si="269"/>
        <v>1.5682877612044905</v>
      </c>
      <c r="AP425" s="168" t="str">
        <f t="shared" si="270"/>
        <v>-0.232707567518932+0.170653994758623i</v>
      </c>
      <c r="AQ425" s="98">
        <f t="shared" si="271"/>
        <v>-10.794822404493004</v>
      </c>
      <c r="AR425" s="169">
        <f t="shared" si="272"/>
        <v>143.74587749540038</v>
      </c>
      <c r="AS425" s="168" t="str">
        <f t="shared" si="273"/>
        <v>-0.00675965100562325+0.000370579026205374i</v>
      </c>
      <c r="AT425" s="190">
        <f t="shared" si="274"/>
        <v>-43.388481477107618</v>
      </c>
      <c r="AU425" s="169">
        <f t="shared" si="275"/>
        <v>176.86205973173512</v>
      </c>
      <c r="AV425" s="225"/>
      <c r="AX425">
        <f t="shared" si="276"/>
        <v>0</v>
      </c>
      <c r="AY425">
        <f t="shared" si="277"/>
        <v>0</v>
      </c>
    </row>
    <row r="426" spans="14:51" x14ac:dyDescent="0.2">
      <c r="N426" s="170">
        <v>8</v>
      </c>
      <c r="O426" s="199">
        <f t="shared" si="278"/>
        <v>120226.44346174144</v>
      </c>
      <c r="P426" s="189" t="str">
        <f t="shared" si="244"/>
        <v>771.276595744681</v>
      </c>
      <c r="Q426" s="160" t="str">
        <f t="shared" si="245"/>
        <v>1+6677.78040414454i</v>
      </c>
      <c r="R426" s="160">
        <f t="shared" si="253"/>
        <v>6677.7804790197179</v>
      </c>
      <c r="S426" s="160">
        <f t="shared" si="254"/>
        <v>1.5706465764389395</v>
      </c>
      <c r="T426" s="160" t="str">
        <f t="shared" si="246"/>
        <v>1+0.12569939584272i</v>
      </c>
      <c r="U426" s="160">
        <f t="shared" si="255"/>
        <v>1.0078692068493931</v>
      </c>
      <c r="V426" s="160">
        <f t="shared" si="256"/>
        <v>0.12504357107228853</v>
      </c>
      <c r="W426" s="98" t="str">
        <f t="shared" si="247"/>
        <v>1-0.513675415703423i</v>
      </c>
      <c r="X426" s="160">
        <f t="shared" si="257"/>
        <v>1.1242163638277485</v>
      </c>
      <c r="Y426" s="160">
        <f t="shared" si="258"/>
        <v>-0.47452799233855392</v>
      </c>
      <c r="Z426" s="98" t="str">
        <f t="shared" si="248"/>
        <v>-4.78175908298373-3.51703909882003i</v>
      </c>
      <c r="AA426" s="160">
        <f t="shared" si="259"/>
        <v>5.9358894826576929</v>
      </c>
      <c r="AB426" s="160">
        <f t="shared" si="260"/>
        <v>-2.507428810299742</v>
      </c>
      <c r="AC426" s="171" t="str">
        <f t="shared" si="261"/>
        <v>0.0183526916529145+0.0122164529241441i</v>
      </c>
      <c r="AD426" s="190">
        <f t="shared" si="262"/>
        <v>-33.133074253784329</v>
      </c>
      <c r="AE426" s="169">
        <f t="shared" si="263"/>
        <v>33.649685978932119</v>
      </c>
      <c r="AF426" s="98" t="str">
        <f t="shared" si="249"/>
        <v>-0.0000119284294234592</v>
      </c>
      <c r="AG426" s="98" t="str">
        <f t="shared" si="250"/>
        <v>0.013622218781441i</v>
      </c>
      <c r="AH426" s="98">
        <f t="shared" si="264"/>
        <v>1.3622218781441001E-2</v>
      </c>
      <c r="AI426" s="98">
        <f t="shared" si="265"/>
        <v>1.5707963267948966</v>
      </c>
      <c r="AJ426" s="98" t="str">
        <f t="shared" si="251"/>
        <v>1+0.746482421755787i</v>
      </c>
      <c r="AK426" s="98">
        <f t="shared" si="266"/>
        <v>1.2478926259860601</v>
      </c>
      <c r="AL426" s="98">
        <f t="shared" si="267"/>
        <v>0.6412460550155672</v>
      </c>
      <c r="AM426" s="98" t="str">
        <f t="shared" si="252"/>
        <v>1+407.918712470367i</v>
      </c>
      <c r="AN426" s="98">
        <f t="shared" si="268"/>
        <v>407.9199382029297</v>
      </c>
      <c r="AO426" s="98">
        <f t="shared" si="269"/>
        <v>1.5683448628973027</v>
      </c>
      <c r="AP426" s="168" t="str">
        <f t="shared" si="270"/>
        <v>-0.228959742547242+0.171790082904899i</v>
      </c>
      <c r="AQ426" s="98">
        <f t="shared" si="271"/>
        <v>-10.865337419057244</v>
      </c>
      <c r="AR426" s="169">
        <f t="shared" si="272"/>
        <v>143.11884888323328</v>
      </c>
      <c r="AS426" s="168" t="str">
        <f t="shared" si="273"/>
        <v>-0.00630069301654273+0.000355734504229695i</v>
      </c>
      <c r="AT426" s="190">
        <f t="shared" si="274"/>
        <v>-43.998411672841577</v>
      </c>
      <c r="AU426" s="169">
        <f t="shared" si="275"/>
        <v>176.76853486216544</v>
      </c>
      <c r="AV426" s="225"/>
      <c r="AX426">
        <f t="shared" si="276"/>
        <v>0</v>
      </c>
      <c r="AY426">
        <f t="shared" si="277"/>
        <v>0</v>
      </c>
    </row>
    <row r="427" spans="14:51" x14ac:dyDescent="0.2">
      <c r="N427" s="170">
        <v>9</v>
      </c>
      <c r="O427" s="199">
        <f t="shared" si="278"/>
        <v>123026.87708123829</v>
      </c>
      <c r="P427" s="189" t="str">
        <f t="shared" si="244"/>
        <v>771.276595744681</v>
      </c>
      <c r="Q427" s="160" t="str">
        <f t="shared" si="245"/>
        <v>1+6833.32589155084i</v>
      </c>
      <c r="R427" s="160">
        <f t="shared" si="253"/>
        <v>6833.325964721651</v>
      </c>
      <c r="S427" s="160">
        <f t="shared" si="254"/>
        <v>1.5706499851731546</v>
      </c>
      <c r="T427" s="160" t="str">
        <f t="shared" si="246"/>
        <v>1+0.12862731089978i</v>
      </c>
      <c r="U427" s="160">
        <f t="shared" si="255"/>
        <v>1.008238555655014</v>
      </c>
      <c r="V427" s="160">
        <f t="shared" si="256"/>
        <v>0.1279248917527859</v>
      </c>
      <c r="W427" s="98" t="str">
        <f t="shared" si="247"/>
        <v>1-0.525640453196216i</v>
      </c>
      <c r="X427" s="160">
        <f t="shared" si="257"/>
        <v>1.1297335464773646</v>
      </c>
      <c r="Y427" s="160">
        <f t="shared" si="258"/>
        <v>-0.48394893934037964</v>
      </c>
      <c r="Z427" s="98" t="str">
        <f t="shared" si="248"/>
        <v>-5.05424499374485-3.59896146339996i</v>
      </c>
      <c r="AA427" s="160">
        <f t="shared" si="259"/>
        <v>6.2046688930057217</v>
      </c>
      <c r="AB427" s="160">
        <f t="shared" si="260"/>
        <v>-2.5228138068744066</v>
      </c>
      <c r="AC427" s="171" t="str">
        <f t="shared" si="261"/>
        <v>0.0171463432164728+0.0116335320256862i</v>
      </c>
      <c r="AD427" s="190">
        <f t="shared" si="262"/>
        <v>-33.672025393652085</v>
      </c>
      <c r="AE427" s="169">
        <f t="shared" si="263"/>
        <v>34.156293056594812</v>
      </c>
      <c r="AF427" s="98" t="str">
        <f t="shared" si="249"/>
        <v>-0.0000119284294234592</v>
      </c>
      <c r="AG427" s="98" t="str">
        <f t="shared" si="250"/>
        <v>0.0139395210183638i</v>
      </c>
      <c r="AH427" s="98">
        <f t="shared" si="264"/>
        <v>1.39395210183638E-2</v>
      </c>
      <c r="AI427" s="98">
        <f t="shared" si="265"/>
        <v>1.5707963267948966</v>
      </c>
      <c r="AJ427" s="98" t="str">
        <f t="shared" si="251"/>
        <v>1+0.763870231043463i</v>
      </c>
      <c r="AK427" s="98">
        <f t="shared" si="266"/>
        <v>1.2583710620776343</v>
      </c>
      <c r="AL427" s="98">
        <f t="shared" si="267"/>
        <v>0.65231911881595439</v>
      </c>
      <c r="AM427" s="98" t="str">
        <f t="shared" si="252"/>
        <v>1+417.420359891114i</v>
      </c>
      <c r="AN427" s="98">
        <f t="shared" si="268"/>
        <v>417.42155772267819</v>
      </c>
      <c r="AO427" s="98">
        <f t="shared" si="269"/>
        <v>1.5684006648123459</v>
      </c>
      <c r="AP427" s="168" t="str">
        <f t="shared" si="270"/>
        <v>-0.225162529942582+0.172850681122595i</v>
      </c>
      <c r="AQ427" s="98">
        <f t="shared" si="271"/>
        <v>-10.937968676689371</v>
      </c>
      <c r="AR427" s="169">
        <f t="shared" si="272"/>
        <v>142.4876062754127</v>
      </c>
      <c r="AS427" s="168" t="str">
        <f t="shared" si="273"/>
        <v>-0.00587157795238623+0.000344321600657554i</v>
      </c>
      <c r="AT427" s="190">
        <f t="shared" si="274"/>
        <v>-44.60999407034145</v>
      </c>
      <c r="AU427" s="169">
        <f t="shared" si="275"/>
        <v>176.64389933200749</v>
      </c>
      <c r="AV427" s="225"/>
      <c r="AX427">
        <f t="shared" si="276"/>
        <v>0</v>
      </c>
      <c r="AY427">
        <f t="shared" si="277"/>
        <v>0</v>
      </c>
    </row>
    <row r="428" spans="14:51" x14ac:dyDescent="0.2">
      <c r="N428" s="170">
        <v>10</v>
      </c>
      <c r="O428" s="199">
        <f t="shared" si="278"/>
        <v>125892.54117941685</v>
      </c>
      <c r="P428" s="189" t="str">
        <f t="shared" si="244"/>
        <v>771.276595744681</v>
      </c>
      <c r="Q428" s="160" t="str">
        <f t="shared" si="245"/>
        <v>1+6992.49449879462i</v>
      </c>
      <c r="R428" s="160">
        <f t="shared" si="253"/>
        <v>6992.4945702998602</v>
      </c>
      <c r="S428" s="160">
        <f t="shared" si="254"/>
        <v>1.5706533163151093</v>
      </c>
      <c r="T428" s="160" t="str">
        <f t="shared" si="246"/>
        <v>1+0.131623425859663i</v>
      </c>
      <c r="U428" s="160">
        <f t="shared" si="255"/>
        <v>1.0086251663700614</v>
      </c>
      <c r="V428" s="160">
        <f t="shared" si="256"/>
        <v>0.13087111736189061</v>
      </c>
      <c r="W428" s="98" t="str">
        <f t="shared" si="247"/>
        <v>1-0.537884192214968i</v>
      </c>
      <c r="X428" s="160">
        <f t="shared" si="257"/>
        <v>1.1354820140516311</v>
      </c>
      <c r="Y428" s="160">
        <f t="shared" si="258"/>
        <v>-0.4934936852967291</v>
      </c>
      <c r="Z428" s="98" t="str">
        <f t="shared" si="248"/>
        <v>-5.33957276984448-3.68279204498566i</v>
      </c>
      <c r="AA428" s="160">
        <f t="shared" si="259"/>
        <v>6.4864469943933338</v>
      </c>
      <c r="AB428" s="160">
        <f t="shared" si="260"/>
        <v>-2.5378016844637141</v>
      </c>
      <c r="AC428" s="171" t="str">
        <f t="shared" si="261"/>
        <v>0.0160236168906904+0.0110691395416778i</v>
      </c>
      <c r="AD428" s="190">
        <f t="shared" si="262"/>
        <v>-34.210375976107066</v>
      </c>
      <c r="AE428" s="169">
        <f t="shared" si="263"/>
        <v>34.636776959017581</v>
      </c>
      <c r="AF428" s="98" t="str">
        <f t="shared" si="249"/>
        <v>-0.0000119284294234592</v>
      </c>
      <c r="AG428" s="98" t="str">
        <f t="shared" si="250"/>
        <v>0.014264214173842i</v>
      </c>
      <c r="AH428" s="98">
        <f t="shared" si="264"/>
        <v>1.4264214173842001E-2</v>
      </c>
      <c r="AI428" s="98">
        <f t="shared" si="265"/>
        <v>1.5707963267948966</v>
      </c>
      <c r="AJ428" s="98" t="str">
        <f t="shared" si="251"/>
        <v>1+0.781663054438657i</v>
      </c>
      <c r="AK428" s="98">
        <f t="shared" si="266"/>
        <v>1.2692506177561509</v>
      </c>
      <c r="AL428" s="98">
        <f t="shared" si="267"/>
        <v>0.66345944085301645</v>
      </c>
      <c r="AM428" s="98" t="str">
        <f t="shared" si="252"/>
        <v>1+427.143329111887i</v>
      </c>
      <c r="AN428" s="98">
        <f t="shared" si="268"/>
        <v>427.14449967755149</v>
      </c>
      <c r="AO428" s="98">
        <f t="shared" si="269"/>
        <v>1.568455196535143</v>
      </c>
      <c r="AP428" s="168" t="str">
        <f t="shared" si="270"/>
        <v>-0.2213190503124+0.173833173493018i</v>
      </c>
      <c r="AQ428" s="98">
        <f t="shared" si="271"/>
        <v>-11.012743016561132</v>
      </c>
      <c r="AR428" s="169">
        <f t="shared" si="272"/>
        <v>141.85243727783842</v>
      </c>
      <c r="AS428" s="168" t="str">
        <f t="shared" si="273"/>
        <v>-0.00547051532718423+0.000335624723805473i</v>
      </c>
      <c r="AT428" s="190">
        <f t="shared" si="274"/>
        <v>-45.223118992668205</v>
      </c>
      <c r="AU428" s="169">
        <f t="shared" si="275"/>
        <v>176.48921423685599</v>
      </c>
      <c r="AV428" s="225"/>
      <c r="AX428">
        <f t="shared" si="276"/>
        <v>0</v>
      </c>
      <c r="AY428">
        <f t="shared" si="277"/>
        <v>0</v>
      </c>
    </row>
    <row r="429" spans="14:51" x14ac:dyDescent="0.2">
      <c r="N429" s="170">
        <v>11</v>
      </c>
      <c r="O429" s="199">
        <f t="shared" si="278"/>
        <v>128824.95516931375</v>
      </c>
      <c r="P429" s="189" t="str">
        <f t="shared" si="244"/>
        <v>771.276595744681</v>
      </c>
      <c r="Q429" s="160" t="str">
        <f t="shared" si="245"/>
        <v>1+7155.37061917827i</v>
      </c>
      <c r="R429" s="160">
        <f t="shared" si="253"/>
        <v>7155.3706890558533</v>
      </c>
      <c r="S429" s="160">
        <f t="shared" si="254"/>
        <v>1.5706565716310188</v>
      </c>
      <c r="T429" s="160" t="str">
        <f t="shared" si="246"/>
        <v>1+0.134689329302179i</v>
      </c>
      <c r="U429" s="160">
        <f t="shared" si="255"/>
        <v>1.0090298387202783</v>
      </c>
      <c r="V429" s="160">
        <f t="shared" si="256"/>
        <v>0.13388360532707858</v>
      </c>
      <c r="W429" s="98" t="str">
        <f t="shared" si="247"/>
        <v>1-0.550413124552172i</v>
      </c>
      <c r="X429" s="160">
        <f t="shared" si="257"/>
        <v>1.1414703709160763</v>
      </c>
      <c r="Y429" s="160">
        <f t="shared" si="258"/>
        <v>-0.50316033375484648</v>
      </c>
      <c r="Z429" s="98" t="str">
        <f t="shared" si="248"/>
        <v>-5.63834762975028-3.76857529166114i</v>
      </c>
      <c r="AA429" s="160">
        <f t="shared" si="259"/>
        <v>6.781823038300943</v>
      </c>
      <c r="AB429" s="160">
        <f t="shared" si="260"/>
        <v>-2.5524028108738657</v>
      </c>
      <c r="AC429" s="171" t="str">
        <f t="shared" si="261"/>
        <v>0.0149787663684318+0.0105240971483254i</v>
      </c>
      <c r="AD429" s="190">
        <f t="shared" si="262"/>
        <v>-34.747995713819208</v>
      </c>
      <c r="AE429" s="169">
        <f t="shared" si="263"/>
        <v>35.091918050146155</v>
      </c>
      <c r="AF429" s="98" t="str">
        <f t="shared" si="249"/>
        <v>-0.0000119284294234592</v>
      </c>
      <c r="AG429" s="98" t="str">
        <f t="shared" si="250"/>
        <v>0.0145964704044843i</v>
      </c>
      <c r="AH429" s="98">
        <f t="shared" si="264"/>
        <v>1.45964704044843E-2</v>
      </c>
      <c r="AI429" s="98">
        <f t="shared" si="265"/>
        <v>1.5707963267948966</v>
      </c>
      <c r="AJ429" s="98" t="str">
        <f t="shared" si="251"/>
        <v>1+0.799870325931848i</v>
      </c>
      <c r="AK429" s="98">
        <f t="shared" si="266"/>
        <v>1.2805438447418818</v>
      </c>
      <c r="AL429" s="98">
        <f t="shared" si="267"/>
        <v>0.67466186766805436</v>
      </c>
      <c r="AM429" s="98" t="str">
        <f t="shared" si="252"/>
        <v>1+437.092775379667i</v>
      </c>
      <c r="AN429" s="98">
        <f t="shared" si="268"/>
        <v>437.09391930007445</v>
      </c>
      <c r="AO429" s="98">
        <f t="shared" si="269"/>
        <v>1.5685084869778376</v>
      </c>
      <c r="AP429" s="168" t="str">
        <f t="shared" si="270"/>
        <v>-0.217432599970919+0.17473509788474i</v>
      </c>
      <c r="AQ429" s="98">
        <f t="shared" si="271"/>
        <v>-11.089685477562735</v>
      </c>
      <c r="AR429" s="169">
        <f t="shared" si="272"/>
        <v>141.21363881848757</v>
      </c>
      <c r="AS429" s="168" t="str">
        <f t="shared" si="273"/>
        <v>-0.00509580126120624+0.000329034402273656i</v>
      </c>
      <c r="AT429" s="190">
        <f t="shared" si="274"/>
        <v>-45.837681191381932</v>
      </c>
      <c r="AU429" s="169">
        <f t="shared" si="275"/>
        <v>176.30555686863374</v>
      </c>
      <c r="AV429" s="225"/>
      <c r="AX429">
        <f t="shared" si="276"/>
        <v>0</v>
      </c>
      <c r="AY429">
        <f t="shared" si="277"/>
        <v>0</v>
      </c>
    </row>
    <row r="430" spans="14:51" x14ac:dyDescent="0.2">
      <c r="N430" s="170">
        <v>12</v>
      </c>
      <c r="O430" s="199">
        <f t="shared" si="278"/>
        <v>131825.67385564081</v>
      </c>
      <c r="P430" s="189" t="str">
        <f t="shared" si="244"/>
        <v>771.276595744681</v>
      </c>
      <c r="Q430" s="160" t="str">
        <f t="shared" si="245"/>
        <v>1+7322.0406117767i</v>
      </c>
      <c r="R430" s="160">
        <f t="shared" si="253"/>
        <v>7322.0406800636747</v>
      </c>
      <c r="S430" s="160">
        <f t="shared" si="254"/>
        <v>1.5706597528468944</v>
      </c>
      <c r="T430" s="160" t="str">
        <f t="shared" si="246"/>
        <v>1+0.137826646809914i</v>
      </c>
      <c r="U430" s="160">
        <f t="shared" si="255"/>
        <v>1.0094534088163083</v>
      </c>
      <c r="V430" s="160">
        <f t="shared" si="256"/>
        <v>0.13696373408498244</v>
      </c>
      <c r="W430" s="98" t="str">
        <f t="shared" si="247"/>
        <v>1-0.56323389321359i</v>
      </c>
      <c r="X430" s="160">
        <f t="shared" si="257"/>
        <v>1.1477074620584018</v>
      </c>
      <c r="Y430" s="160">
        <f t="shared" si="258"/>
        <v>-0.51294678299625263</v>
      </c>
      <c r="Z430" s="98" t="str">
        <f t="shared" si="248"/>
        <v>-5.95120331499752-3.85635668683924i</v>
      </c>
      <c r="AA430" s="160">
        <f t="shared" si="259"/>
        <v>7.0914249479612481</v>
      </c>
      <c r="AB430" s="160">
        <f t="shared" si="260"/>
        <v>-2.566627422644733</v>
      </c>
      <c r="AC430" s="171" t="str">
        <f t="shared" si="261"/>
        <v>0.0140063930659782+0.0099989649731915i</v>
      </c>
      <c r="AD430" s="190">
        <f t="shared" si="262"/>
        <v>-35.284760222154304</v>
      </c>
      <c r="AE430" s="169">
        <f t="shared" si="263"/>
        <v>35.522502139818656</v>
      </c>
      <c r="AF430" s="98" t="str">
        <f t="shared" si="249"/>
        <v>-0.0000119284294234592</v>
      </c>
      <c r="AG430" s="98" t="str">
        <f t="shared" si="250"/>
        <v>0.0149364658769422i</v>
      </c>
      <c r="AH430" s="98">
        <f t="shared" si="264"/>
        <v>1.4936465876942201E-2</v>
      </c>
      <c r="AI430" s="98">
        <f t="shared" si="265"/>
        <v>1.5707963267948966</v>
      </c>
      <c r="AJ430" s="98" t="str">
        <f t="shared" si="251"/>
        <v>1+0.818501699259381i</v>
      </c>
      <c r="AK430" s="98">
        <f t="shared" si="266"/>
        <v>1.2922635302795225</v>
      </c>
      <c r="AL430" s="98">
        <f t="shared" si="267"/>
        <v>0.68592109280159652</v>
      </c>
      <c r="AM430" s="98" t="str">
        <f t="shared" si="252"/>
        <v>1+447.273974022558i</v>
      </c>
      <c r="AN430" s="98">
        <f t="shared" si="268"/>
        <v>447.27509190422381</v>
      </c>
      <c r="AO430" s="98">
        <f t="shared" si="269"/>
        <v>1.5685605643945164</v>
      </c>
      <c r="AP430" s="168" t="str">
        <f t="shared" si="270"/>
        <v>-0.213506641386826+0.175554160010799i</v>
      </c>
      <c r="AQ430" s="98">
        <f t="shared" si="271"/>
        <v>-11.168819202363945</v>
      </c>
      <c r="AR430" s="169">
        <f t="shared" si="272"/>
        <v>140.57151655393145</v>
      </c>
      <c r="AS430" s="168" t="str">
        <f t="shared" si="273"/>
        <v>-0.00474581783830677+0.00032403514070825i</v>
      </c>
      <c r="AT430" s="190">
        <f t="shared" si="274"/>
        <v>-46.453579424518246</v>
      </c>
      <c r="AU430" s="169">
        <f t="shared" si="275"/>
        <v>176.09401869375012</v>
      </c>
      <c r="AV430" s="225"/>
      <c r="AX430">
        <f t="shared" si="276"/>
        <v>0</v>
      </c>
      <c r="AY430">
        <f t="shared" si="277"/>
        <v>0</v>
      </c>
    </row>
    <row r="431" spans="14:51" x14ac:dyDescent="0.2">
      <c r="N431" s="170">
        <v>13</v>
      </c>
      <c r="O431" s="199">
        <f t="shared" si="278"/>
        <v>134896.28825916545</v>
      </c>
      <c r="P431" s="189" t="str">
        <f t="shared" si="244"/>
        <v>771.276595744681</v>
      </c>
      <c r="Q431" s="160" t="str">
        <f t="shared" si="245"/>
        <v>1+7492.59284722619i</v>
      </c>
      <c r="R431" s="160">
        <f t="shared" si="253"/>
        <v>7492.5929139587633</v>
      </c>
      <c r="S431" s="160">
        <f t="shared" si="254"/>
        <v>1.5706628616494587</v>
      </c>
      <c r="T431" s="160" t="str">
        <f t="shared" si="246"/>
        <v>1+0.14103704183014i</v>
      </c>
      <c r="U431" s="160">
        <f t="shared" si="255"/>
        <v>1.0098967507464298</v>
      </c>
      <c r="V431" s="160">
        <f t="shared" si="256"/>
        <v>0.14011290286322531</v>
      </c>
      <c r="W431" s="98" t="str">
        <f t="shared" si="247"/>
        <v>1-0.576353295940473i</v>
      </c>
      <c r="X431" s="160">
        <f t="shared" si="257"/>
        <v>1.1542023746906114</v>
      </c>
      <c r="Y431" s="160">
        <f t="shared" si="258"/>
        <v>-0.52285072286498546</v>
      </c>
      <c r="Z431" s="98" t="str">
        <f t="shared" si="248"/>
        <v>-6.27880343443995-3.94618277337762i</v>
      </c>
      <c r="AA431" s="160">
        <f t="shared" si="259"/>
        <v>7.415910668908924</v>
      </c>
      <c r="AB431" s="160">
        <f t="shared" si="260"/>
        <v>-2.5804856012063406</v>
      </c>
      <c r="AC431" s="171" t="str">
        <f t="shared" si="261"/>
        <v>0.0131014345000617+0.00949407798729438i</v>
      </c>
      <c r="AD431" s="190">
        <f t="shared" si="262"/>
        <v>-35.820550711578655</v>
      </c>
      <c r="AE431" s="169">
        <f t="shared" si="263"/>
        <v>35.929319286809253</v>
      </c>
      <c r="AF431" s="98" t="str">
        <f t="shared" si="249"/>
        <v>-0.0000119284294234592</v>
      </c>
      <c r="AG431" s="98" t="str">
        <f t="shared" si="250"/>
        <v>0.0152843808613156i</v>
      </c>
      <c r="AH431" s="98">
        <f t="shared" si="264"/>
        <v>1.5284380861315601E-2</v>
      </c>
      <c r="AI431" s="98">
        <f t="shared" si="265"/>
        <v>1.5707963267948966</v>
      </c>
      <c r="AJ431" s="98" t="str">
        <f t="shared" si="251"/>
        <v>1+0.837567053022014i</v>
      </c>
      <c r="AK431" s="98">
        <f t="shared" si="266"/>
        <v>1.3044226954127949</v>
      </c>
      <c r="AL431" s="98">
        <f t="shared" si="267"/>
        <v>0.69723166805365255</v>
      </c>
      <c r="AM431" s="98" t="str">
        <f t="shared" si="252"/>
        <v>1+457.692323246847i</v>
      </c>
      <c r="AN431" s="98">
        <f t="shared" si="268"/>
        <v>457.69341568248097</v>
      </c>
      <c r="AO431" s="98">
        <f t="shared" si="269"/>
        <v>1.5686114563961842</v>
      </c>
      <c r="AP431" s="168" t="str">
        <f t="shared" si="270"/>
        <v>-0.209544792315376+0.176288246797191i</v>
      </c>
      <c r="AQ431" s="98">
        <f t="shared" si="271"/>
        <v>-11.250165347203554</v>
      </c>
      <c r="AR431" s="169">
        <f t="shared" si="272"/>
        <v>139.92638422502989</v>
      </c>
      <c r="AS431" s="168" t="str">
        <f t="shared" si="273"/>
        <v>-0.00441903173468486+0.000320194318470525i</v>
      </c>
      <c r="AT431" s="190">
        <f t="shared" si="274"/>
        <v>-47.07071605878221</v>
      </c>
      <c r="AU431" s="169">
        <f t="shared" si="275"/>
        <v>175.85570351183918</v>
      </c>
      <c r="AV431" s="225"/>
      <c r="AX431">
        <f t="shared" si="276"/>
        <v>0</v>
      </c>
      <c r="AY431">
        <f t="shared" si="277"/>
        <v>0</v>
      </c>
    </row>
    <row r="432" spans="14:51" x14ac:dyDescent="0.2">
      <c r="N432" s="170">
        <v>14</v>
      </c>
      <c r="O432" s="199">
        <f t="shared" si="278"/>
        <v>138038.42646028858</v>
      </c>
      <c r="P432" s="189" t="str">
        <f t="shared" si="244"/>
        <v>771.276595744681</v>
      </c>
      <c r="Q432" s="160" t="str">
        <f t="shared" si="245"/>
        <v>1+7667.11775457946i</v>
      </c>
      <c r="R432" s="160">
        <f t="shared" si="253"/>
        <v>7667.117819793014</v>
      </c>
      <c r="S432" s="160">
        <f t="shared" si="254"/>
        <v>1.5706658996870395</v>
      </c>
      <c r="T432" s="160" t="str">
        <f t="shared" si="246"/>
        <v>1+0.14432221655679i</v>
      </c>
      <c r="U432" s="160">
        <f t="shared" si="255"/>
        <v>1.0103607782331345</v>
      </c>
      <c r="V432" s="160">
        <f t="shared" si="256"/>
        <v>0.14333253141253235</v>
      </c>
      <c r="W432" s="98" t="str">
        <f t="shared" si="247"/>
        <v>1-0.589778288813802i</v>
      </c>
      <c r="X432" s="160">
        <f t="shared" si="257"/>
        <v>1.1609644395743293</v>
      </c>
      <c r="Y432" s="160">
        <f t="shared" si="258"/>
        <v>-0.5328696322459634</v>
      </c>
      <c r="Z432" s="98" t="str">
        <f t="shared" si="248"/>
        <v>-6.62184287185301-4.03810117825635i</v>
      </c>
      <c r="AA432" s="160">
        <f t="shared" si="259"/>
        <v>7.7559695812545479</v>
      </c>
      <c r="AB432" s="160">
        <f t="shared" si="260"/>
        <v>-2.593987253212314</v>
      </c>
      <c r="AC432" s="171" t="str">
        <f t="shared" si="261"/>
        <v>0.0122591512689759+0.00900957864285633i</v>
      </c>
      <c r="AD432" s="190">
        <f t="shared" si="262"/>
        <v>-36.355253699769456</v>
      </c>
      <c r="AE432" s="169">
        <f t="shared" si="263"/>
        <v>36.313162801095523</v>
      </c>
      <c r="AF432" s="98" t="str">
        <f t="shared" si="249"/>
        <v>-0.0000119284294234592</v>
      </c>
      <c r="AG432" s="98" t="str">
        <f t="shared" si="250"/>
        <v>0.0156403998267343i</v>
      </c>
      <c r="AH432" s="98">
        <f t="shared" si="264"/>
        <v>1.5640399826734298E-2</v>
      </c>
      <c r="AI432" s="98">
        <f t="shared" si="265"/>
        <v>1.5707963267948966</v>
      </c>
      <c r="AJ432" s="98" t="str">
        <f t="shared" si="251"/>
        <v>1+0.85707649592267i</v>
      </c>
      <c r="AK432" s="98">
        <f t="shared" si="266"/>
        <v>1.3170345932674217</v>
      </c>
      <c r="AL432" s="98">
        <f t="shared" si="267"/>
        <v>0.70858801558160989</v>
      </c>
      <c r="AM432" s="98" t="str">
        <f t="shared" si="252"/>
        <v>1+468.353346999197i</v>
      </c>
      <c r="AN432" s="98">
        <f t="shared" si="268"/>
        <v>468.35441456801732</v>
      </c>
      <c r="AO432" s="98">
        <f t="shared" si="269"/>
        <v>1.568661189965399</v>
      </c>
      <c r="AP432" s="168" t="str">
        <f t="shared" si="270"/>
        <v>-0.20555081367184+0.176935438922083i</v>
      </c>
      <c r="AQ432" s="98">
        <f t="shared" si="271"/>
        <v>-11.333742998131573</v>
      </c>
      <c r="AR432" s="169">
        <f t="shared" si="272"/>
        <v>139.27856296461042</v>
      </c>
      <c r="AS432" s="168" t="str">
        <f t="shared" si="273"/>
        <v>-0.00411399226994098+0.000317152089708911i</v>
      </c>
      <c r="AT432" s="190">
        <f t="shared" si="274"/>
        <v>-47.688996697901018</v>
      </c>
      <c r="AU432" s="169">
        <f t="shared" si="275"/>
        <v>175.59172576570592</v>
      </c>
      <c r="AV432" s="225"/>
      <c r="AX432">
        <f t="shared" si="276"/>
        <v>0</v>
      </c>
      <c r="AY432">
        <f t="shared" si="277"/>
        <v>0</v>
      </c>
    </row>
    <row r="433" spans="14:51" x14ac:dyDescent="0.2">
      <c r="N433" s="170">
        <v>15</v>
      </c>
      <c r="O433" s="199">
        <f t="shared" si="278"/>
        <v>141253.75446227577</v>
      </c>
      <c r="P433" s="189" t="str">
        <f t="shared" si="244"/>
        <v>771.276595744681</v>
      </c>
      <c r="Q433" s="160" t="str">
        <f t="shared" si="245"/>
        <v>1+7845.70786925253i</v>
      </c>
      <c r="R433" s="160">
        <f t="shared" si="253"/>
        <v>7845.7079329816424</v>
      </c>
      <c r="S433" s="160">
        <f t="shared" si="254"/>
        <v>1.5706688685704444</v>
      </c>
      <c r="T433" s="160" t="str">
        <f t="shared" si="246"/>
        <v>1+0.147683912832988i</v>
      </c>
      <c r="U433" s="160">
        <f t="shared" si="255"/>
        <v>1.0108464463555589</v>
      </c>
      <c r="V433" s="160">
        <f t="shared" si="256"/>
        <v>0.14662405968547443</v>
      </c>
      <c r="W433" s="98" t="str">
        <f t="shared" si="247"/>
        <v>1-0.603515989942499i</v>
      </c>
      <c r="X433" s="160">
        <f t="shared" si="257"/>
        <v>1.1680032320658511</v>
      </c>
      <c r="Y433" s="160">
        <f t="shared" si="258"/>
        <v>-0.54300077724643792</v>
      </c>
      <c r="Z433" s="98" t="str">
        <f t="shared" si="248"/>
        <v>-6.98104925987557-4.13216063783039i</v>
      </c>
      <c r="AA433" s="160">
        <f t="shared" si="259"/>
        <v>8.1123239768665609</v>
      </c>
      <c r="AB433" s="160">
        <f t="shared" si="260"/>
        <v>-2.6071420945817225</v>
      </c>
      <c r="AC433" s="171" t="str">
        <f t="shared" si="261"/>
        <v>0.0114751130547798+0.00854544601066858i</v>
      </c>
      <c r="AD433" s="190">
        <f t="shared" si="262"/>
        <v>-36.888760744117761</v>
      </c>
      <c r="AE433" s="169">
        <f t="shared" si="263"/>
        <v>36.674828415263079</v>
      </c>
      <c r="AF433" s="98" t="str">
        <f t="shared" si="249"/>
        <v>-0.0000119284294234592</v>
      </c>
      <c r="AG433" s="98" t="str">
        <f t="shared" si="250"/>
        <v>0.0160047115391663i</v>
      </c>
      <c r="AH433" s="98">
        <f t="shared" si="264"/>
        <v>1.60047115391663E-2</v>
      </c>
      <c r="AI433" s="98">
        <f t="shared" si="265"/>
        <v>1.5707963267948966</v>
      </c>
      <c r="AJ433" s="98" t="str">
        <f t="shared" si="251"/>
        <v>1+0.877040372126214i</v>
      </c>
      <c r="AK433" s="98">
        <f t="shared" si="266"/>
        <v>1.3301127073820804</v>
      </c>
      <c r="AL433" s="98">
        <f t="shared" si="267"/>
        <v>0.71998444077783108</v>
      </c>
      <c r="AM433" s="98" t="str">
        <f t="shared" si="252"/>
        <v>1+479.262697895515i</v>
      </c>
      <c r="AN433" s="98">
        <f t="shared" si="268"/>
        <v>479.26374116355561</v>
      </c>
      <c r="AO433" s="98">
        <f t="shared" si="269"/>
        <v>1.5687097914705728</v>
      </c>
      <c r="AP433" s="168" t="str">
        <f t="shared" si="270"/>
        <v>-0.201528596220212+0.177494022390461i</v>
      </c>
      <c r="AQ433" s="98">
        <f t="shared" si="271"/>
        <v>-11.419569094389669</v>
      </c>
      <c r="AR433" s="169">
        <f t="shared" si="272"/>
        <v>138.62838056045484</v>
      </c>
      <c r="AS433" s="168" t="str">
        <f t="shared" si="273"/>
        <v>-0.00382932901095209+0.000314612234872507i</v>
      </c>
      <c r="AT433" s="190">
        <f t="shared" si="274"/>
        <v>-48.308329838507419</v>
      </c>
      <c r="AU433" s="169">
        <f t="shared" si="275"/>
        <v>175.30320897571792</v>
      </c>
      <c r="AV433" s="225"/>
      <c r="AX433">
        <f t="shared" si="276"/>
        <v>0</v>
      </c>
      <c r="AY433">
        <f t="shared" si="277"/>
        <v>0</v>
      </c>
    </row>
    <row r="434" spans="14:51" x14ac:dyDescent="0.2">
      <c r="N434" s="170">
        <v>16</v>
      </c>
      <c r="O434" s="199">
        <f t="shared" si="278"/>
        <v>144543.97707459307</v>
      </c>
      <c r="P434" s="189" t="str">
        <f t="shared" si="244"/>
        <v>771.276595744681</v>
      </c>
      <c r="Q434" s="160" t="str">
        <f t="shared" si="245"/>
        <v>1+8028.45788208808i</v>
      </c>
      <c r="R434" s="160">
        <f t="shared" si="253"/>
        <v>8028.4579443665398</v>
      </c>
      <c r="S434" s="160">
        <f t="shared" si="254"/>
        <v>1.5706717698738146</v>
      </c>
      <c r="T434" s="160" t="str">
        <f t="shared" si="246"/>
        <v>1+0.151123913074599i</v>
      </c>
      <c r="U434" s="160">
        <f t="shared" si="255"/>
        <v>1.0113547533397858</v>
      </c>
      <c r="V434" s="160">
        <f t="shared" si="256"/>
        <v>0.14998894745797303</v>
      </c>
      <c r="W434" s="98" t="str">
        <f t="shared" si="247"/>
        <v>1-0.617573683237541i</v>
      </c>
      <c r="X434" s="160">
        <f t="shared" si="257"/>
        <v>1.175328572879764</v>
      </c>
      <c r="Y434" s="160">
        <f t="shared" si="258"/>
        <v>-0.55324121013128658</v>
      </c>
      <c r="Z434" s="98" t="str">
        <f t="shared" si="248"/>
        <v>-7.35718452341621-4.2284110236702i</v>
      </c>
      <c r="AA434" s="160">
        <f t="shared" si="259"/>
        <v>8.485730604767669</v>
      </c>
      <c r="AB434" s="160">
        <f t="shared" si="260"/>
        <v>-2.6199596378167316</v>
      </c>
      <c r="AC434" s="171" t="str">
        <f t="shared" si="261"/>
        <v>0.010745183996856+0.00810152167851804i</v>
      </c>
      <c r="AD434" s="190">
        <f t="shared" si="262"/>
        <v>-37.420968194850836</v>
      </c>
      <c r="AE434" s="169">
        <f t="shared" si="263"/>
        <v>37.015113597128</v>
      </c>
      <c r="AF434" s="98" t="str">
        <f t="shared" si="249"/>
        <v>-0.0000119284294234592</v>
      </c>
      <c r="AG434" s="98" t="str">
        <f t="shared" si="250"/>
        <v>0.0163775091615038i</v>
      </c>
      <c r="AH434" s="98">
        <f t="shared" si="264"/>
        <v>1.6377509161503798E-2</v>
      </c>
      <c r="AI434" s="98">
        <f t="shared" si="265"/>
        <v>1.5707963267948966</v>
      </c>
      <c r="AJ434" s="98" t="str">
        <f t="shared" si="251"/>
        <v>1+0.89746926674406i</v>
      </c>
      <c r="AK434" s="98">
        <f t="shared" si="266"/>
        <v>1.3436707501282152</v>
      </c>
      <c r="AL434" s="98">
        <f t="shared" si="267"/>
        <v>0.73141514586045775</v>
      </c>
      <c r="AM434" s="98" t="str">
        <f t="shared" si="252"/>
        <v>1+490.426160218049i</v>
      </c>
      <c r="AN434" s="98">
        <f t="shared" si="268"/>
        <v>490.42717973845976</v>
      </c>
      <c r="AO434" s="98">
        <f t="shared" si="269"/>
        <v>1.5687572866799482</v>
      </c>
      <c r="AP434" s="168" t="str">
        <f t="shared" si="270"/>
        <v>-0.197482146167479+0.177962499016458i</v>
      </c>
      <c r="AQ434" s="98">
        <f t="shared" si="271"/>
        <v>-11.507658359569373</v>
      </c>
      <c r="AR434" s="169">
        <f t="shared" si="272"/>
        <v>137.97617067740603</v>
      </c>
      <c r="AS434" s="168" t="str">
        <f t="shared" si="273"/>
        <v>-0.00356374904040865+0.000312333908176047i</v>
      </c>
      <c r="AT434" s="190">
        <f t="shared" si="274"/>
        <v>-48.928626554420205</v>
      </c>
      <c r="AU434" s="169">
        <f t="shared" si="275"/>
        <v>174.99128427453402</v>
      </c>
      <c r="AV434" s="225"/>
      <c r="AX434">
        <f t="shared" si="276"/>
        <v>0</v>
      </c>
      <c r="AY434">
        <f t="shared" si="277"/>
        <v>0</v>
      </c>
    </row>
    <row r="435" spans="14:51" x14ac:dyDescent="0.2">
      <c r="N435" s="170">
        <v>17</v>
      </c>
      <c r="O435" s="199">
        <f t="shared" si="278"/>
        <v>147910.83881682079</v>
      </c>
      <c r="P435" s="189" t="str">
        <f t="shared" si="244"/>
        <v>771.276595744681</v>
      </c>
      <c r="Q435" s="160" t="str">
        <f t="shared" si="245"/>
        <v>1+8215.4646895619i</v>
      </c>
      <c r="R435" s="160">
        <f t="shared" si="253"/>
        <v>8215.4647504227305</v>
      </c>
      <c r="S435" s="160">
        <f t="shared" si="254"/>
        <v>1.5706746051354594</v>
      </c>
      <c r="T435" s="160" t="str">
        <f t="shared" si="246"/>
        <v>1+0.154644041215282i</v>
      </c>
      <c r="U435" s="160">
        <f t="shared" si="255"/>
        <v>1.0118867424190288</v>
      </c>
      <c r="V435" s="160">
        <f t="shared" si="256"/>
        <v>0.15342867388950968</v>
      </c>
      <c r="W435" s="98" t="str">
        <f t="shared" si="247"/>
        <v>1-0.631958822273989i</v>
      </c>
      <c r="X435" s="160">
        <f t="shared" si="257"/>
        <v>1.1829505285724875</v>
      </c>
      <c r="Y435" s="160">
        <f t="shared" si="258"/>
        <v>-0.5635877690600245</v>
      </c>
      <c r="Z435" s="98" t="str">
        <f t="shared" si="248"/>
        <v>-7.75104649579822-4.3269033690044i</v>
      </c>
      <c r="AA435" s="160">
        <f t="shared" si="259"/>
        <v>8.8769822881837204</v>
      </c>
      <c r="AB435" s="160">
        <f t="shared" si="260"/>
        <v>-2.632449182199466</v>
      </c>
      <c r="AC435" s="171" t="str">
        <f t="shared" si="261"/>
        <v>0.0100655077277405+0.00767753267253289i</v>
      </c>
      <c r="AD435" s="190">
        <f t="shared" si="262"/>
        <v>-37.951776968620962</v>
      </c>
      <c r="AE435" s="169">
        <f t="shared" si="263"/>
        <v>37.334816977880394</v>
      </c>
      <c r="AF435" s="98" t="str">
        <f t="shared" si="249"/>
        <v>-0.0000119284294234592</v>
      </c>
      <c r="AG435" s="98" t="str">
        <f t="shared" si="250"/>
        <v>0.0167589903559807i</v>
      </c>
      <c r="AH435" s="98">
        <f t="shared" si="264"/>
        <v>1.6758990355980701E-2</v>
      </c>
      <c r="AI435" s="98">
        <f t="shared" si="265"/>
        <v>1.5707963267948966</v>
      </c>
      <c r="AJ435" s="98" t="str">
        <f t="shared" si="251"/>
        <v>1+0.918374011446541i</v>
      </c>
      <c r="AK435" s="98">
        <f t="shared" si="266"/>
        <v>1.3577226612605431</v>
      </c>
      <c r="AL435" s="98">
        <f t="shared" si="267"/>
        <v>0.74287424410301806</v>
      </c>
      <c r="AM435" s="98" t="str">
        <f t="shared" si="252"/>
        <v>1+501.849652982287i</v>
      </c>
      <c r="AN435" s="98">
        <f t="shared" si="268"/>
        <v>501.85064929562645</v>
      </c>
      <c r="AO435" s="98">
        <f t="shared" si="269"/>
        <v>1.568803700775256</v>
      </c>
      <c r="AP435" s="168" t="str">
        <f t="shared" si="270"/>
        <v>-0.193415569769217+0.17833959569536i</v>
      </c>
      <c r="AQ435" s="98">
        <f t="shared" si="271"/>
        <v>-11.598023241133568</v>
      </c>
      <c r="AR435" s="169">
        <f t="shared" si="272"/>
        <v>137.32227204285252</v>
      </c>
      <c r="AS435" s="168" t="str">
        <f t="shared" si="273"/>
        <v>-0.00331603398493482+0.000310124222354034i</v>
      </c>
      <c r="AT435" s="190">
        <f t="shared" si="274"/>
        <v>-49.549800209754522</v>
      </c>
      <c r="AU435" s="169">
        <f t="shared" si="275"/>
        <v>174.65708902073291</v>
      </c>
      <c r="AV435" s="225"/>
      <c r="AX435">
        <f t="shared" si="276"/>
        <v>0</v>
      </c>
      <c r="AY435">
        <f t="shared" si="277"/>
        <v>0</v>
      </c>
    </row>
    <row r="436" spans="14:51" x14ac:dyDescent="0.2">
      <c r="N436" s="170">
        <v>18</v>
      </c>
      <c r="O436" s="199">
        <f t="shared" si="278"/>
        <v>151356.12484362084</v>
      </c>
      <c r="P436" s="189" t="str">
        <f t="shared" si="244"/>
        <v>771.276595744681</v>
      </c>
      <c r="Q436" s="160" t="str">
        <f t="shared" si="245"/>
        <v>1+8406.82744515867i</v>
      </c>
      <c r="R436" s="160">
        <f t="shared" si="253"/>
        <v>8406.8275046341369</v>
      </c>
      <c r="S436" s="160">
        <f t="shared" si="254"/>
        <v>1.5706773758586716</v>
      </c>
      <c r="T436" s="160" t="str">
        <f t="shared" si="246"/>
        <v>1+0.158246163673575i</v>
      </c>
      <c r="U436" s="160">
        <f t="shared" si="255"/>
        <v>1.0124435037657182</v>
      </c>
      <c r="V436" s="160">
        <f t="shared" si="256"/>
        <v>0.15694473701781841</v>
      </c>
      <c r="W436" s="98" t="str">
        <f t="shared" si="247"/>
        <v>1-0.646679034242972i</v>
      </c>
      <c r="X436" s="160">
        <f t="shared" si="257"/>
        <v>1.1908794117497468</v>
      </c>
      <c r="Y436" s="160">
        <f t="shared" si="258"/>
        <v>-0.57403707866975107</v>
      </c>
      <c r="Z436" s="98" t="str">
        <f t="shared" si="248"/>
        <v>-8.16347061107111-4.42768989577819i</v>
      </c>
      <c r="AA436" s="160">
        <f t="shared" si="259"/>
        <v>9.2869096168207648</v>
      </c>
      <c r="AB436" s="160">
        <f t="shared" si="260"/>
        <v>-2.6446198065066704</v>
      </c>
      <c r="AC436" s="171" t="str">
        <f t="shared" si="261"/>
        <v>0.00943249230994895+0.00727311165835224i</v>
      </c>
      <c r="AD436" s="190">
        <f t="shared" si="262"/>
        <v>-38.481092342081425</v>
      </c>
      <c r="AE436" s="169">
        <f t="shared" si="263"/>
        <v>37.63473787226711</v>
      </c>
      <c r="AF436" s="98" t="str">
        <f t="shared" si="249"/>
        <v>-0.0000119284294234592</v>
      </c>
      <c r="AG436" s="98" t="str">
        <f t="shared" si="250"/>
        <v>0.0171493573889758i</v>
      </c>
      <c r="AH436" s="98">
        <f t="shared" si="264"/>
        <v>1.71493573889758E-2</v>
      </c>
      <c r="AI436" s="98">
        <f t="shared" si="265"/>
        <v>1.5707963267948966</v>
      </c>
      <c r="AJ436" s="98" t="str">
        <f t="shared" si="251"/>
        <v>1+0.939765690206011i</v>
      </c>
      <c r="AK436" s="98">
        <f t="shared" si="266"/>
        <v>1.372282606640622</v>
      </c>
      <c r="AL436" s="98">
        <f t="shared" si="267"/>
        <v>0.75435577462116532</v>
      </c>
      <c r="AM436" s="98" t="str">
        <f t="shared" si="252"/>
        <v>1+513.539233075303i</v>
      </c>
      <c r="AN436" s="98">
        <f t="shared" si="268"/>
        <v>513.5402067098255</v>
      </c>
      <c r="AO436" s="98">
        <f t="shared" si="269"/>
        <v>1.5688490583650636</v>
      </c>
      <c r="AP436" s="168" t="str">
        <f t="shared" si="270"/>
        <v>-0.189333057066632+0.17862427235909i</v>
      </c>
      <c r="AQ436" s="98">
        <f t="shared" si="271"/>
        <v>-11.69067385882288</v>
      </c>
      <c r="AR436" s="169">
        <f t="shared" si="272"/>
        <v>136.66702760027701</v>
      </c>
      <c r="AS436" s="168" t="str">
        <f t="shared" si="273"/>
        <v>-0.00308503688255972+0.000307831610734552i</v>
      </c>
      <c r="AT436" s="190">
        <f t="shared" si="274"/>
        <v>-50.171766200904287</v>
      </c>
      <c r="AU436" s="169">
        <f t="shared" si="275"/>
        <v>174.30176547254413</v>
      </c>
      <c r="AV436" s="225"/>
      <c r="AX436">
        <f t="shared" si="276"/>
        <v>0</v>
      </c>
      <c r="AY436">
        <f t="shared" si="277"/>
        <v>0</v>
      </c>
    </row>
    <row r="437" spans="14:51" x14ac:dyDescent="0.2">
      <c r="N437" s="170">
        <v>19</v>
      </c>
      <c r="O437" s="199">
        <f t="shared" si="278"/>
        <v>154881.66189124843</v>
      </c>
      <c r="P437" s="189" t="str">
        <f t="shared" si="244"/>
        <v>771.276595744681</v>
      </c>
      <c r="Q437" s="160" t="str">
        <f t="shared" si="245"/>
        <v>1+8602.64761194441i</v>
      </c>
      <c r="R437" s="160">
        <f t="shared" si="253"/>
        <v>8602.6476700660514</v>
      </c>
      <c r="S437" s="160">
        <f t="shared" si="254"/>
        <v>1.5706800835125254</v>
      </c>
      <c r="T437" s="160" t="str">
        <f t="shared" si="246"/>
        <v>1+0.161932190342483i</v>
      </c>
      <c r="U437" s="160">
        <f t="shared" si="255"/>
        <v>1.0130261764974853</v>
      </c>
      <c r="V437" s="160">
        <f t="shared" si="256"/>
        <v>0.16053865318357569</v>
      </c>
      <c r="W437" s="98" t="str">
        <f t="shared" si="247"/>
        <v>1-0.66174212399572i</v>
      </c>
      <c r="X437" s="160">
        <f t="shared" si="257"/>
        <v>1.1991257810047979</v>
      </c>
      <c r="Y437" s="160">
        <f t="shared" si="258"/>
        <v>-0.58458555154385206</v>
      </c>
      <c r="Z437" s="98" t="str">
        <f t="shared" si="248"/>
        <v>-8.59533167607802-4.53082404234214i</v>
      </c>
      <c r="AA437" s="160">
        <f t="shared" si="259"/>
        <v>9.7163827180929712</v>
      </c>
      <c r="AB437" s="160">
        <f t="shared" si="260"/>
        <v>-2.6564803639145986</v>
      </c>
      <c r="AC437" s="171" t="str">
        <f t="shared" si="261"/>
        <v>0.00884279526702693+0.00688781467010112i</v>
      </c>
      <c r="AD437" s="190">
        <f t="shared" si="262"/>
        <v>-39.008823764706108</v>
      </c>
      <c r="AE437" s="169">
        <f t="shared" si="263"/>
        <v>37.915675869503374</v>
      </c>
      <c r="AF437" s="98" t="str">
        <f t="shared" si="249"/>
        <v>-0.0000119284294234592</v>
      </c>
      <c r="AG437" s="98" t="str">
        <f t="shared" si="250"/>
        <v>0.0175488172382571i</v>
      </c>
      <c r="AH437" s="98">
        <f t="shared" si="264"/>
        <v>1.7548817238257099E-2</v>
      </c>
      <c r="AI437" s="98">
        <f t="shared" si="265"/>
        <v>1.5707963267948966</v>
      </c>
      <c r="AJ437" s="98" t="str">
        <f t="shared" si="251"/>
        <v>1+0.961655645173699i</v>
      </c>
      <c r="AK437" s="98">
        <f t="shared" si="266"/>
        <v>1.3873649771759569</v>
      </c>
      <c r="AL437" s="98">
        <f t="shared" si="267"/>
        <v>0.76585371762844057</v>
      </c>
      <c r="AM437" s="98" t="str">
        <f t="shared" si="252"/>
        <v>1+525.501098467191i</v>
      </c>
      <c r="AN437" s="98">
        <f t="shared" si="268"/>
        <v>525.50204993912666</v>
      </c>
      <c r="AO437" s="98">
        <f t="shared" si="269"/>
        <v>1.5688933834978185</v>
      </c>
      <c r="AP437" s="168" t="str">
        <f t="shared" si="270"/>
        <v>-0.185238864887936+0.178815728522785i</v>
      </c>
      <c r="AQ437" s="98">
        <f t="shared" si="271"/>
        <v>-11.785617962397046</v>
      </c>
      <c r="AR437" s="169">
        <f t="shared" si="272"/>
        <v>136.01078363591105</v>
      </c>
      <c r="AS437" s="168" t="str">
        <f t="shared" si="273"/>
        <v>-0.00286967895586454+0.000305339906803251i</v>
      </c>
      <c r="AT437" s="190">
        <f t="shared" si="274"/>
        <v>-50.794441727103148</v>
      </c>
      <c r="AU437" s="169">
        <f t="shared" si="275"/>
        <v>173.92645950541441</v>
      </c>
      <c r="AV437" s="225"/>
      <c r="AX437">
        <f t="shared" si="276"/>
        <v>0</v>
      </c>
      <c r="AY437">
        <f t="shared" si="277"/>
        <v>0</v>
      </c>
    </row>
    <row r="438" spans="14:51" x14ac:dyDescent="0.2">
      <c r="N438" s="170">
        <v>20</v>
      </c>
      <c r="O438" s="199">
        <f t="shared" si="278"/>
        <v>158489.31924611164</v>
      </c>
      <c r="P438" s="189" t="str">
        <f t="shared" si="244"/>
        <v>771.276595744681</v>
      </c>
      <c r="Q438" s="160" t="str">
        <f t="shared" si="245"/>
        <v>1+8803.02901636347i</v>
      </c>
      <c r="R438" s="160">
        <f t="shared" si="253"/>
        <v>8803.0290731621026</v>
      </c>
      <c r="S438" s="160">
        <f t="shared" si="254"/>
        <v>1.5706827295326542</v>
      </c>
      <c r="T438" s="160" t="str">
        <f t="shared" si="246"/>
        <v>1+0.165704075602135i</v>
      </c>
      <c r="U438" s="160">
        <f t="shared" si="255"/>
        <v>1.0136359507590278</v>
      </c>
      <c r="V438" s="160">
        <f t="shared" si="256"/>
        <v>0.16421195638047925</v>
      </c>
      <c r="W438" s="98" t="str">
        <f t="shared" si="247"/>
        <v>1-0.677156078181802i</v>
      </c>
      <c r="X438" s="160">
        <f t="shared" si="257"/>
        <v>1.2077004405971534</v>
      </c>
      <c r="Y438" s="160">
        <f t="shared" si="258"/>
        <v>-0.59522939060112601</v>
      </c>
      <c r="Z438" s="98" t="str">
        <f t="shared" si="248"/>
        <v>-9.0475457260384-4.63636049178586i</v>
      </c>
      <c r="AA438" s="160">
        <f t="shared" si="259"/>
        <v>10.16631311117991</v>
      </c>
      <c r="AB438" s="160">
        <f t="shared" si="260"/>
        <v>-2.6680394787988391</v>
      </c>
      <c r="AC438" s="171" t="str">
        <f t="shared" si="261"/>
        <v>0.00829330886274623+0.00652113660343128i</v>
      </c>
      <c r="AD438" s="190">
        <f t="shared" si="262"/>
        <v>-39.534884689890674</v>
      </c>
      <c r="AE438" s="169">
        <f t="shared" si="263"/>
        <v>38.178430475747483</v>
      </c>
      <c r="AF438" s="98" t="str">
        <f t="shared" si="249"/>
        <v>-0.0000119284294234592</v>
      </c>
      <c r="AG438" s="98" t="str">
        <f t="shared" si="250"/>
        <v>0.0179575817027242i</v>
      </c>
      <c r="AH438" s="98">
        <f t="shared" si="264"/>
        <v>1.7957581702724199E-2</v>
      </c>
      <c r="AI438" s="98">
        <f t="shared" si="265"/>
        <v>1.5707963267948966</v>
      </c>
      <c r="AJ438" s="98" t="str">
        <f t="shared" si="251"/>
        <v>1+0.984055482693473i</v>
      </c>
      <c r="AK438" s="98">
        <f t="shared" si="266"/>
        <v>1.4029843880168746</v>
      </c>
      <c r="AL438" s="98">
        <f t="shared" si="267"/>
        <v>0.77736201006751793</v>
      </c>
      <c r="AM438" s="98" t="str">
        <f t="shared" si="252"/>
        <v>1+537.741591497315i</v>
      </c>
      <c r="AN438" s="98">
        <f t="shared" si="268"/>
        <v>537.74252131114315</v>
      </c>
      <c r="AO438" s="98">
        <f t="shared" si="269"/>
        <v>1.5689366996745959</v>
      </c>
      <c r="AP438" s="168" t="str">
        <f t="shared" si="270"/>
        <v>-0.181137299257963+0.178913408345491i</v>
      </c>
      <c r="AQ438" s="98">
        <f t="shared" si="271"/>
        <v>-11.882860899084417</v>
      </c>
      <c r="AR438" s="169">
        <f t="shared" si="272"/>
        <v>135.35388888386382</v>
      </c>
      <c r="AS438" s="168" t="str">
        <f t="shared" si="273"/>
        <v>-0.00266894634531641+0.000302563082658007i</v>
      </c>
      <c r="AT438" s="190">
        <f t="shared" si="274"/>
        <v>-51.417745588975087</v>
      </c>
      <c r="AU438" s="169">
        <f t="shared" si="275"/>
        <v>173.53231935961131</v>
      </c>
      <c r="AV438" s="225"/>
      <c r="AX438">
        <f t="shared" si="276"/>
        <v>0</v>
      </c>
      <c r="AY438">
        <f t="shared" si="277"/>
        <v>0</v>
      </c>
    </row>
    <row r="439" spans="14:51" x14ac:dyDescent="0.2">
      <c r="N439" s="170">
        <v>21</v>
      </c>
      <c r="O439" s="199">
        <f t="shared" si="278"/>
        <v>162181.00973589328</v>
      </c>
      <c r="P439" s="189" t="str">
        <f t="shared" si="244"/>
        <v>771.276595744681</v>
      </c>
      <c r="Q439" s="160" t="str">
        <f t="shared" si="245"/>
        <v>1+9008.07790328884i</v>
      </c>
      <c r="R439" s="160">
        <f t="shared" si="253"/>
        <v>9008.0779587945763</v>
      </c>
      <c r="S439" s="160">
        <f t="shared" si="254"/>
        <v>1.5706853153220133</v>
      </c>
      <c r="T439" s="160" t="str">
        <f t="shared" si="246"/>
        <v>1+0.169563819356025i</v>
      </c>
      <c r="U439" s="160">
        <f t="shared" si="255"/>
        <v>1.014274069881806</v>
      </c>
      <c r="V439" s="160">
        <f t="shared" si="256"/>
        <v>0.16796619752584804</v>
      </c>
      <c r="W439" s="98" t="str">
        <f t="shared" si="247"/>
        <v>1-0.692929069483754i</v>
      </c>
      <c r="X439" s="160">
        <f t="shared" si="257"/>
        <v>1.2166144398845598</v>
      </c>
      <c r="Y439" s="160">
        <f t="shared" si="258"/>
        <v>-0.60596459243409617</v>
      </c>
      <c r="Z439" s="98" t="str">
        <f t="shared" si="248"/>
        <v>-9.5210719675815-4.74435520093181i</v>
      </c>
      <c r="AA439" s="160">
        <f t="shared" si="259"/>
        <v>10.637655647955285</v>
      </c>
      <c r="AB439" s="160">
        <f t="shared" si="260"/>
        <v>-2.6793055451639578</v>
      </c>
      <c r="AC439" s="171" t="str">
        <f t="shared" si="261"/>
        <v>0.00778114574869864+0.00617252469529439i</v>
      </c>
      <c r="AD439" s="190">
        <f t="shared" si="262"/>
        <v>-40.059192423198965</v>
      </c>
      <c r="AE439" s="169">
        <f t="shared" si="263"/>
        <v>38.423800791019772</v>
      </c>
      <c r="AF439" s="98" t="str">
        <f t="shared" si="249"/>
        <v>-0.0000119284294234592</v>
      </c>
      <c r="AG439" s="98" t="str">
        <f t="shared" si="250"/>
        <v>0.0183758675147068i</v>
      </c>
      <c r="AH439" s="98">
        <f t="shared" si="264"/>
        <v>1.8375867514706799E-2</v>
      </c>
      <c r="AI439" s="98">
        <f t="shared" si="265"/>
        <v>1.5707963267948966</v>
      </c>
      <c r="AJ439" s="98" t="str">
        <f t="shared" si="251"/>
        <v>1+1.00697707945568i</v>
      </c>
      <c r="AK439" s="98">
        <f t="shared" si="266"/>
        <v>1.4191556780526551</v>
      </c>
      <c r="AL439" s="98">
        <f t="shared" si="267"/>
        <v>0.78887456151891966</v>
      </c>
      <c r="AM439" s="98" t="str">
        <f t="shared" si="252"/>
        <v>1+550.2672022371i</v>
      </c>
      <c r="AN439" s="98">
        <f t="shared" si="268"/>
        <v>550.26811088581667</v>
      </c>
      <c r="AO439" s="98">
        <f t="shared" si="269"/>
        <v>1.5689790298615554</v>
      </c>
      <c r="AP439" s="168" t="str">
        <f t="shared" si="270"/>
        <v>-0.177032697368843+0.178917004144982i</v>
      </c>
      <c r="AQ439" s="98">
        <f t="shared" si="271"/>
        <v>-11.982405591028682</v>
      </c>
      <c r="AR439" s="169">
        <f t="shared" si="272"/>
        <v>134.69669361532988</v>
      </c>
      <c r="AS439" s="168" t="str">
        <f t="shared" si="273"/>
        <v>-0.00248188684700522+0.000299440589788862i</v>
      </c>
      <c r="AT439" s="190">
        <f t="shared" si="274"/>
        <v>-52.041598014227631</v>
      </c>
      <c r="AU439" s="169">
        <f t="shared" si="275"/>
        <v>173.12049440634968</v>
      </c>
      <c r="AV439" s="225"/>
      <c r="AX439">
        <f t="shared" si="276"/>
        <v>0</v>
      </c>
      <c r="AY439">
        <f t="shared" si="277"/>
        <v>0</v>
      </c>
    </row>
    <row r="440" spans="14:51" x14ac:dyDescent="0.2">
      <c r="N440" s="170">
        <v>22</v>
      </c>
      <c r="O440" s="199">
        <f t="shared" si="278"/>
        <v>165958.69074375604</v>
      </c>
      <c r="P440" s="189" t="str">
        <f t="shared" si="244"/>
        <v>771.276595744681</v>
      </c>
      <c r="Q440" s="160" t="str">
        <f t="shared" si="245"/>
        <v>1+9217.90299235461i</v>
      </c>
      <c r="R440" s="160">
        <f t="shared" si="253"/>
        <v>9217.9030465968808</v>
      </c>
      <c r="S440" s="160">
        <f t="shared" si="254"/>
        <v>1.5706878422516217</v>
      </c>
      <c r="T440" s="160" t="str">
        <f t="shared" si="246"/>
        <v>1+0.17351346809138i</v>
      </c>
      <c r="U440" s="160">
        <f t="shared" si="255"/>
        <v>1.0149418326234751</v>
      </c>
      <c r="V440" s="160">
        <f t="shared" si="256"/>
        <v>0.17180294364668902</v>
      </c>
      <c r="W440" s="98" t="str">
        <f t="shared" si="247"/>
        <v>1-0.709069460950351i</v>
      </c>
      <c r="X440" s="160">
        <f t="shared" si="257"/>
        <v>1.2258790725240485</v>
      </c>
      <c r="Y440" s="160">
        <f t="shared" si="258"/>
        <v>-0.61678695161868458</v>
      </c>
      <c r="Z440" s="98" t="str">
        <f t="shared" si="248"/>
        <v>-10.0169148133527-4.85486543000428i</v>
      </c>
      <c r="AA440" s="160">
        <f t="shared" si="259"/>
        <v>11.131410545003513</v>
      </c>
      <c r="AB440" s="160">
        <f t="shared" si="260"/>
        <v>-2.6902867264661756</v>
      </c>
      <c r="AC440" s="171" t="str">
        <f t="shared" si="261"/>
        <v>0.00730362507192981+0.00584139019840775i</v>
      </c>
      <c r="AD440" s="190">
        <f t="shared" si="262"/>
        <v>-40.581667986480745</v>
      </c>
      <c r="AE440" s="169">
        <f t="shared" si="263"/>
        <v>38.652585205438918</v>
      </c>
      <c r="AF440" s="98" t="str">
        <f t="shared" si="249"/>
        <v>-0.0000119284294234592</v>
      </c>
      <c r="AG440" s="98" t="str">
        <f t="shared" si="250"/>
        <v>0.018803896454879i</v>
      </c>
      <c r="AH440" s="98">
        <f t="shared" si="264"/>
        <v>1.8803896454879E-2</v>
      </c>
      <c r="AI440" s="98">
        <f t="shared" si="265"/>
        <v>1.5707963267948966</v>
      </c>
      <c r="AJ440" s="98" t="str">
        <f t="shared" si="251"/>
        <v>1+1.03043258879434i</v>
      </c>
      <c r="AK440" s="98">
        <f t="shared" si="266"/>
        <v>1.4358939097473065</v>
      </c>
      <c r="AL440" s="98">
        <f t="shared" si="267"/>
        <v>0.80038527028591255</v>
      </c>
      <c r="AM440" s="98" t="str">
        <f t="shared" si="252"/>
        <v>1+563.084571931163i</v>
      </c>
      <c r="AN440" s="98">
        <f t="shared" si="268"/>
        <v>563.08545989654283</v>
      </c>
      <c r="AO440" s="98">
        <f t="shared" si="269"/>
        <v>1.5690203965021154</v>
      </c>
      <c r="AP440" s="168" t="str">
        <f t="shared" si="270"/>
        <v>-0.172929409271308+0.178826458324668i</v>
      </c>
      <c r="AQ440" s="98">
        <f t="shared" si="271"/>
        <v>-12.084252522934737</v>
      </c>
      <c r="AR440" s="169">
        <f t="shared" si="272"/>
        <v>134.03954871769366</v>
      </c>
      <c r="AS440" s="168" t="str">
        <f t="shared" si="273"/>
        <v>-0.00230760669010162+0.000295933248210596i</v>
      </c>
      <c r="AT440" s="190">
        <f t="shared" si="274"/>
        <v>-52.6659205094155</v>
      </c>
      <c r="AU440" s="169">
        <f t="shared" si="275"/>
        <v>172.69213392313256</v>
      </c>
      <c r="AV440" s="225"/>
      <c r="AX440">
        <f t="shared" si="276"/>
        <v>0</v>
      </c>
      <c r="AY440">
        <f t="shared" si="277"/>
        <v>0</v>
      </c>
    </row>
    <row r="441" spans="14:51" x14ac:dyDescent="0.2">
      <c r="N441" s="170">
        <v>23</v>
      </c>
      <c r="O441" s="199">
        <f t="shared" si="278"/>
        <v>169824.36524617471</v>
      </c>
      <c r="P441" s="189" t="str">
        <f t="shared" si="244"/>
        <v>771.276595744681</v>
      </c>
      <c r="Q441" s="160" t="str">
        <f t="shared" si="245"/>
        <v>1+9432.61553560023i</v>
      </c>
      <c r="R441" s="160">
        <f t="shared" si="253"/>
        <v>9432.6155886077959</v>
      </c>
      <c r="S441" s="160">
        <f t="shared" si="254"/>
        <v>1.5706903116612914</v>
      </c>
      <c r="T441" s="160" t="str">
        <f t="shared" si="246"/>
        <v>1+0.177555115964239i</v>
      </c>
      <c r="U441" s="160">
        <f t="shared" si="255"/>
        <v>1.0156405954889134</v>
      </c>
      <c r="V441" s="160">
        <f t="shared" si="256"/>
        <v>0.1757237769760078</v>
      </c>
      <c r="W441" s="98" t="str">
        <f t="shared" si="247"/>
        <v>1-0.725585810430784i</v>
      </c>
      <c r="X441" s="160">
        <f t="shared" si="257"/>
        <v>1.2355058754609376</v>
      </c>
      <c r="Y441" s="160">
        <f t="shared" si="258"/>
        <v>-0.62769206601014149</v>
      </c>
      <c r="Z441" s="98" t="str">
        <f t="shared" si="248"/>
        <v>-10.5361260125064-4.96794977298945i</v>
      </c>
      <c r="AA441" s="160">
        <f t="shared" si="259"/>
        <v>11.648625511121901</v>
      </c>
      <c r="AB441" s="160">
        <f t="shared" si="260"/>
        <v>-2.7009909566181864</v>
      </c>
      <c r="AC441" s="171" t="str">
        <f t="shared" si="261"/>
        <v>0.00685825911015158+0.00552711844313175i</v>
      </c>
      <c r="AD441" s="190">
        <f t="shared" si="262"/>
        <v>-41.10223599648323</v>
      </c>
      <c r="AE441" s="169">
        <f t="shared" si="263"/>
        <v>38.865581101540208</v>
      </c>
      <c r="AF441" s="98" t="str">
        <f t="shared" si="249"/>
        <v>-0.0000119284294234592</v>
      </c>
      <c r="AG441" s="98" t="str">
        <f t="shared" si="250"/>
        <v>0.0192418954698506i</v>
      </c>
      <c r="AH441" s="98">
        <f t="shared" si="264"/>
        <v>1.9241895469850601E-2</v>
      </c>
      <c r="AI441" s="98">
        <f t="shared" si="265"/>
        <v>1.5707963267948966</v>
      </c>
      <c r="AJ441" s="98" t="str">
        <f t="shared" si="251"/>
        <v>1+1.05443444713096i</v>
      </c>
      <c r="AK441" s="98">
        <f t="shared" si="266"/>
        <v>1.4532143693538038</v>
      </c>
      <c r="AL441" s="98">
        <f t="shared" si="267"/>
        <v>0.8118880395521455</v>
      </c>
      <c r="AM441" s="98" t="str">
        <f t="shared" si="252"/>
        <v>1+576.200496518565i</v>
      </c>
      <c r="AN441" s="98">
        <f t="shared" si="268"/>
        <v>576.20136427141586</v>
      </c>
      <c r="AO441" s="98">
        <f t="shared" si="269"/>
        <v>1.5690608215288495</v>
      </c>
      <c r="AP441" s="168" t="str">
        <f t="shared" si="270"/>
        <v>-0.168831779450411+0.17864196368948i</v>
      </c>
      <c r="AQ441" s="98">
        <f t="shared" si="271"/>
        <v>-12.188399740025158</v>
      </c>
      <c r="AR441" s="169">
        <f t="shared" si="272"/>
        <v>133.38280476944442</v>
      </c>
      <c r="AS441" s="168" t="str">
        <f t="shared" si="273"/>
        <v>-0.00214526738172428+0.000292019632941625i</v>
      </c>
      <c r="AT441" s="190">
        <f t="shared" si="274"/>
        <v>-53.290635736508392</v>
      </c>
      <c r="AU441" s="169">
        <f t="shared" si="275"/>
        <v>172.24838587098461</v>
      </c>
      <c r="AV441" s="225"/>
      <c r="AX441">
        <f t="shared" si="276"/>
        <v>0</v>
      </c>
      <c r="AY441">
        <f t="shared" si="277"/>
        <v>0</v>
      </c>
    </row>
    <row r="442" spans="14:51" x14ac:dyDescent="0.2">
      <c r="N442" s="170">
        <v>24</v>
      </c>
      <c r="O442" s="199">
        <f t="shared" si="278"/>
        <v>173780.0828749378</v>
      </c>
      <c r="P442" s="189" t="str">
        <f t="shared" si="244"/>
        <v>771.276595744681</v>
      </c>
      <c r="Q442" s="160" t="str">
        <f t="shared" si="245"/>
        <v>1+9652.32937645833i</v>
      </c>
      <c r="R442" s="160">
        <f t="shared" si="253"/>
        <v>9652.3294282592979</v>
      </c>
      <c r="S442" s="160">
        <f t="shared" si="254"/>
        <v>1.5706927248603355</v>
      </c>
      <c r="T442" s="160" t="str">
        <f t="shared" si="246"/>
        <v>1+0.181690905909803i</v>
      </c>
      <c r="U442" s="160">
        <f t="shared" si="255"/>
        <v>1.0163717751346328</v>
      </c>
      <c r="V442" s="160">
        <f t="shared" si="256"/>
        <v>0.17973029395391121</v>
      </c>
      <c r="W442" s="98" t="str">
        <f t="shared" si="247"/>
        <v>1-0.742486875112176i</v>
      </c>
      <c r="X442" s="160">
        <f t="shared" si="257"/>
        <v>1.2455066277277869</v>
      </c>
      <c r="Y442" s="160">
        <f t="shared" si="258"/>
        <v>-0.6386753430323614</v>
      </c>
      <c r="Z442" s="98" t="str">
        <f t="shared" si="248"/>
        <v>-11.0798068816081-5.08366818870289i</v>
      </c>
      <c r="AA442" s="160">
        <f t="shared" si="259"/>
        <v>12.190397974904672</v>
      </c>
      <c r="AB442" s="160">
        <f t="shared" si="260"/>
        <v>-2.7114259419894315</v>
      </c>
      <c r="AC442" s="171" t="str">
        <f t="shared" si="261"/>
        <v>0.00644274048192948+0.00522907746415738i</v>
      </c>
      <c r="AD442" s="190">
        <f t="shared" si="262"/>
        <v>-41.620824556510684</v>
      </c>
      <c r="AE442" s="169">
        <f t="shared" si="263"/>
        <v>39.063584551258231</v>
      </c>
      <c r="AF442" s="98" t="str">
        <f t="shared" si="249"/>
        <v>-0.0000119284294234592</v>
      </c>
      <c r="AG442" s="98" t="str">
        <f t="shared" si="250"/>
        <v>0.0196900967924969i</v>
      </c>
      <c r="AH442" s="98">
        <f t="shared" si="264"/>
        <v>1.9690096792496899E-2</v>
      </c>
      <c r="AI442" s="98">
        <f t="shared" si="265"/>
        <v>1.5707963267948966</v>
      </c>
      <c r="AJ442" s="98" t="str">
        <f t="shared" si="251"/>
        <v>1+1.07899538056855i</v>
      </c>
      <c r="AK442" s="98">
        <f t="shared" si="266"/>
        <v>1.4711325675438873</v>
      </c>
      <c r="AL442" s="98">
        <f t="shared" si="267"/>
        <v>0.82337679350783555</v>
      </c>
      <c r="AM442" s="98" t="str">
        <f t="shared" si="252"/>
        <v>1+589.621930236141i</v>
      </c>
      <c r="AN442" s="98">
        <f t="shared" si="268"/>
        <v>589.62277823655415</v>
      </c>
      <c r="AO442" s="98">
        <f t="shared" si="269"/>
        <v>1.5691003263751131</v>
      </c>
      <c r="AP442" s="168" t="str">
        <f t="shared" si="270"/>
        <v>-0.164744128451304+0.178363962146905i</v>
      </c>
      <c r="AQ442" s="98">
        <f t="shared" si="271"/>
        <v>-12.294842856324227</v>
      </c>
      <c r="AR442" s="169">
        <f t="shared" si="272"/>
        <v>132.72681111688016</v>
      </c>
      <c r="AS442" s="168" t="str">
        <f t="shared" si="273"/>
        <v>-0.00199408264041361+0.00028769291000424i</v>
      </c>
      <c r="AT442" s="190">
        <f t="shared" si="274"/>
        <v>-53.9156674128349</v>
      </c>
      <c r="AU442" s="169">
        <f t="shared" si="275"/>
        <v>171.79039566813842</v>
      </c>
      <c r="AV442" s="225"/>
      <c r="AX442">
        <f t="shared" si="276"/>
        <v>0</v>
      </c>
      <c r="AY442">
        <f t="shared" si="277"/>
        <v>0</v>
      </c>
    </row>
    <row r="443" spans="14:51" x14ac:dyDescent="0.2">
      <c r="N443" s="170">
        <v>25</v>
      </c>
      <c r="O443" s="199">
        <f t="shared" si="278"/>
        <v>177827.94100389251</v>
      </c>
      <c r="P443" s="189" t="str">
        <f t="shared" si="244"/>
        <v>771.276595744681</v>
      </c>
      <c r="Q443" s="160" t="str">
        <f t="shared" si="245"/>
        <v>1+9877.16101011551i</v>
      </c>
      <c r="R443" s="160">
        <f t="shared" si="253"/>
        <v>9877.1610607373423</v>
      </c>
      <c r="S443" s="160">
        <f t="shared" si="254"/>
        <v>1.5706950831282642</v>
      </c>
      <c r="T443" s="160" t="str">
        <f t="shared" si="246"/>
        <v>1+0.185923030778644i</v>
      </c>
      <c r="U443" s="160">
        <f t="shared" si="255"/>
        <v>1.0171368508582888</v>
      </c>
      <c r="V443" s="160">
        <f t="shared" si="256"/>
        <v>0.18382410412787845</v>
      </c>
      <c r="W443" s="98" t="str">
        <f t="shared" si="247"/>
        <v>1-0.759781616162728i</v>
      </c>
      <c r="X443" s="160">
        <f t="shared" si="257"/>
        <v>1.2558933490781958</v>
      </c>
      <c r="Y443" s="160">
        <f t="shared" si="258"/>
        <v>-0.64973200695922928</v>
      </c>
      <c r="Z443" s="98" t="str">
        <f t="shared" si="248"/>
        <v>-11.6491106406737-5.20208203258028i</v>
      </c>
      <c r="AA443" s="160">
        <f t="shared" si="259"/>
        <v>12.757877417201961</v>
      </c>
      <c r="AB443" s="160">
        <f t="shared" si="260"/>
        <v>-2.7215991642367467</v>
      </c>
      <c r="AC443" s="171" t="str">
        <f t="shared" si="261"/>
        <v>0.00605492996257994+0.00494662535434781i</v>
      </c>
      <c r="AD443" s="190">
        <f t="shared" si="262"/>
        <v>-42.137365159631209</v>
      </c>
      <c r="AE443" s="169">
        <f t="shared" si="263"/>
        <v>39.247389997870663</v>
      </c>
      <c r="AF443" s="98" t="str">
        <f t="shared" si="249"/>
        <v>-0.0000119284294234592</v>
      </c>
      <c r="AG443" s="98" t="str">
        <f t="shared" si="250"/>
        <v>0.0201487380650918i</v>
      </c>
      <c r="AH443" s="98">
        <f t="shared" si="264"/>
        <v>2.0148738065091799E-2</v>
      </c>
      <c r="AI443" s="98">
        <f t="shared" si="265"/>
        <v>1.5707963267948966</v>
      </c>
      <c r="AJ443" s="98" t="str">
        <f t="shared" si="251"/>
        <v>1+1.10412841163911i</v>
      </c>
      <c r="AK443" s="98">
        <f t="shared" si="266"/>
        <v>1.4896642404880047</v>
      </c>
      <c r="AL443" s="98">
        <f t="shared" si="267"/>
        <v>0.83484549334049052</v>
      </c>
      <c r="AM443" s="98" t="str">
        <f t="shared" si="252"/>
        <v>1+603.355989305697i</v>
      </c>
      <c r="AN443" s="98">
        <f t="shared" si="268"/>
        <v>603.35681800329098</v>
      </c>
      <c r="AO443" s="98">
        <f t="shared" si="269"/>
        <v>1.5691389319864055</v>
      </c>
      <c r="AP443" s="168" t="str">
        <f t="shared" si="270"/>
        <v>-0.160670734719888+0.177993141808643i</v>
      </c>
      <c r="AQ443" s="98">
        <f t="shared" si="271"/>
        <v>-12.403575073196937</v>
      </c>
      <c r="AR443" s="169">
        <f t="shared" si="272"/>
        <v>132.07191495855935</v>
      </c>
      <c r="AS443" s="168" t="str">
        <f t="shared" si="273"/>
        <v>-0.00185331543393584+0.000282958077403804i</v>
      </c>
      <c r="AT443" s="190">
        <f t="shared" si="274"/>
        <v>-54.540940232828149</v>
      </c>
      <c r="AU443" s="169">
        <f t="shared" si="275"/>
        <v>171.31930495642999</v>
      </c>
      <c r="AV443" s="225"/>
      <c r="AX443">
        <f t="shared" si="276"/>
        <v>0</v>
      </c>
      <c r="AY443">
        <f t="shared" si="277"/>
        <v>0</v>
      </c>
    </row>
    <row r="444" spans="14:51" x14ac:dyDescent="0.2">
      <c r="N444" s="170">
        <v>26</v>
      </c>
      <c r="O444" s="199">
        <f t="shared" si="278"/>
        <v>181970.08586099857</v>
      </c>
      <c r="P444" s="189" t="str">
        <f t="shared" si="244"/>
        <v>771.276595744681</v>
      </c>
      <c r="Q444" s="160" t="str">
        <f t="shared" si="245"/>
        <v>1+10107.2296452798i</v>
      </c>
      <c r="R444" s="160">
        <f t="shared" si="253"/>
        <v>10107.229694749338</v>
      </c>
      <c r="S444" s="160">
        <f t="shared" si="254"/>
        <v>1.5706973877154622</v>
      </c>
      <c r="T444" s="160" t="str">
        <f t="shared" si="246"/>
        <v>1+0.190253734499384i</v>
      </c>
      <c r="U444" s="160">
        <f t="shared" si="255"/>
        <v>1.0179373671748975</v>
      </c>
      <c r="V444" s="160">
        <f t="shared" si="256"/>
        <v>0.18800682894640777</v>
      </c>
      <c r="W444" s="98" t="str">
        <f t="shared" si="247"/>
        <v>1-0.777479203483059i</v>
      </c>
      <c r="X444" s="160">
        <f t="shared" si="257"/>
        <v>1.2666782984833409</v>
      </c>
      <c r="Y444" s="160">
        <f t="shared" si="258"/>
        <v>-0.66085710717801915</v>
      </c>
      <c r="Z444" s="98" t="str">
        <f t="shared" si="248"/>
        <v>-12.2452448593036-5.32325408920899i</v>
      </c>
      <c r="AA444" s="160">
        <f t="shared" si="259"/>
        <v>13.352267813468298</v>
      </c>
      <c r="AB444" s="160">
        <f t="shared" si="260"/>
        <v>-2.7315178838203154</v>
      </c>
      <c r="AC444" s="171" t="str">
        <f t="shared" si="261"/>
        <v>0.00569284492283984+0.00467911649352113i</v>
      </c>
      <c r="AD444" s="190">
        <f t="shared" si="262"/>
        <v>-42.651792601915517</v>
      </c>
      <c r="AE444" s="169">
        <f t="shared" si="263"/>
        <v>39.417789914832532</v>
      </c>
      <c r="AF444" s="98" t="str">
        <f t="shared" si="249"/>
        <v>-0.0000119284294234592</v>
      </c>
      <c r="AG444" s="98" t="str">
        <f t="shared" si="250"/>
        <v>0.0206180624653089i</v>
      </c>
      <c r="AH444" s="98">
        <f t="shared" si="264"/>
        <v>2.0618062465308899E-2</v>
      </c>
      <c r="AI444" s="98">
        <f t="shared" si="265"/>
        <v>1.5707963267948966</v>
      </c>
      <c r="AJ444" s="98" t="str">
        <f t="shared" si="251"/>
        <v>1+1.12984686620837i</v>
      </c>
      <c r="AK444" s="98">
        <f t="shared" si="266"/>
        <v>1.5088253514177425</v>
      </c>
      <c r="AL444" s="98">
        <f t="shared" si="267"/>
        <v>0.84628815298799498</v>
      </c>
      <c r="AM444" s="98" t="str">
        <f t="shared" si="252"/>
        <v>1+617.409955707137i</v>
      </c>
      <c r="AN444" s="98">
        <f t="shared" si="268"/>
        <v>617.41076554129575</v>
      </c>
      <c r="AO444" s="98">
        <f t="shared" si="269"/>
        <v>1.5691766588314717</v>
      </c>
      <c r="AP444" s="168" t="str">
        <f t="shared" si="270"/>
        <v>-0.156615816819861+0.17753043252754i</v>
      </c>
      <c r="AQ444" s="98">
        <f t="shared" si="271"/>
        <v>-12.514587207975527</v>
      </c>
      <c r="AR444" s="169">
        <f t="shared" si="272"/>
        <v>131.41846044334943</v>
      </c>
      <c r="AS444" s="168" t="str">
        <f t="shared" si="273"/>
        <v>-0.00172227513256091+0.000277829569835871i</v>
      </c>
      <c r="AT444" s="190">
        <f t="shared" si="274"/>
        <v>-55.166379809891062</v>
      </c>
      <c r="AU444" s="169">
        <f t="shared" si="275"/>
        <v>170.83625035818199</v>
      </c>
      <c r="AV444" s="225"/>
      <c r="AX444">
        <f t="shared" si="276"/>
        <v>0</v>
      </c>
      <c r="AY444">
        <f t="shared" si="277"/>
        <v>0</v>
      </c>
    </row>
    <row r="445" spans="14:51" x14ac:dyDescent="0.2">
      <c r="N445" s="170">
        <v>27</v>
      </c>
      <c r="O445" s="199">
        <f t="shared" si="278"/>
        <v>186208.71366628664</v>
      </c>
      <c r="P445" s="189" t="str">
        <f t="shared" si="244"/>
        <v>771.276595744681</v>
      </c>
      <c r="Q445" s="160" t="str">
        <f t="shared" si="245"/>
        <v>1+10342.6572673871i</v>
      </c>
      <c r="R445" s="160">
        <f t="shared" si="253"/>
        <v>10342.657315730576</v>
      </c>
      <c r="S445" s="160">
        <f t="shared" si="254"/>
        <v>1.570699639843852</v>
      </c>
      <c r="T445" s="160" t="str">
        <f t="shared" si="246"/>
        <v>1+0.194685313268463i</v>
      </c>
      <c r="U445" s="160">
        <f t="shared" si="255"/>
        <v>1.0187749364812817</v>
      </c>
      <c r="V445" s="160">
        <f t="shared" si="256"/>
        <v>0.19228010044007457</v>
      </c>
      <c r="W445" s="98" t="str">
        <f t="shared" si="247"/>
        <v>1-0.795589020568236i</v>
      </c>
      <c r="X445" s="160">
        <f t="shared" si="257"/>
        <v>1.2778739725218309</v>
      </c>
      <c r="Y445" s="160">
        <f t="shared" si="258"/>
        <v>-0.67204552741570189</v>
      </c>
      <c r="Z445" s="98" t="str">
        <f t="shared" si="248"/>
        <v>-12.8694740181012-5.44724860561742i</v>
      </c>
      <c r="AA445" s="160">
        <f t="shared" si="259"/>
        <v>13.974830191239636</v>
      </c>
      <c r="AB445" s="160">
        <f t="shared" si="260"/>
        <v>-2.7411891440778025</v>
      </c>
      <c r="AC445" s="171" t="str">
        <f t="shared" si="261"/>
        <v>0.00535464839629698+0.004425906786093i</v>
      </c>
      <c r="AD445" s="190">
        <f t="shared" si="262"/>
        <v>-43.164044904187534</v>
      </c>
      <c r="AE445" s="169">
        <f t="shared" si="263"/>
        <v>39.575574434970058</v>
      </c>
      <c r="AF445" s="98" t="str">
        <f t="shared" si="249"/>
        <v>-0.0000119284294234592</v>
      </c>
      <c r="AG445" s="98" t="str">
        <f t="shared" si="250"/>
        <v>0.0210983188351574i</v>
      </c>
      <c r="AH445" s="98">
        <f t="shared" si="264"/>
        <v>2.1098318835157399E-2</v>
      </c>
      <c r="AI445" s="98">
        <f t="shared" si="265"/>
        <v>1.5707963267948966</v>
      </c>
      <c r="AJ445" s="98" t="str">
        <f t="shared" si="251"/>
        <v>1+1.15616438054139i</v>
      </c>
      <c r="AK445" s="98">
        <f t="shared" si="266"/>
        <v>1.5286320927000898</v>
      </c>
      <c r="AL445" s="98">
        <f t="shared" si="267"/>
        <v>0.85769885455458172</v>
      </c>
      <c r="AM445" s="98" t="str">
        <f t="shared" si="252"/>
        <v>1+631.791281039483i</v>
      </c>
      <c r="AN445" s="98">
        <f t="shared" si="268"/>
        <v>631.79207243958922</v>
      </c>
      <c r="AO445" s="98">
        <f t="shared" si="269"/>
        <v>1.5692135269131549</v>
      </c>
      <c r="AP445" s="168" t="str">
        <f t="shared" si="270"/>
        <v>-0.152583516181951+0.176976999922756i</v>
      </c>
      <c r="AQ445" s="98">
        <f t="shared" si="271"/>
        <v>-12.627867732419107</v>
      </c>
      <c r="AR445" s="169">
        <f t="shared" si="272"/>
        <v>130.76678778777983</v>
      </c>
      <c r="AS445" s="168" t="str">
        <f t="shared" si="273"/>
        <v>-0.00160031478516554+0.000272329189102208i</v>
      </c>
      <c r="AT445" s="190">
        <f t="shared" si="274"/>
        <v>-55.791912636606668</v>
      </c>
      <c r="AU445" s="169">
        <f t="shared" si="275"/>
        <v>170.34236222274987</v>
      </c>
      <c r="AV445" s="225"/>
      <c r="AX445">
        <f t="shared" si="276"/>
        <v>0</v>
      </c>
      <c r="AY445">
        <f t="shared" si="277"/>
        <v>0</v>
      </c>
    </row>
    <row r="446" spans="14:51" x14ac:dyDescent="0.2">
      <c r="N446" s="170">
        <v>28</v>
      </c>
      <c r="O446" s="199">
        <f t="shared" si="278"/>
        <v>190546.07179632492</v>
      </c>
      <c r="P446" s="189" t="str">
        <f t="shared" si="244"/>
        <v>771.276595744681</v>
      </c>
      <c r="Q446" s="160" t="str">
        <f t="shared" si="245"/>
        <v>1+10583.5687032789i</v>
      </c>
      <c r="R446" s="160">
        <f t="shared" si="253"/>
        <v>10583.568750521943</v>
      </c>
      <c r="S446" s="160">
        <f t="shared" si="254"/>
        <v>1.5707018407075417</v>
      </c>
      <c r="T446" s="160" t="str">
        <f t="shared" si="246"/>
        <v>1+0.199220116767603i</v>
      </c>
      <c r="U446" s="160">
        <f t="shared" si="255"/>
        <v>1.0196512418101089</v>
      </c>
      <c r="V446" s="160">
        <f t="shared" si="256"/>
        <v>0.19664555978385767</v>
      </c>
      <c r="W446" s="98" t="str">
        <f t="shared" si="247"/>
        <v>1-0.814120669482992i</v>
      </c>
      <c r="X446" s="160">
        <f t="shared" si="257"/>
        <v>1.289493103695958</v>
      </c>
      <c r="Y446" s="160">
        <f t="shared" si="258"/>
        <v>-0.68329199589973144</v>
      </c>
      <c r="Z446" s="98" t="str">
        <f t="shared" si="248"/>
        <v>-13.5231221908043-5.57413132533946i</v>
      </c>
      <c r="AA446" s="160">
        <f t="shared" si="259"/>
        <v>14.626885308210849</v>
      </c>
      <c r="AB446" s="160">
        <f t="shared" si="260"/>
        <v>-2.7506197757455277</v>
      </c>
      <c r="AC446" s="171" t="str">
        <f t="shared" si="261"/>
        <v>0.00503863877270603+0.00418635802842241i</v>
      </c>
      <c r="AD446" s="190">
        <f t="shared" si="262"/>
        <v>-43.674063240780626</v>
      </c>
      <c r="AE446" s="169">
        <f t="shared" si="263"/>
        <v>39.721530944945435</v>
      </c>
      <c r="AF446" s="98" t="str">
        <f t="shared" si="249"/>
        <v>-0.0000119284294234592</v>
      </c>
      <c r="AG446" s="98" t="str">
        <f t="shared" si="250"/>
        <v>0.0215897618129217i</v>
      </c>
      <c r="AH446" s="98">
        <f t="shared" si="264"/>
        <v>2.1589761812921701E-2</v>
      </c>
      <c r="AI446" s="98">
        <f t="shared" si="265"/>
        <v>1.5707963267948966</v>
      </c>
      <c r="AJ446" s="98" t="str">
        <f t="shared" si="251"/>
        <v>1+1.18309490853264i</v>
      </c>
      <c r="AK446" s="98">
        <f t="shared" si="266"/>
        <v>1.5491008884497666</v>
      </c>
      <c r="AL446" s="98">
        <f t="shared" si="267"/>
        <v>0.86907176329418456</v>
      </c>
      <c r="AM446" s="98" t="str">
        <f t="shared" si="252"/>
        <v>1+646.507590471789i</v>
      </c>
      <c r="AN446" s="98">
        <f t="shared" si="268"/>
        <v>646.50836385745106</v>
      </c>
      <c r="AO446" s="98">
        <f t="shared" si="269"/>
        <v>1.5692495557789989</v>
      </c>
      <c r="AP446" s="168" t="str">
        <f t="shared" si="270"/>
        <v>-0.148577880533028+0.176334237963578i</v>
      </c>
      <c r="AQ446" s="98">
        <f t="shared" si="271"/>
        <v>-12.743402820665757</v>
      </c>
      <c r="AR446" s="169">
        <f t="shared" si="272"/>
        <v>130.1172324181664</v>
      </c>
      <c r="AS446" s="168" t="str">
        <f t="shared" si="273"/>
        <v>-0.00148682852240477+0.000266484325343428i</v>
      </c>
      <c r="AT446" s="190">
        <f t="shared" si="274"/>
        <v>-56.417466061446397</v>
      </c>
      <c r="AU446" s="169">
        <f t="shared" si="275"/>
        <v>169.83876336311181</v>
      </c>
      <c r="AV446" s="225"/>
      <c r="AX446">
        <f t="shared" si="276"/>
        <v>0</v>
      </c>
      <c r="AY446">
        <f t="shared" si="277"/>
        <v>0</v>
      </c>
    </row>
    <row r="447" spans="14:51" x14ac:dyDescent="0.2">
      <c r="N447" s="170">
        <v>29</v>
      </c>
      <c r="O447" s="199">
        <f t="shared" si="278"/>
        <v>194984.45997580473</v>
      </c>
      <c r="P447" s="189" t="str">
        <f t="shared" si="244"/>
        <v>771.276595744681</v>
      </c>
      <c r="Q447" s="160" t="str">
        <f t="shared" si="245"/>
        <v>1+10830.0916873872i</v>
      </c>
      <c r="R447" s="160">
        <f t="shared" si="253"/>
        <v>10830.09173355486</v>
      </c>
      <c r="S447" s="160">
        <f t="shared" si="254"/>
        <v>1.5707039914734586</v>
      </c>
      <c r="T447" s="160" t="str">
        <f t="shared" si="246"/>
        <v>1+0.203860549409641i</v>
      </c>
      <c r="U447" s="160">
        <f t="shared" si="255"/>
        <v>1.0205680396747689</v>
      </c>
      <c r="V447" s="160">
        <f t="shared" si="256"/>
        <v>0.20110485573450615</v>
      </c>
      <c r="W447" s="98" t="str">
        <f t="shared" si="247"/>
        <v>1-0.833083975952856i</v>
      </c>
      <c r="X447" s="160">
        <f t="shared" si="257"/>
        <v>1.3015486587098535</v>
      </c>
      <c r="Y447" s="160">
        <f t="shared" si="258"/>
        <v>-0.69459109641566541</v>
      </c>
      <c r="Z447" s="98" t="str">
        <f t="shared" si="248"/>
        <v>-14.2075758528224-5.70396952327247i</v>
      </c>
      <c r="AA447" s="160">
        <f t="shared" si="259"/>
        <v>15.309816456643864</v>
      </c>
      <c r="AB447" s="160">
        <f t="shared" si="260"/>
        <v>-2.7598164018302249</v>
      </c>
      <c r="AC447" s="171" t="str">
        <f t="shared" si="261"/>
        <v>0.00474324010731991+0.00395984151448525i</v>
      </c>
      <c r="AD447" s="190">
        <f t="shared" si="262"/>
        <v>-44.181791873835969</v>
      </c>
      <c r="AE447" s="169">
        <f t="shared" si="263"/>
        <v>39.85644364126356</v>
      </c>
      <c r="AF447" s="98" t="str">
        <f t="shared" si="249"/>
        <v>-0.0000119284294234592</v>
      </c>
      <c r="AG447" s="98" t="str">
        <f t="shared" si="250"/>
        <v>0.0220926519681734i</v>
      </c>
      <c r="AH447" s="98">
        <f t="shared" si="264"/>
        <v>2.20926519681734E-2</v>
      </c>
      <c r="AI447" s="98">
        <f t="shared" si="265"/>
        <v>1.5707963267948966</v>
      </c>
      <c r="AJ447" s="98" t="str">
        <f t="shared" si="251"/>
        <v>1+1.21065272910448i</v>
      </c>
      <c r="AK447" s="98">
        <f t="shared" si="266"/>
        <v>1.5702483977027728</v>
      </c>
      <c r="AL447" s="98">
        <f t="shared" si="267"/>
        <v>0.8804011420708332</v>
      </c>
      <c r="AM447" s="98" t="str">
        <f t="shared" si="252"/>
        <v>1+661.566686786093i</v>
      </c>
      <c r="AN447" s="98">
        <f t="shared" si="268"/>
        <v>661.56744256736852</v>
      </c>
      <c r="AO447" s="98">
        <f t="shared" si="269"/>
        <v>1.5692847645316106</v>
      </c>
      <c r="AP447" s="168" t="str">
        <f t="shared" si="270"/>
        <v>-0.144602848142575+0.175603760198352i</v>
      </c>
      <c r="AQ447" s="98">
        <f t="shared" si="271"/>
        <v>-12.861176406256655</v>
      </c>
      <c r="AR447" s="169">
        <f t="shared" si="272"/>
        <v>129.4701241426861</v>
      </c>
      <c r="AS447" s="168" t="str">
        <f t="shared" si="273"/>
        <v>-0.0013812490886757+0.000260326437181236i</v>
      </c>
      <c r="AT447" s="190">
        <f t="shared" si="274"/>
        <v>-57.042968280092616</v>
      </c>
      <c r="AU447" s="169">
        <f t="shared" si="275"/>
        <v>169.32656778394968</v>
      </c>
      <c r="AV447" s="225"/>
      <c r="AX447">
        <f t="shared" si="276"/>
        <v>0</v>
      </c>
      <c r="AY447">
        <f t="shared" si="277"/>
        <v>0</v>
      </c>
    </row>
    <row r="448" spans="14:51" x14ac:dyDescent="0.2">
      <c r="N448" s="170">
        <v>30</v>
      </c>
      <c r="O448" s="199">
        <f t="shared" si="278"/>
        <v>199526.23149688813</v>
      </c>
      <c r="P448" s="189" t="str">
        <f t="shared" si="244"/>
        <v>771.276595744681</v>
      </c>
      <c r="Q448" s="160" t="str">
        <f t="shared" si="245"/>
        <v>1+11082.3569294614i</v>
      </c>
      <c r="R448" s="160">
        <f t="shared" si="253"/>
        <v>11082.356974578159</v>
      </c>
      <c r="S448" s="160">
        <f t="shared" si="254"/>
        <v>1.570706093281967</v>
      </c>
      <c r="T448" s="160" t="str">
        <f t="shared" si="246"/>
        <v>1+0.20860907161339i</v>
      </c>
      <c r="U448" s="160">
        <f t="shared" si="255"/>
        <v>1.0215271630061535</v>
      </c>
      <c r="V448" s="160">
        <f t="shared" si="256"/>
        <v>0.20565964293657418</v>
      </c>
      <c r="W448" s="98" t="str">
        <f t="shared" si="247"/>
        <v>1-0.852488994573947i</v>
      </c>
      <c r="X448" s="160">
        <f t="shared" si="257"/>
        <v>1.3140538367470715</v>
      </c>
      <c r="Y448" s="160">
        <f t="shared" si="258"/>
        <v>-0.70593728021472568</v>
      </c>
      <c r="Z448" s="98" t="str">
        <f t="shared" si="248"/>
        <v>-14.9242868221399-5.83683204134772i</v>
      </c>
      <c r="AA448" s="160">
        <f t="shared" si="259"/>
        <v>16.025072400098605</v>
      </c>
      <c r="AB448" s="160">
        <f t="shared" si="260"/>
        <v>-2.7687854427477943</v>
      </c>
      <c r="AC448" s="171" t="str">
        <f t="shared" si="261"/>
        <v>0.00446699303096186+0.00374574097718026i</v>
      </c>
      <c r="AD448" s="190">
        <f t="shared" si="262"/>
        <v>-44.687178091728654</v>
      </c>
      <c r="AE448" s="169">
        <f t="shared" si="263"/>
        <v>39.98109304535636</v>
      </c>
      <c r="AF448" s="98" t="str">
        <f t="shared" si="249"/>
        <v>-0.0000119284294234592</v>
      </c>
      <c r="AG448" s="98" t="str">
        <f t="shared" si="250"/>
        <v>0.0226072559399294i</v>
      </c>
      <c r="AH448" s="98">
        <f t="shared" si="264"/>
        <v>2.2607255939929401E-2</v>
      </c>
      <c r="AI448" s="98">
        <f t="shared" si="265"/>
        <v>1.5707963267948966</v>
      </c>
      <c r="AJ448" s="98" t="str">
        <f t="shared" si="251"/>
        <v>1+1.23885245377819i</v>
      </c>
      <c r="AK448" s="98">
        <f t="shared" si="266"/>
        <v>1.5920915181710635</v>
      </c>
      <c r="AL448" s="98">
        <f t="shared" si="267"/>
        <v>0.89168136521186536</v>
      </c>
      <c r="AM448" s="98" t="str">
        <f t="shared" si="252"/>
        <v>1+676.976554514607i</v>
      </c>
      <c r="AN448" s="98">
        <f t="shared" si="268"/>
        <v>676.97729309221938</v>
      </c>
      <c r="AO448" s="98">
        <f t="shared" si="269"/>
        <v>1.5693191718387873</v>
      </c>
      <c r="AP448" s="168" t="str">
        <f t="shared" si="270"/>
        <v>-0.140662233011858+0.17478738972949i</v>
      </c>
      <c r="AQ448" s="98">
        <f t="shared" si="271"/>
        <v>-12.981170247738197</v>
      </c>
      <c r="AR448" s="169">
        <f t="shared" si="272"/>
        <v>128.82578635822486</v>
      </c>
      <c r="AS448" s="168" t="str">
        <f t="shared" si="273"/>
        <v>-0.00128304550258763+0.000253889761687452i</v>
      </c>
      <c r="AT448" s="190">
        <f t="shared" si="274"/>
        <v>-57.668348339466853</v>
      </c>
      <c r="AU448" s="169">
        <f t="shared" si="275"/>
        <v>168.80687940358123</v>
      </c>
      <c r="AV448" s="225"/>
      <c r="AX448">
        <f t="shared" si="276"/>
        <v>0</v>
      </c>
      <c r="AY448">
        <f t="shared" si="277"/>
        <v>0</v>
      </c>
    </row>
    <row r="449" spans="14:51" x14ac:dyDescent="0.2">
      <c r="N449" s="170">
        <v>31</v>
      </c>
      <c r="O449" s="199">
        <f t="shared" si="278"/>
        <v>204173.79446695308</v>
      </c>
      <c r="P449" s="189" t="str">
        <f t="shared" si="244"/>
        <v>771.276595744681</v>
      </c>
      <c r="Q449" s="160" t="str">
        <f t="shared" si="245"/>
        <v>1+11340.4981838718i</v>
      </c>
      <c r="R449" s="160">
        <f t="shared" si="253"/>
        <v>11340.498227961572</v>
      </c>
      <c r="S449" s="160">
        <f t="shared" si="254"/>
        <v>1.5707081472474733</v>
      </c>
      <c r="T449" s="160" t="str">
        <f t="shared" si="246"/>
        <v>1+0.213468201108175i</v>
      </c>
      <c r="U449" s="160">
        <f t="shared" si="255"/>
        <v>1.0225305241822173</v>
      </c>
      <c r="V449" s="160">
        <f t="shared" si="256"/>
        <v>0.21031158009063555</v>
      </c>
      <c r="W449" s="98" t="str">
        <f t="shared" si="247"/>
        <v>1-0.872346014143983i</v>
      </c>
      <c r="X449" s="160">
        <f t="shared" si="257"/>
        <v>1.327022067786702</v>
      </c>
      <c r="Y449" s="160">
        <f t="shared" si="258"/>
        <v>-0.71732487871525386</v>
      </c>
      <c r="Z449" s="98" t="str">
        <f t="shared" si="248"/>
        <v>-15.6747753388133-5.97278932503087i</v>
      </c>
      <c r="AA449" s="160">
        <f t="shared" si="259"/>
        <v>16.774170448742684</v>
      </c>
      <c r="AB449" s="160">
        <f t="shared" si="260"/>
        <v>-2.7775331216567647</v>
      </c>
      <c r="AC449" s="171" t="str">
        <f t="shared" si="261"/>
        <v>0.00420854624148822+0.0035434549521505i</v>
      </c>
      <c r="AD449" s="190">
        <f t="shared" si="262"/>
        <v>-45.190172150264402</v>
      </c>
      <c r="AE449" s="169">
        <f t="shared" si="263"/>
        <v>40.09625547643936</v>
      </c>
      <c r="AF449" s="98" t="str">
        <f t="shared" si="249"/>
        <v>-0.0000119284294234592</v>
      </c>
      <c r="AG449" s="98" t="str">
        <f t="shared" si="250"/>
        <v>0.0231338465780273i</v>
      </c>
      <c r="AH449" s="98">
        <f t="shared" si="264"/>
        <v>2.3133846578027299E-2</v>
      </c>
      <c r="AI449" s="98">
        <f t="shared" si="265"/>
        <v>1.5707963267948966</v>
      </c>
      <c r="AJ449" s="98" t="str">
        <f t="shared" si="251"/>
        <v>1+1.26770903442103i</v>
      </c>
      <c r="AK449" s="98">
        <f t="shared" si="266"/>
        <v>1.6146473905942127</v>
      </c>
      <c r="AL449" s="98">
        <f t="shared" si="267"/>
        <v>0.9029069316763495</v>
      </c>
      <c r="AM449" s="98" t="str">
        <f t="shared" si="252"/>
        <v>1+692.745364173165i</v>
      </c>
      <c r="AN449" s="98">
        <f t="shared" si="268"/>
        <v>692.74608593871596</v>
      </c>
      <c r="AO449" s="98">
        <f t="shared" si="269"/>
        <v>1.569352795943413</v>
      </c>
      <c r="AP449" s="168" t="str">
        <f t="shared" si="270"/>
        <v>-0.136759711117477+0.173887148048065i</v>
      </c>
      <c r="AQ449" s="98">
        <f t="shared" si="271"/>
        <v>-13.103364002281241</v>
      </c>
      <c r="AR449" s="169">
        <f t="shared" si="272"/>
        <v>128.18453529645146</v>
      </c>
      <c r="AS449" s="168" t="str">
        <f t="shared" si="273"/>
        <v>-0.00119172084407672+0.000247210227746894i</v>
      </c>
      <c r="AT449" s="190">
        <f t="shared" si="274"/>
        <v>-58.293536152545613</v>
      </c>
      <c r="AU449" s="169">
        <f t="shared" si="275"/>
        <v>168.28079077289084</v>
      </c>
      <c r="AV449" s="225"/>
      <c r="AX449">
        <f t="shared" si="276"/>
        <v>0</v>
      </c>
      <c r="AY449">
        <f t="shared" si="277"/>
        <v>0</v>
      </c>
    </row>
    <row r="450" spans="14:51" x14ac:dyDescent="0.2">
      <c r="N450" s="170">
        <v>32</v>
      </c>
      <c r="O450" s="199">
        <f t="shared" si="278"/>
        <v>208929.61308540447</v>
      </c>
      <c r="P450" s="189" t="str">
        <f t="shared" si="244"/>
        <v>771.276595744681</v>
      </c>
      <c r="Q450" s="160" t="str">
        <f t="shared" si="245"/>
        <v>1+11604.6523205287i</v>
      </c>
      <c r="R450" s="160">
        <f t="shared" si="253"/>
        <v>11604.652363614865</v>
      </c>
      <c r="S450" s="160">
        <f t="shared" si="254"/>
        <v>1.5707101544590176</v>
      </c>
      <c r="T450" s="160" t="str">
        <f t="shared" si="246"/>
        <v>1+0.218440514268776i</v>
      </c>
      <c r="U450" s="160">
        <f t="shared" si="255"/>
        <v>1.0235801181509963</v>
      </c>
      <c r="V450" s="160">
        <f t="shared" si="256"/>
        <v>0.21506232797719413</v>
      </c>
      <c r="W450" s="98" t="str">
        <f t="shared" si="247"/>
        <v>1-0.892665563117591i</v>
      </c>
      <c r="X450" s="160">
        <f t="shared" si="257"/>
        <v>1.3404670109987957</v>
      </c>
      <c r="Y450" s="160">
        <f t="shared" si="258"/>
        <v>-0.72874811693368391</v>
      </c>
      <c r="Z450" s="98" t="str">
        <f t="shared" si="248"/>
        <v>-16.4606332896068-6.11191346067342i</v>
      </c>
      <c r="AA450" s="160">
        <f t="shared" si="259"/>
        <v>17.558699679807514</v>
      </c>
      <c r="AB450" s="160">
        <f t="shared" si="260"/>
        <v>-2.7860654699247731</v>
      </c>
      <c r="AC450" s="171" t="str">
        <f t="shared" si="261"/>
        <v>0.00396664855430394+0.00335239864145421i</v>
      </c>
      <c r="AD450" s="190">
        <f t="shared" si="262"/>
        <v>-45.690727215383234</v>
      </c>
      <c r="AE450" s="169">
        <f t="shared" si="263"/>
        <v>40.202702481923815</v>
      </c>
      <c r="AF450" s="98" t="str">
        <f t="shared" si="249"/>
        <v>-0.0000119284294234592</v>
      </c>
      <c r="AG450" s="98" t="str">
        <f t="shared" si="250"/>
        <v>0.0236727030877934i</v>
      </c>
      <c r="AH450" s="98">
        <f t="shared" si="264"/>
        <v>2.3672703087793401E-2</v>
      </c>
      <c r="AI450" s="98">
        <f t="shared" si="265"/>
        <v>1.5707963267948966</v>
      </c>
      <c r="AJ450" s="98" t="str">
        <f t="shared" si="251"/>
        <v>1+1.29723777117405i</v>
      </c>
      <c r="AK450" s="98">
        <f t="shared" si="266"/>
        <v>1.637933403701328</v>
      </c>
      <c r="AL450" s="98">
        <f t="shared" si="267"/>
        <v>0.91407247746928</v>
      </c>
      <c r="AM450" s="98" t="str">
        <f t="shared" si="252"/>
        <v>1+708.881476593383i</v>
      </c>
      <c r="AN450" s="98">
        <f t="shared" si="268"/>
        <v>708.88218192956083</v>
      </c>
      <c r="AO450" s="98">
        <f t="shared" si="269"/>
        <v>1.5693856546731286</v>
      </c>
      <c r="AP450" s="168" t="str">
        <f t="shared" si="270"/>
        <v>-0.132898807805796+0.172905242852222i</v>
      </c>
      <c r="AQ450" s="98">
        <f t="shared" si="271"/>
        <v>-13.227735306697285</v>
      </c>
      <c r="AR450" s="169">
        <f t="shared" si="272"/>
        <v>127.54667931308904</v>
      </c>
      <c r="AS450" s="168" t="str">
        <f t="shared" si="273"/>
        <v>-0.00110681016508968+0.000240324548852303i</v>
      </c>
      <c r="AT450" s="190">
        <f t="shared" si="274"/>
        <v>-58.918462522080503</v>
      </c>
      <c r="AU450" s="169">
        <f t="shared" si="275"/>
        <v>167.74938179501291</v>
      </c>
      <c r="AV450" s="225"/>
      <c r="AX450">
        <f t="shared" si="276"/>
        <v>0</v>
      </c>
      <c r="AY450">
        <f t="shared" si="277"/>
        <v>0</v>
      </c>
    </row>
    <row r="451" spans="14:51" x14ac:dyDescent="0.2">
      <c r="N451" s="170">
        <v>33</v>
      </c>
      <c r="O451" s="199">
        <f t="shared" si="278"/>
        <v>213796.20895022334</v>
      </c>
      <c r="P451" s="189" t="str">
        <f t="shared" si="244"/>
        <v>771.276595744681</v>
      </c>
      <c r="Q451" s="160" t="str">
        <f t="shared" si="245"/>
        <v>1+11874.9593974516i</v>
      </c>
      <c r="R451" s="160">
        <f t="shared" si="253"/>
        <v>11874.959439557006</v>
      </c>
      <c r="S451" s="160">
        <f t="shared" si="254"/>
        <v>1.5707121159808495</v>
      </c>
      <c r="T451" s="160" t="str">
        <f t="shared" si="246"/>
        <v>1+0.223528647481442i</v>
      </c>
      <c r="U451" s="160">
        <f t="shared" si="255"/>
        <v>1.0246780256475119</v>
      </c>
      <c r="V451" s="160">
        <f t="shared" si="256"/>
        <v>0.21991354732969473</v>
      </c>
      <c r="W451" s="98" t="str">
        <f t="shared" si="247"/>
        <v>1-0.913458415188582i</v>
      </c>
      <c r="X451" s="160">
        <f t="shared" si="257"/>
        <v>1.3544025532606012</v>
      </c>
      <c r="Y451" s="160">
        <f t="shared" si="258"/>
        <v>-0.74020112757227263</v>
      </c>
      <c r="Z451" s="98" t="str">
        <f t="shared" si="248"/>
        <v>-17.2835275845951-6.25427821373351i</v>
      </c>
      <c r="AA451" s="160">
        <f t="shared" si="259"/>
        <v>18.380324310039835</v>
      </c>
      <c r="AB451" s="160">
        <f t="shared" si="260"/>
        <v>-2.7943883326750041</v>
      </c>
      <c r="AC451" s="171" t="str">
        <f t="shared" si="261"/>
        <v>0.00374014148753486+0.00317200534573325i</v>
      </c>
      <c r="AD451" s="190">
        <f t="shared" si="262"/>
        <v>-46.188799306180002</v>
      </c>
      <c r="AE451" s="169">
        <f t="shared" si="263"/>
        <v>40.301200226137105</v>
      </c>
      <c r="AF451" s="98" t="str">
        <f t="shared" si="249"/>
        <v>-0.0000119284294234592</v>
      </c>
      <c r="AG451" s="98" t="str">
        <f t="shared" si="250"/>
        <v>0.0242241111780819i</v>
      </c>
      <c r="AH451" s="98">
        <f t="shared" si="264"/>
        <v>2.4224111178081899E-2</v>
      </c>
      <c r="AI451" s="98">
        <f t="shared" si="265"/>
        <v>1.5707963267948966</v>
      </c>
      <c r="AJ451" s="98" t="str">
        <f t="shared" si="251"/>
        <v>1+1.32745432056431i</v>
      </c>
      <c r="AK451" s="98">
        <f t="shared" si="266"/>
        <v>1.6619671997921179</v>
      </c>
      <c r="AL451" s="98">
        <f t="shared" si="267"/>
        <v>0.92517278723993246</v>
      </c>
      <c r="AM451" s="98" t="str">
        <f t="shared" si="252"/>
        <v>1+725.39344735564i</v>
      </c>
      <c r="AN451" s="98">
        <f t="shared" si="268"/>
        <v>725.39413663642165</v>
      </c>
      <c r="AO451" s="98">
        <f t="shared" si="269"/>
        <v>1.5694177654497836</v>
      </c>
      <c r="AP451" s="168" t="str">
        <f t="shared" si="270"/>
        <v>-0.129082886418741+0.171844054981872i</v>
      </c>
      <c r="AQ451" s="98">
        <f t="shared" si="271"/>
        <v>-13.354259865185323</v>
      </c>
      <c r="AR451" s="169">
        <f t="shared" si="272"/>
        <v>126.91251822392205</v>
      </c>
      <c r="AS451" s="168" t="str">
        <f t="shared" si="273"/>
        <v>-0.00102787851986046+0.000233269473660997i</v>
      </c>
      <c r="AT451" s="190">
        <f t="shared" si="274"/>
        <v>-59.543059171365314</v>
      </c>
      <c r="AU451" s="169">
        <f t="shared" si="275"/>
        <v>167.21371845005913</v>
      </c>
      <c r="AV451" s="225"/>
      <c r="AX451">
        <f t="shared" si="276"/>
        <v>0</v>
      </c>
      <c r="AY451">
        <f t="shared" si="277"/>
        <v>0</v>
      </c>
    </row>
    <row r="452" spans="14:51" x14ac:dyDescent="0.2">
      <c r="N452" s="170">
        <v>34</v>
      </c>
      <c r="O452" s="199">
        <f t="shared" si="278"/>
        <v>218776.16239495538</v>
      </c>
      <c r="P452" s="189" t="str">
        <f t="shared" si="244"/>
        <v>771.276595744681</v>
      </c>
      <c r="Q452" s="160" t="str">
        <f t="shared" si="245"/>
        <v>1+12151.5627350307i</v>
      </c>
      <c r="R452" s="160">
        <f t="shared" si="253"/>
        <v>12151.562776177672</v>
      </c>
      <c r="S452" s="160">
        <f t="shared" si="254"/>
        <v>1.570714032852994</v>
      </c>
      <c r="T452" s="160" t="str">
        <f t="shared" si="246"/>
        <v>1+0.228735298541755i</v>
      </c>
      <c r="U452" s="160">
        <f t="shared" si="255"/>
        <v>1.0258264165047544</v>
      </c>
      <c r="V452" s="160">
        <f t="shared" si="256"/>
        <v>0.22486689655014383</v>
      </c>
      <c r="W452" s="98" t="str">
        <f t="shared" si="247"/>
        <v>1-0.93473559500236i</v>
      </c>
      <c r="X452" s="160">
        <f t="shared" si="257"/>
        <v>1.3688428078360262</v>
      </c>
      <c r="Y452" s="160">
        <f t="shared" si="258"/>
        <v>-0.75167796568365997</v>
      </c>
      <c r="Z452" s="98" t="str">
        <f t="shared" si="248"/>
        <v>-18.1452036929056-6.3999590678877i</v>
      </c>
      <c r="AA452" s="160">
        <f t="shared" si="259"/>
        <v>19.240787227337478</v>
      </c>
      <c r="AB452" s="160">
        <f t="shared" si="260"/>
        <v>-2.8025073743678304</v>
      </c>
      <c r="AC452" s="171" t="str">
        <f t="shared" si="261"/>
        <v>0.00352795235612921+0.00300172752563824i</v>
      </c>
      <c r="AD452" s="190">
        <f t="shared" si="262"/>
        <v>-46.684347237166754</v>
      </c>
      <c r="AE452" s="169">
        <f t="shared" si="263"/>
        <v>40.392508838991866</v>
      </c>
      <c r="AF452" s="98" t="str">
        <f t="shared" si="249"/>
        <v>-0.0000119284294234592</v>
      </c>
      <c r="AG452" s="98" t="str">
        <f t="shared" si="250"/>
        <v>0.0247883632127611i</v>
      </c>
      <c r="AH452" s="98">
        <f t="shared" si="264"/>
        <v>2.4788363212761101E-2</v>
      </c>
      <c r="AI452" s="98">
        <f t="shared" si="265"/>
        <v>1.5707963267948966</v>
      </c>
      <c r="AJ452" s="98" t="str">
        <f t="shared" si="251"/>
        <v>1+1.35837470380627i</v>
      </c>
      <c r="AK452" s="98">
        <f t="shared" si="266"/>
        <v>1.6867666809433874</v>
      </c>
      <c r="AL452" s="98">
        <f t="shared" si="267"/>
        <v>0.93620280501193798</v>
      </c>
      <c r="AM452" s="98" t="str">
        <f t="shared" si="252"/>
        <v>1+742.290031325405i</v>
      </c>
      <c r="AN452" s="98">
        <f t="shared" si="268"/>
        <v>742.29070491625498</v>
      </c>
      <c r="AO452" s="98">
        <f t="shared" si="269"/>
        <v>1.5694491452986716</v>
      </c>
      <c r="AP452" s="168" t="str">
        <f t="shared" si="270"/>
        <v>-0.125315138214694+0.170706124608528i</v>
      </c>
      <c r="AQ452" s="98">
        <f t="shared" si="271"/>
        <v>-13.482911543095993</v>
      </c>
      <c r="AR452" s="169">
        <f t="shared" si="272"/>
        <v>126.28234269053492</v>
      </c>
      <c r="AS452" s="168" t="str">
        <f t="shared" si="273"/>
        <v>-0.000954519110155637+0.000226081174760135i</v>
      </c>
      <c r="AT452" s="190">
        <f t="shared" si="274"/>
        <v>-60.167258780262742</v>
      </c>
      <c r="AU452" s="169">
        <f t="shared" si="275"/>
        <v>166.67485152952679</v>
      </c>
      <c r="AV452" s="225"/>
      <c r="AX452">
        <f t="shared" si="276"/>
        <v>0</v>
      </c>
      <c r="AY452">
        <f t="shared" si="277"/>
        <v>0</v>
      </c>
    </row>
    <row r="453" spans="14:51" x14ac:dyDescent="0.2">
      <c r="N453" s="170">
        <v>35</v>
      </c>
      <c r="O453" s="199">
        <f t="shared" si="278"/>
        <v>223872.11385683404</v>
      </c>
      <c r="P453" s="189" t="str">
        <f t="shared" si="244"/>
        <v>771.276595744681</v>
      </c>
      <c r="Q453" s="160" t="str">
        <f t="shared" si="245"/>
        <v>1+12434.6089920169i</v>
      </c>
      <c r="R453" s="160">
        <f t="shared" si="253"/>
        <v>12434.60903222725</v>
      </c>
      <c r="S453" s="160">
        <f t="shared" si="254"/>
        <v>1.5707159060918021</v>
      </c>
      <c r="T453" s="160" t="str">
        <f t="shared" si="246"/>
        <v>1+0.234063228085024i</v>
      </c>
      <c r="U453" s="160">
        <f t="shared" si="255"/>
        <v>1.0270275530586228</v>
      </c>
      <c r="V453" s="160">
        <f t="shared" si="256"/>
        <v>0.22992402926078764</v>
      </c>
      <c r="W453" s="98" t="str">
        <f t="shared" si="247"/>
        <v>1-0.956508384001299i</v>
      </c>
      <c r="X453" s="160">
        <f t="shared" si="257"/>
        <v>1.383802113260699</v>
      </c>
      <c r="Y453" s="160">
        <f t="shared" si="258"/>
        <v>-0.76317262382547502</v>
      </c>
      <c r="Z453" s="98" t="str">
        <f t="shared" si="248"/>
        <v>-19.0474893450911-6.54903326505316i</v>
      </c>
      <c r="AA453" s="160">
        <f t="shared" si="259"/>
        <v>20.141913689074631</v>
      </c>
      <c r="AB453" s="160">
        <f t="shared" si="260"/>
        <v>-2.8104280843796321</v>
      </c>
      <c r="AC453" s="171" t="str">
        <f t="shared" si="261"/>
        <v>0.00332908784844885+0.00284103754615454i</v>
      </c>
      <c r="AD453" s="190">
        <f t="shared" si="262"/>
        <v>-47.177332558797659</v>
      </c>
      <c r="AE453" s="169">
        <f t="shared" si="263"/>
        <v>40.477381727023129</v>
      </c>
      <c r="AF453" s="98" t="str">
        <f t="shared" si="249"/>
        <v>-0.0000119284294234592</v>
      </c>
      <c r="AG453" s="98" t="str">
        <f t="shared" si="250"/>
        <v>0.0253657583657285i</v>
      </c>
      <c r="AH453" s="98">
        <f t="shared" si="264"/>
        <v>2.5365758365728502E-2</v>
      </c>
      <c r="AI453" s="98">
        <f t="shared" si="265"/>
        <v>1.5707963267948966</v>
      </c>
      <c r="AJ453" s="98" t="str">
        <f t="shared" si="251"/>
        <v>1+1.3900153152964i</v>
      </c>
      <c r="AK453" s="98">
        <f t="shared" si="266"/>
        <v>1.7123500158433005</v>
      </c>
      <c r="AL453" s="98">
        <f t="shared" si="267"/>
        <v>0.94715764400142144</v>
      </c>
      <c r="AM453" s="98" t="str">
        <f t="shared" si="252"/>
        <v>1+759.580187295151i</v>
      </c>
      <c r="AN453" s="98">
        <f t="shared" si="268"/>
        <v>759.58084555321466</v>
      </c>
      <c r="AO453" s="98">
        <f t="shared" si="269"/>
        <v>1.5694798108575565</v>
      </c>
      <c r="AP453" s="168" t="str">
        <f t="shared" si="270"/>
        <v>-0.1215985736311+0.16949413682279i</v>
      </c>
      <c r="AQ453" s="98">
        <f t="shared" si="271"/>
        <v>-13.613662465976828</v>
      </c>
      <c r="AR453" s="169">
        <f t="shared" si="272"/>
        <v>125.6564336582928</v>
      </c>
      <c r="AS453" s="168" t="str">
        <f t="shared" si="273"/>
        <v>-0.000886351540430609+0.000218794758035285i</v>
      </c>
      <c r="AT453" s="190">
        <f t="shared" si="274"/>
        <v>-60.790995024774482</v>
      </c>
      <c r="AU453" s="169">
        <f t="shared" si="275"/>
        <v>166.1338153853159</v>
      </c>
      <c r="AV453" s="225"/>
      <c r="AX453">
        <f t="shared" si="276"/>
        <v>0</v>
      </c>
      <c r="AY453">
        <f t="shared" si="277"/>
        <v>0</v>
      </c>
    </row>
    <row r="454" spans="14:51" x14ac:dyDescent="0.2">
      <c r="N454" s="170">
        <v>36</v>
      </c>
      <c r="O454" s="199">
        <f t="shared" si="278"/>
        <v>229086.76527677779</v>
      </c>
      <c r="P454" s="189" t="str">
        <f t="shared" si="244"/>
        <v>771.276595744681</v>
      </c>
      <c r="Q454" s="160" t="str">
        <f t="shared" si="245"/>
        <v>1+12724.2482432822i</v>
      </c>
      <c r="R454" s="160">
        <f t="shared" si="253"/>
        <v>12724.248282577251</v>
      </c>
      <c r="S454" s="160">
        <f t="shared" si="254"/>
        <v>1.5707177366904896</v>
      </c>
      <c r="T454" s="160" t="str">
        <f t="shared" si="246"/>
        <v>1+0.239515261050017i</v>
      </c>
      <c r="U454" s="160">
        <f t="shared" si="255"/>
        <v>1.0282837936464124</v>
      </c>
      <c r="V454" s="160">
        <f t="shared" si="256"/>
        <v>0.23508659168550353</v>
      </c>
      <c r="W454" s="98" t="str">
        <f t="shared" si="247"/>
        <v>1-0.978788326406316i</v>
      </c>
      <c r="X454" s="160">
        <f t="shared" si="257"/>
        <v>1.3992950324750235</v>
      </c>
      <c r="Y454" s="160">
        <f t="shared" si="258"/>
        <v>-0.77467904761267903</v>
      </c>
      <c r="Z454" s="98" t="str">
        <f t="shared" si="248"/>
        <v>-19.9922984099911-6.70157984634244i</v>
      </c>
      <c r="AA454" s="160">
        <f t="shared" si="259"/>
        <v>21.085615194986271</v>
      </c>
      <c r="AB454" s="160">
        <f t="shared" si="260"/>
        <v>-2.8181557825470982</v>
      </c>
      <c r="AC454" s="171" t="str">
        <f t="shared" si="261"/>
        <v>0.00314262805867198+0.00268942815106147i</v>
      </c>
      <c r="AD454" s="190">
        <f t="shared" si="262"/>
        <v>-47.667719495401897</v>
      </c>
      <c r="AE454" s="169">
        <f t="shared" si="263"/>
        <v>40.556564849904518</v>
      </c>
      <c r="AF454" s="98" t="str">
        <f t="shared" si="249"/>
        <v>-0.0000119284294234592</v>
      </c>
      <c r="AG454" s="98" t="str">
        <f t="shared" si="250"/>
        <v>0.0259566027795369i</v>
      </c>
      <c r="AH454" s="98">
        <f t="shared" si="264"/>
        <v>2.5956602779536899E-2</v>
      </c>
      <c r="AI454" s="98">
        <f t="shared" si="265"/>
        <v>1.5707963267948966</v>
      </c>
      <c r="AJ454" s="98" t="str">
        <f t="shared" si="251"/>
        <v>1+1.42239293130573i</v>
      </c>
      <c r="AK454" s="98">
        <f t="shared" si="266"/>
        <v>1.7387356472530571</v>
      </c>
      <c r="AL454" s="98">
        <f t="shared" si="267"/>
        <v>0.95803259548903785</v>
      </c>
      <c r="AM454" s="98" t="str">
        <f t="shared" si="252"/>
        <v>1+777.27308273443i</v>
      </c>
      <c r="AN454" s="98">
        <f t="shared" si="268"/>
        <v>777.27372600872332</v>
      </c>
      <c r="AO454" s="98">
        <f t="shared" si="269"/>
        <v>1.5695097783854928</v>
      </c>
      <c r="AP454" s="168" t="str">
        <f t="shared" si="270"/>
        <v>-0.117936014918342+0.168210906763815i</v>
      </c>
      <c r="AQ454" s="98">
        <f t="shared" si="271"/>
        <v>-13.746483123133908</v>
      </c>
      <c r="AR454" s="169">
        <f t="shared" si="272"/>
        <v>125.03506184851585</v>
      </c>
      <c r="AS454" s="168" t="str">
        <f t="shared" si="273"/>
        <v>-0.000823020177576519+0.000211443876825227i</v>
      </c>
      <c r="AT454" s="190">
        <f t="shared" si="274"/>
        <v>-61.414202618535811</v>
      </c>
      <c r="AU454" s="169">
        <f t="shared" si="275"/>
        <v>165.59162669842036</v>
      </c>
      <c r="AV454" s="225"/>
      <c r="AX454">
        <f t="shared" si="276"/>
        <v>0</v>
      </c>
      <c r="AY454">
        <f t="shared" si="277"/>
        <v>0</v>
      </c>
    </row>
    <row r="455" spans="14:51" x14ac:dyDescent="0.2">
      <c r="N455" s="170">
        <v>37</v>
      </c>
      <c r="O455" s="199">
        <f t="shared" si="278"/>
        <v>234422.88153199267</v>
      </c>
      <c r="P455" s="189" t="str">
        <f t="shared" si="244"/>
        <v>771.276595744681</v>
      </c>
      <c r="Q455" s="160" t="str">
        <f t="shared" si="245"/>
        <v>1+13020.6340593914i</v>
      </c>
      <c r="R455" s="160">
        <f t="shared" si="253"/>
        <v>13020.634097791986</v>
      </c>
      <c r="S455" s="160">
        <f t="shared" si="254"/>
        <v>1.570719525619664</v>
      </c>
      <c r="T455" s="160" t="str">
        <f t="shared" si="246"/>
        <v>1+0.245094288176778i</v>
      </c>
      <c r="U455" s="160">
        <f t="shared" si="255"/>
        <v>1.0295975961980881</v>
      </c>
      <c r="V455" s="160">
        <f t="shared" si="256"/>
        <v>0.24035621985463798</v>
      </c>
      <c r="W455" s="98" t="str">
        <f t="shared" si="247"/>
        <v>1-1.00158723533779i</v>
      </c>
      <c r="X455" s="160">
        <f t="shared" si="257"/>
        <v>1.4153363522469129</v>
      </c>
      <c r="Y455" s="160">
        <f t="shared" si="258"/>
        <v>-0.78619115157056763</v>
      </c>
      <c r="Z455" s="98" t="str">
        <f t="shared" si="248"/>
        <v>-20.9816349543052-6.85767969397216i</v>
      </c>
      <c r="AA455" s="160">
        <f t="shared" si="259"/>
        <v>22.073893542844676</v>
      </c>
      <c r="AB455" s="160">
        <f t="shared" si="260"/>
        <v>-2.8256956246506224</v>
      </c>
      <c r="AC455" s="171" t="str">
        <f t="shared" si="261"/>
        <v>0.00296772094848166+0.00254641270900863i</v>
      </c>
      <c r="AD455" s="190">
        <f t="shared" si="262"/>
        <v>-48.155474879788336</v>
      </c>
      <c r="AE455" s="169">
        <f t="shared" si="263"/>
        <v>40.630795966131735</v>
      </c>
      <c r="AF455" s="98" t="str">
        <f t="shared" si="249"/>
        <v>-0.0000119284294234592</v>
      </c>
      <c r="AG455" s="98" t="str">
        <f t="shared" si="250"/>
        <v>0.0265612097277153i</v>
      </c>
      <c r="AH455" s="98">
        <f t="shared" si="264"/>
        <v>2.65612097277153E-2</v>
      </c>
      <c r="AI455" s="98">
        <f t="shared" si="265"/>
        <v>1.5707963267948966</v>
      </c>
      <c r="AJ455" s="98" t="str">
        <f t="shared" si="251"/>
        <v>1+1.45552471887483i</v>
      </c>
      <c r="AK455" s="98">
        <f t="shared" si="266"/>
        <v>1.7659423000924046</v>
      </c>
      <c r="AL455" s="98">
        <f t="shared" si="267"/>
        <v>0.96882313672092768</v>
      </c>
      <c r="AM455" s="98" t="str">
        <f t="shared" si="252"/>
        <v>1+795.378098650602i</v>
      </c>
      <c r="AN455" s="98">
        <f t="shared" si="268"/>
        <v>795.37872728219656</v>
      </c>
      <c r="AO455" s="98">
        <f t="shared" si="269"/>
        <v>1.5695390637714453</v>
      </c>
      <c r="AP455" s="168" t="str">
        <f t="shared" si="270"/>
        <v>-0.114330090157643+0.166859364434444i</v>
      </c>
      <c r="AQ455" s="98">
        <f t="shared" si="271"/>
        <v>-13.881342474937286</v>
      </c>
      <c r="AR455" s="169">
        <f t="shared" si="272"/>
        <v>124.41848730628327</v>
      </c>
      <c r="AS455" s="168" t="str">
        <f t="shared" si="273"/>
        <v>-0.000764192609815605+0.00020406043668291i</v>
      </c>
      <c r="AT455" s="190">
        <f t="shared" si="274"/>
        <v>-62.036817354725628</v>
      </c>
      <c r="AU455" s="169">
        <f t="shared" si="275"/>
        <v>165.04928327241501</v>
      </c>
      <c r="AV455" s="225"/>
      <c r="AX455">
        <f t="shared" si="276"/>
        <v>0</v>
      </c>
      <c r="AY455">
        <f t="shared" si="277"/>
        <v>0</v>
      </c>
    </row>
    <row r="456" spans="14:51" x14ac:dyDescent="0.2">
      <c r="N456" s="170">
        <v>38</v>
      </c>
      <c r="O456" s="199">
        <f t="shared" si="278"/>
        <v>239883.29190194907</v>
      </c>
      <c r="P456" s="189" t="str">
        <f t="shared" si="244"/>
        <v>771.276595744681</v>
      </c>
      <c r="Q456" s="160" t="str">
        <f t="shared" si="245"/>
        <v>1+13323.9235880272i</v>
      </c>
      <c r="R456" s="160">
        <f t="shared" si="253"/>
        <v>13323.923625553685</v>
      </c>
      <c r="S456" s="160">
        <f t="shared" si="254"/>
        <v>1.5707212738278395</v>
      </c>
      <c r="T456" s="160" t="str">
        <f t="shared" si="246"/>
        <v>1+0.250803267539336i</v>
      </c>
      <c r="U456" s="160">
        <f t="shared" si="255"/>
        <v>1.0309715219192079</v>
      </c>
      <c r="V456" s="160">
        <f t="shared" si="256"/>
        <v>0.24573453662728151</v>
      </c>
      <c r="W456" s="98" t="str">
        <f t="shared" si="247"/>
        <v>1-1.02491719907901i</v>
      </c>
      <c r="X456" s="160">
        <f t="shared" si="257"/>
        <v>1.4319410829248398</v>
      </c>
      <c r="Y456" s="160">
        <f t="shared" si="258"/>
        <v>-0.79770283518776808</v>
      </c>
      <c r="Z456" s="98" t="str">
        <f t="shared" si="248"/>
        <v>-22.0175974934864-7.01741557414772i</v>
      </c>
      <c r="AA456" s="160">
        <f t="shared" si="259"/>
        <v>23.108845075543464</v>
      </c>
      <c r="AB456" s="160">
        <f t="shared" si="260"/>
        <v>-2.8330526078150577</v>
      </c>
      <c r="AC456" s="171" t="str">
        <f t="shared" si="261"/>
        <v>0.00280357721196452+0.00241152526755068i</v>
      </c>
      <c r="AD456" s="190">
        <f t="shared" si="262"/>
        <v>-48.64056808391144</v>
      </c>
      <c r="AE456" s="169">
        <f t="shared" si="263"/>
        <v>40.700803852053824</v>
      </c>
      <c r="AF456" s="98" t="str">
        <f t="shared" si="249"/>
        <v>-0.0000119284294234592</v>
      </c>
      <c r="AG456" s="98" t="str">
        <f t="shared" si="250"/>
        <v>0.0271798997808704i</v>
      </c>
      <c r="AH456" s="98">
        <f t="shared" si="264"/>
        <v>2.71798997808704E-2</v>
      </c>
      <c r="AI456" s="98">
        <f t="shared" si="265"/>
        <v>1.5707963267948966</v>
      </c>
      <c r="AJ456" s="98" t="str">
        <f t="shared" si="251"/>
        <v>1+1.48942824491603i</v>
      </c>
      <c r="AK456" s="98">
        <f t="shared" si="266"/>
        <v>1.7939889901428174</v>
      </c>
      <c r="AL456" s="98">
        <f t="shared" si="267"/>
        <v>0.97952493782289318</v>
      </c>
      <c r="AM456" s="98" t="str">
        <f t="shared" si="252"/>
        <v>1+813.904834562749i</v>
      </c>
      <c r="AN456" s="98">
        <f t="shared" si="268"/>
        <v>813.90544888495231</v>
      </c>
      <c r="AO456" s="98">
        <f t="shared" si="269"/>
        <v>1.5695676825427116</v>
      </c>
      <c r="AP456" s="168" t="str">
        <f t="shared" si="270"/>
        <v>-0.110783228659519+0.165442539343071i</v>
      </c>
      <c r="AQ456" s="98">
        <f t="shared" si="271"/>
        <v>-14.018208063095166</v>
      </c>
      <c r="AR456" s="169">
        <f t="shared" si="272"/>
        <v>123.8069590047604</v>
      </c>
      <c r="AS456" s="168" t="str">
        <f t="shared" si="273"/>
        <v>-0.000709558199291245+0.000196674378058503i</v>
      </c>
      <c r="AT456" s="190">
        <f t="shared" si="274"/>
        <v>-62.658776147006606</v>
      </c>
      <c r="AU456" s="169">
        <f t="shared" si="275"/>
        <v>164.5077628568142</v>
      </c>
      <c r="AV456" s="225"/>
      <c r="AX456">
        <f t="shared" si="276"/>
        <v>0</v>
      </c>
      <c r="AY456">
        <f t="shared" si="277"/>
        <v>0</v>
      </c>
    </row>
    <row r="457" spans="14:51" x14ac:dyDescent="0.2">
      <c r="N457" s="170">
        <v>39</v>
      </c>
      <c r="O457" s="199">
        <f t="shared" si="278"/>
        <v>245470.89156850305</v>
      </c>
      <c r="P457" s="189" t="str">
        <f t="shared" si="244"/>
        <v>771.276595744681</v>
      </c>
      <c r="Q457" s="160" t="str">
        <f t="shared" si="245"/>
        <v>1+13634.2776373125i</v>
      </c>
      <c r="R457" s="160">
        <f t="shared" si="253"/>
        <v>13634.277673984778</v>
      </c>
      <c r="S457" s="160">
        <f t="shared" si="254"/>
        <v>1.5707229822419391</v>
      </c>
      <c r="T457" s="160" t="str">
        <f t="shared" si="246"/>
        <v>1+0.256645226114117i</v>
      </c>
      <c r="U457" s="160">
        <f t="shared" si="255"/>
        <v>1.0324082390639695</v>
      </c>
      <c r="V457" s="160">
        <f t="shared" si="256"/>
        <v>0.25122314852524014</v>
      </c>
      <c r="W457" s="98" t="str">
        <f t="shared" si="247"/>
        <v>1-1.04879058748557i</v>
      </c>
      <c r="X457" s="160">
        <f t="shared" si="257"/>
        <v>1.4491244585605225</v>
      </c>
      <c r="Y457" s="160">
        <f t="shared" si="258"/>
        <v>-0.80920799906625951</v>
      </c>
      <c r="Z457" s="98" t="str">
        <f t="shared" si="248"/>
        <v>-23.1023834429743-7.18087218094717i</v>
      </c>
      <c r="AA457" s="160">
        <f t="shared" si="259"/>
        <v>24.192665128615204</v>
      </c>
      <c r="AB457" s="160">
        <f t="shared" si="260"/>
        <v>-2.8402315758102183</v>
      </c>
      <c r="AC457" s="171" t="str">
        <f t="shared" si="261"/>
        <v>0.00264946551832379+0.00228432044689294i</v>
      </c>
      <c r="AD457" s="190">
        <f t="shared" si="262"/>
        <v>-49.122970945118034</v>
      </c>
      <c r="AE457" s="169">
        <f t="shared" si="263"/>
        <v>40.767307498812841</v>
      </c>
      <c r="AF457" s="98" t="str">
        <f t="shared" si="249"/>
        <v>-0.0000119284294234592</v>
      </c>
      <c r="AG457" s="98" t="str">
        <f t="shared" si="250"/>
        <v>0.0278130009766579i</v>
      </c>
      <c r="AH457" s="98">
        <f t="shared" si="264"/>
        <v>2.7813000976657901E-2</v>
      </c>
      <c r="AI457" s="98">
        <f t="shared" si="265"/>
        <v>1.5707963267948966</v>
      </c>
      <c r="AJ457" s="98" t="str">
        <f t="shared" si="251"/>
        <v>1+1.52412148552759i</v>
      </c>
      <c r="AK457" s="98">
        <f t="shared" si="266"/>
        <v>1.822895033359526</v>
      </c>
      <c r="AL457" s="98">
        <f t="shared" si="267"/>
        <v>0.9901338677210032</v>
      </c>
      <c r="AM457" s="98" t="str">
        <f t="shared" si="252"/>
        <v>1+832.863113591485i</v>
      </c>
      <c r="AN457" s="98">
        <f t="shared" si="268"/>
        <v>832.86371393001798</v>
      </c>
      <c r="AO457" s="98">
        <f t="shared" si="269"/>
        <v>1.569595649873156</v>
      </c>
      <c r="AP457" s="168" t="str">
        <f t="shared" si="270"/>
        <v>-0.107297657724067+0.163963545108837i</v>
      </c>
      <c r="AQ457" s="98">
        <f t="shared" si="271"/>
        <v>-14.157046123125127</v>
      </c>
      <c r="AR457" s="169">
        <f t="shared" si="272"/>
        <v>123.20071450644748</v>
      </c>
      <c r="AS457" s="168" t="str">
        <f t="shared" si="273"/>
        <v>-0.000658826722973993+0.000189313525585185i</v>
      </c>
      <c r="AT457" s="190">
        <f t="shared" si="274"/>
        <v>-63.280017068243161</v>
      </c>
      <c r="AU457" s="169">
        <f t="shared" si="275"/>
        <v>163.96802200526028</v>
      </c>
      <c r="AV457" s="225"/>
      <c r="AX457">
        <f t="shared" si="276"/>
        <v>0</v>
      </c>
      <c r="AY457">
        <f t="shared" si="277"/>
        <v>0</v>
      </c>
    </row>
    <row r="458" spans="14:51" x14ac:dyDescent="0.2">
      <c r="N458" s="170">
        <v>40</v>
      </c>
      <c r="O458" s="199">
        <f t="shared" si="278"/>
        <v>251188.64315095844</v>
      </c>
      <c r="P458" s="189" t="str">
        <f t="shared" si="244"/>
        <v>771.276595744681</v>
      </c>
      <c r="Q458" s="160" t="str">
        <f t="shared" si="245"/>
        <v>1+13951.8607610721i</v>
      </c>
      <c r="R458" s="160">
        <f t="shared" si="253"/>
        <v>13951.86079690961</v>
      </c>
      <c r="S458" s="160">
        <f t="shared" si="254"/>
        <v>1.5707246517677864</v>
      </c>
      <c r="T458" s="160" t="str">
        <f t="shared" si="246"/>
        <v>1+0.262623261384886i</v>
      </c>
      <c r="U458" s="160">
        <f t="shared" si="255"/>
        <v>1.0339105267964119</v>
      </c>
      <c r="V458" s="160">
        <f t="shared" si="256"/>
        <v>0.25682364237331817</v>
      </c>
      <c r="W458" s="98" t="str">
        <f t="shared" si="247"/>
        <v>1-1.073220058544i</v>
      </c>
      <c r="X458" s="160">
        <f t="shared" si="257"/>
        <v>1.4669019374386232</v>
      </c>
      <c r="Y458" s="160">
        <f t="shared" si="258"/>
        <v>-0.82070056106417666</v>
      </c>
      <c r="Z458" s="98" t="str">
        <f t="shared" si="248"/>
        <v>-24.2382937792079-7.34813618122708i</v>
      </c>
      <c r="AA458" s="160">
        <f t="shared" si="259"/>
        <v>25.327652687626752</v>
      </c>
      <c r="AB458" s="160">
        <f t="shared" si="260"/>
        <v>-2.8472372242370185</v>
      </c>
      <c r="AC458" s="171" t="str">
        <f t="shared" si="261"/>
        <v>0.00250470810786248+0.00216437320101829i</v>
      </c>
      <c r="AD458" s="190">
        <f t="shared" si="262"/>
        <v>-49.602657687622823</v>
      </c>
      <c r="AE458" s="169">
        <f t="shared" si="263"/>
        <v>40.831015292047027</v>
      </c>
      <c r="AF458" s="98" t="str">
        <f t="shared" si="249"/>
        <v>-0.0000119284294234592</v>
      </c>
      <c r="AG458" s="98" t="str">
        <f t="shared" si="250"/>
        <v>0.0284608489937118i</v>
      </c>
      <c r="AH458" s="98">
        <f t="shared" si="264"/>
        <v>2.8460848993711801E-2</v>
      </c>
      <c r="AI458" s="98">
        <f t="shared" si="265"/>
        <v>1.5707963267948966</v>
      </c>
      <c r="AJ458" s="98" t="str">
        <f t="shared" si="251"/>
        <v>1+1.55962283552492i</v>
      </c>
      <c r="AK458" s="98">
        <f t="shared" si="266"/>
        <v>1.8526800557815675</v>
      </c>
      <c r="AL458" s="98">
        <f t="shared" si="267"/>
        <v>1.0006459990705527</v>
      </c>
      <c r="AM458" s="98" t="str">
        <f t="shared" si="252"/>
        <v>1+852.2629876673i</v>
      </c>
      <c r="AN458" s="98">
        <f t="shared" si="268"/>
        <v>852.26357434046918</v>
      </c>
      <c r="AO458" s="98">
        <f t="shared" si="269"/>
        <v>1.569622980591252</v>
      </c>
      <c r="AP458" s="168" t="str">
        <f t="shared" si="270"/>
        <v>-0.103875400730007+0.162425564160486i</v>
      </c>
      <c r="AQ458" s="98">
        <f t="shared" si="271"/>
        <v>-14.297821698268269</v>
      </c>
      <c r="AR458" s="169">
        <f t="shared" si="272"/>
        <v>122.59997968122909</v>
      </c>
      <c r="AS458" s="168" t="str">
        <f t="shared" si="273"/>
        <v>-0.000611727096645145+0.000182003493891844i</v>
      </c>
      <c r="AT458" s="190">
        <f t="shared" si="274"/>
        <v>-63.900479385891096</v>
      </c>
      <c r="AU458" s="169">
        <f t="shared" si="275"/>
        <v>163.43099497327609</v>
      </c>
      <c r="AV458" s="225"/>
      <c r="AX458">
        <f t="shared" si="276"/>
        <v>0</v>
      </c>
      <c r="AY458">
        <f t="shared" si="277"/>
        <v>0</v>
      </c>
    </row>
    <row r="459" spans="14:51" x14ac:dyDescent="0.2">
      <c r="N459" s="170">
        <v>41</v>
      </c>
      <c r="O459" s="199">
        <f t="shared" si="278"/>
        <v>257039.57827688678</v>
      </c>
      <c r="P459" s="189" t="str">
        <f t="shared" si="244"/>
        <v>771.276595744681</v>
      </c>
      <c r="Q459" s="160" t="str">
        <f t="shared" si="245"/>
        <v>1+14276.8413460819i</v>
      </c>
      <c r="R459" s="160">
        <f t="shared" si="253"/>
        <v>14276.841381103652</v>
      </c>
      <c r="S459" s="160">
        <f t="shared" si="254"/>
        <v>1.5707262832905862</v>
      </c>
      <c r="T459" s="160" t="str">
        <f t="shared" si="246"/>
        <v>1+0.26874054298507i</v>
      </c>
      <c r="U459" s="160">
        <f t="shared" si="255"/>
        <v>1.035481279137344</v>
      </c>
      <c r="V459" s="160">
        <f t="shared" si="256"/>
        <v>0.26253758174097086</v>
      </c>
      <c r="W459" s="98" t="str">
        <f t="shared" si="247"/>
        <v>1-1.09821856508322i</v>
      </c>
      <c r="X459" s="160">
        <f t="shared" si="257"/>
        <v>1.485289203048836</v>
      </c>
      <c r="Y459" s="160">
        <f t="shared" si="258"/>
        <v>-0.83217447232735453</v>
      </c>
      <c r="Z459" s="98" t="str">
        <f t="shared" si="248"/>
        <v>-25.4277379203039-7.51929626057432i</v>
      </c>
      <c r="AA459" s="160">
        <f t="shared" si="259"/>
        <v>26.516215265341845</v>
      </c>
      <c r="AB459" s="160">
        <f t="shared" si="260"/>
        <v>-2.8540741055881744</v>
      </c>
      <c r="AC459" s="171" t="str">
        <f t="shared" si="261"/>
        <v>0.00236867671766709+0.00205127847024074i</v>
      </c>
      <c r="AD459" s="190">
        <f t="shared" si="262"/>
        <v>-50.07960483899106</v>
      </c>
      <c r="AE459" s="169">
        <f t="shared" si="263"/>
        <v>40.892624179401878</v>
      </c>
      <c r="AF459" s="98" t="str">
        <f t="shared" si="249"/>
        <v>-0.0000119284294234592</v>
      </c>
      <c r="AG459" s="98" t="str">
        <f t="shared" si="250"/>
        <v>0.0291237873296261i</v>
      </c>
      <c r="AH459" s="98">
        <f t="shared" si="264"/>
        <v>2.9123787329626099E-2</v>
      </c>
      <c r="AI459" s="98">
        <f t="shared" si="265"/>
        <v>1.5707963267948966</v>
      </c>
      <c r="AJ459" s="98" t="str">
        <f t="shared" si="251"/>
        <v>1+1.59595111819369i</v>
      </c>
      <c r="AK459" s="98">
        <f t="shared" si="266"/>
        <v>1.8833640040267547</v>
      </c>
      <c r="AL459" s="98">
        <f t="shared" si="267"/>
        <v>1.011057612203357</v>
      </c>
      <c r="AM459" s="98" t="str">
        <f t="shared" si="252"/>
        <v>1+872.114742860205i</v>
      </c>
      <c r="AN459" s="98">
        <f t="shared" si="268"/>
        <v>872.11531617907133</v>
      </c>
      <c r="AO459" s="98">
        <f t="shared" si="269"/>
        <v>1.5696496891879448</v>
      </c>
      <c r="AP459" s="168" t="str">
        <f t="shared" si="270"/>
        <v>-0.100518276506507+0.160831832651444i</v>
      </c>
      <c r="AQ459" s="98">
        <f t="shared" si="271"/>
        <v>-14.440498754113406</v>
      </c>
      <c r="AR459" s="169">
        <f t="shared" si="272"/>
        <v>122.00496848066348</v>
      </c>
      <c r="AS459" s="168" t="str">
        <f t="shared" si="273"/>
        <v>-0.000568006176908255+0.000174767640997702i</v>
      </c>
      <c r="AT459" s="190">
        <f t="shared" si="274"/>
        <v>-64.520103593104466</v>
      </c>
      <c r="AU459" s="169">
        <f t="shared" si="275"/>
        <v>162.89759266006533</v>
      </c>
      <c r="AV459" s="225"/>
      <c r="AX459">
        <f t="shared" si="276"/>
        <v>0</v>
      </c>
      <c r="AY459">
        <f t="shared" si="277"/>
        <v>0</v>
      </c>
    </row>
    <row r="460" spans="14:51" x14ac:dyDescent="0.2">
      <c r="N460" s="170">
        <v>42</v>
      </c>
      <c r="O460" s="199">
        <f t="shared" si="278"/>
        <v>263026.79918953858</v>
      </c>
      <c r="P460" s="189" t="str">
        <f t="shared" si="244"/>
        <v>771.276595744681</v>
      </c>
      <c r="Q460" s="160" t="str">
        <f t="shared" si="245"/>
        <v>1+14609.3917013497i</v>
      </c>
      <c r="R460" s="160">
        <f t="shared" si="253"/>
        <v>14609.39173557426</v>
      </c>
      <c r="S460" s="160">
        <f t="shared" si="254"/>
        <v>1.5707278776753932</v>
      </c>
      <c r="T460" s="160" t="str">
        <f t="shared" si="246"/>
        <v>1+0.275000314378347i</v>
      </c>
      <c r="U460" s="160">
        <f t="shared" si="255"/>
        <v>1.037123508994078</v>
      </c>
      <c r="V460" s="160">
        <f t="shared" si="256"/>
        <v>0.26836650318092997</v>
      </c>
      <c r="W460" s="98" t="str">
        <f t="shared" si="247"/>
        <v>1-1.12379936164228i</v>
      </c>
      <c r="X460" s="160">
        <f t="shared" si="257"/>
        <v>1.5043021655331072</v>
      </c>
      <c r="Y460" s="160">
        <f t="shared" si="258"/>
        <v>-0.84362373310680228</v>
      </c>
      <c r="Z460" s="98" t="str">
        <f t="shared" si="248"/>
        <v>-26.6732388367575-7.69444317032857i</v>
      </c>
      <c r="AA460" s="160">
        <f t="shared" si="259"/>
        <v>27.760874009009957</v>
      </c>
      <c r="AB460" s="160">
        <f t="shared" si="260"/>
        <v>-2.860746634175062</v>
      </c>
      <c r="AC460" s="171" t="str">
        <f t="shared" si="261"/>
        <v>0.00224078881448055+0.00194465074602102i</v>
      </c>
      <c r="AD460" s="190">
        <f t="shared" si="262"/>
        <v>-50.553791141535072</v>
      </c>
      <c r="AE460" s="169">
        <f t="shared" si="263"/>
        <v>40.95281883100651</v>
      </c>
      <c r="AF460" s="98" t="str">
        <f t="shared" si="249"/>
        <v>-0.0000119284294234592</v>
      </c>
      <c r="AG460" s="98" t="str">
        <f t="shared" si="250"/>
        <v>0.0298021674830814i</v>
      </c>
      <c r="AH460" s="98">
        <f t="shared" si="264"/>
        <v>2.9802167483081399E-2</v>
      </c>
      <c r="AI460" s="98">
        <f t="shared" si="265"/>
        <v>1.5707963267948966</v>
      </c>
      <c r="AJ460" s="98" t="str">
        <f t="shared" si="251"/>
        <v>1+1.63312559527023i</v>
      </c>
      <c r="AK460" s="98">
        <f t="shared" si="266"/>
        <v>1.9149671563571904</v>
      </c>
      <c r="AL460" s="98">
        <f t="shared" si="267"/>
        <v>1.0213651981111296</v>
      </c>
      <c r="AM460" s="98" t="str">
        <f t="shared" si="252"/>
        <v>1+892.428904833578i</v>
      </c>
      <c r="AN460" s="98">
        <f t="shared" si="268"/>
        <v>892.42946510212187</v>
      </c>
      <c r="AO460" s="98">
        <f t="shared" si="269"/>
        <v>1.569675789824333</v>
      </c>
      <c r="AP460" s="168" t="str">
        <f t="shared" si="270"/>
        <v>-0.0972278999301947+0.159185625704743i</v>
      </c>
      <c r="AQ460" s="98">
        <f t="shared" si="271"/>
        <v>-14.585040293226497</v>
      </c>
      <c r="AR460" s="169">
        <f t="shared" si="272"/>
        <v>121.41588276748745</v>
      </c>
      <c r="AS460" s="168" t="str">
        <f t="shared" si="273"/>
        <v>-0.000527427636401566+0.000167627061371965i</v>
      </c>
      <c r="AT460" s="190">
        <f t="shared" si="274"/>
        <v>-65.13883143476157</v>
      </c>
      <c r="AU460" s="169">
        <f t="shared" si="275"/>
        <v>162.368701598494</v>
      </c>
      <c r="AV460" s="225"/>
      <c r="AX460">
        <f t="shared" si="276"/>
        <v>0</v>
      </c>
      <c r="AY460">
        <f t="shared" si="277"/>
        <v>0</v>
      </c>
    </row>
    <row r="461" spans="14:51" x14ac:dyDescent="0.2">
      <c r="N461" s="170">
        <v>43</v>
      </c>
      <c r="O461" s="199">
        <f t="shared" si="278"/>
        <v>269153.48039269145</v>
      </c>
      <c r="P461" s="189" t="str">
        <f t="shared" si="244"/>
        <v>771.276595744681</v>
      </c>
      <c r="Q461" s="160" t="str">
        <f t="shared" si="245"/>
        <v>1+14949.6881494758i</v>
      </c>
      <c r="R461" s="160">
        <f t="shared" si="253"/>
        <v>14949.688182921313</v>
      </c>
      <c r="S461" s="160">
        <f t="shared" si="254"/>
        <v>1.5707294357675714</v>
      </c>
      <c r="T461" s="160" t="str">
        <f t="shared" si="246"/>
        <v>1+0.281405894578367i</v>
      </c>
      <c r="U461" s="160">
        <f t="shared" si="255"/>
        <v>1.0388403522695155</v>
      </c>
      <c r="V461" s="160">
        <f t="shared" si="256"/>
        <v>0.27431191226099205</v>
      </c>
      <c r="W461" s="98" t="str">
        <f t="shared" si="247"/>
        <v>1-1.14997601149813i</v>
      </c>
      <c r="X461" s="160">
        <f t="shared" si="257"/>
        <v>1.5239569636381294</v>
      </c>
      <c r="Y461" s="160">
        <f t="shared" si="258"/>
        <v>-0.85504240826194355</v>
      </c>
      <c r="Z461" s="98" t="str">
        <f t="shared" si="248"/>
        <v>-27.9774384029997-7.87366977569975i</v>
      </c>
      <c r="AA461" s="160">
        <f t="shared" si="259"/>
        <v>29.064269048617238</v>
      </c>
      <c r="AB461" s="160">
        <f t="shared" si="260"/>
        <v>-2.8672590909145015</v>
      </c>
      <c r="AC461" s="171" t="str">
        <f t="shared" si="261"/>
        <v>0.00212050411336567+0.00184412356604232i</v>
      </c>
      <c r="AD461" s="190">
        <f t="shared" si="262"/>
        <v>-51.025197458651576</v>
      </c>
      <c r="AE461" s="169">
        <f t="shared" si="263"/>
        <v>41.012270798077758</v>
      </c>
      <c r="AF461" s="98" t="str">
        <f t="shared" si="249"/>
        <v>-0.0000119284294234592</v>
      </c>
      <c r="AG461" s="98" t="str">
        <f t="shared" si="250"/>
        <v>0.0304963491402145i</v>
      </c>
      <c r="AH461" s="98">
        <f t="shared" si="264"/>
        <v>3.0496349140214499E-2</v>
      </c>
      <c r="AI461" s="98">
        <f t="shared" si="265"/>
        <v>1.5707963267948966</v>
      </c>
      <c r="AJ461" s="98" t="str">
        <f t="shared" si="251"/>
        <v>1+1.67116597715437i</v>
      </c>
      <c r="AK461" s="98">
        <f t="shared" si="266"/>
        <v>1.9475101342992596</v>
      </c>
      <c r="AL461" s="98">
        <f t="shared" si="267"/>
        <v>1.0315654604896001</v>
      </c>
      <c r="AM461" s="98" t="str">
        <f t="shared" si="252"/>
        <v>1+913.21624442499i</v>
      </c>
      <c r="AN461" s="98">
        <f t="shared" si="268"/>
        <v>913.21679194027274</v>
      </c>
      <c r="AO461" s="98">
        <f t="shared" si="269"/>
        <v>1.5697012963391777</v>
      </c>
      <c r="AP461" s="168" t="str">
        <f t="shared" si="270"/>
        <v>-0.0940056836797406+0.157490243091316i</v>
      </c>
      <c r="AQ461" s="98">
        <f t="shared" si="271"/>
        <v>-14.731408469117191</v>
      </c>
      <c r="AR461" s="169">
        <f t="shared" si="272"/>
        <v>120.83291219892561</v>
      </c>
      <c r="AS461" s="168" t="str">
        <f t="shared" si="273"/>
        <v>-0.000489770907629072+0.000160600611674365i</v>
      </c>
      <c r="AT461" s="190">
        <f t="shared" si="274"/>
        <v>-65.75660592776876</v>
      </c>
      <c r="AU461" s="169">
        <f t="shared" si="275"/>
        <v>161.84518299700343</v>
      </c>
      <c r="AV461" s="225"/>
      <c r="AX461">
        <f t="shared" si="276"/>
        <v>0</v>
      </c>
      <c r="AY461">
        <f t="shared" si="277"/>
        <v>0</v>
      </c>
    </row>
    <row r="462" spans="14:51" x14ac:dyDescent="0.2">
      <c r="N462" s="170">
        <v>44</v>
      </c>
      <c r="O462" s="199">
        <f t="shared" si="278"/>
        <v>275422.87033381703</v>
      </c>
      <c r="P462" s="189" t="str">
        <f t="shared" si="244"/>
        <v>771.276595744681</v>
      </c>
      <c r="Q462" s="160" t="str">
        <f t="shared" si="245"/>
        <v>1+15297.9111201413i</v>
      </c>
      <c r="R462" s="160">
        <f t="shared" si="253"/>
        <v>15297.911152825498</v>
      </c>
      <c r="S462" s="160">
        <f t="shared" si="254"/>
        <v>1.5707309583932421</v>
      </c>
      <c r="T462" s="160" t="str">
        <f t="shared" si="246"/>
        <v>1+0.287960679908541i</v>
      </c>
      <c r="U462" s="160">
        <f t="shared" si="255"/>
        <v>1.0406350720465793</v>
      </c>
      <c r="V462" s="160">
        <f t="shared" si="256"/>
        <v>0.28037527938593826</v>
      </c>
      <c r="W462" s="98" t="str">
        <f t="shared" si="247"/>
        <v>1-1.17676239385701i</v>
      </c>
      <c r="X462" s="160">
        <f t="shared" si="257"/>
        <v>1.5442699672000619</v>
      </c>
      <c r="Y462" s="160">
        <f t="shared" si="258"/>
        <v>-0.86642464235307981</v>
      </c>
      <c r="Z462" s="98" t="str">
        <f t="shared" si="248"/>
        <v>-29.3431030011676-8.05707110500634i</v>
      </c>
      <c r="AA462" s="160">
        <f t="shared" si="259"/>
        <v>30.429165097456401</v>
      </c>
      <c r="AB462" s="160">
        <f t="shared" si="260"/>
        <v>-2.8736156279712288</v>
      </c>
      <c r="AC462" s="171" t="str">
        <f t="shared" si="261"/>
        <v>0.00200732136189633+0.00174934895504126i</v>
      </c>
      <c r="AD462" s="190">
        <f t="shared" si="262"/>
        <v>-51.493806676249733</v>
      </c>
      <c r="AE462" s="169">
        <f t="shared" si="263"/>
        <v>41.071637674767672</v>
      </c>
      <c r="AF462" s="98" t="str">
        <f t="shared" si="249"/>
        <v>-0.0000119284294234592</v>
      </c>
      <c r="AG462" s="98" t="str">
        <f t="shared" si="250"/>
        <v>0.0312067003653287i</v>
      </c>
      <c r="AH462" s="98">
        <f t="shared" si="264"/>
        <v>3.1206700365328702E-2</v>
      </c>
      <c r="AI462" s="98">
        <f t="shared" si="265"/>
        <v>1.5707963267948966</v>
      </c>
      <c r="AJ462" s="98" t="str">
        <f t="shared" si="251"/>
        <v>1+1.71009243336009i</v>
      </c>
      <c r="AK462" s="98">
        <f t="shared" si="266"/>
        <v>1.9810139148010633</v>
      </c>
      <c r="AL462" s="98">
        <f t="shared" si="267"/>
        <v>1.0416553168743934</v>
      </c>
      <c r="AM462" s="98" t="str">
        <f t="shared" si="252"/>
        <v>1+934.487783357043i</v>
      </c>
      <c r="AN462" s="98">
        <f t="shared" si="268"/>
        <v>934.48831840936339</v>
      </c>
      <c r="AO462" s="98">
        <f t="shared" si="269"/>
        <v>1.5697262222562374</v>
      </c>
      <c r="AP462" s="168" t="str">
        <f t="shared" si="270"/>
        <v>-0.0908528410719594+0.155748995434375i</v>
      </c>
      <c r="AQ462" s="98">
        <f t="shared" si="271"/>
        <v>-14.879564698914415</v>
      </c>
      <c r="AR462" s="169">
        <f t="shared" si="272"/>
        <v>120.25623416203187</v>
      </c>
      <c r="AS462" s="168" t="str">
        <f t="shared" si="273"/>
        <v>-0.000454830191084566+0.000153704963037553i</v>
      </c>
      <c r="AT462" s="190">
        <f t="shared" si="274"/>
        <v>-66.37337137516414</v>
      </c>
      <c r="AU462" s="169">
        <f t="shared" si="275"/>
        <v>161.32787183679952</v>
      </c>
      <c r="AV462" s="225"/>
      <c r="AX462">
        <f t="shared" si="276"/>
        <v>0</v>
      </c>
      <c r="AY462">
        <f t="shared" si="277"/>
        <v>0</v>
      </c>
    </row>
    <row r="463" spans="14:51" x14ac:dyDescent="0.2">
      <c r="N463" s="170">
        <v>45</v>
      </c>
      <c r="O463" s="199">
        <f t="shared" si="278"/>
        <v>281838.29312644573</v>
      </c>
      <c r="P463" s="189" t="str">
        <f t="shared" si="244"/>
        <v>771.276595744681</v>
      </c>
      <c r="Q463" s="160" t="str">
        <f t="shared" si="245"/>
        <v>1+15654.2452457744i</v>
      </c>
      <c r="R463" s="160">
        <f t="shared" si="253"/>
        <v>15654.245277714617</v>
      </c>
      <c r="S463" s="160">
        <f t="shared" si="254"/>
        <v>1.5707324463597214</v>
      </c>
      <c r="T463" s="160" t="str">
        <f t="shared" si="246"/>
        <v>1+0.294668145802811i</v>
      </c>
      <c r="U463" s="160">
        <f t="shared" si="255"/>
        <v>1.0425110628433958</v>
      </c>
      <c r="V463" s="160">
        <f t="shared" si="256"/>
        <v>0.28655803540735453</v>
      </c>
      <c r="W463" s="98" t="str">
        <f t="shared" si="247"/>
        <v>1-1.20417271121341i</v>
      </c>
      <c r="X463" s="160">
        <f t="shared" si="257"/>
        <v>1.565257780185441</v>
      </c>
      <c r="Y463" s="160">
        <f t="shared" si="258"/>
        <v>-0.87776467423148308</v>
      </c>
      <c r="Z463" s="98" t="str">
        <f t="shared" si="248"/>
        <v>-30.7731293889715-8.24474440006074i</v>
      </c>
      <c r="AA463" s="160">
        <f t="shared" si="259"/>
        <v>31.858457316899614</v>
      </c>
      <c r="AB463" s="160">
        <f t="shared" si="260"/>
        <v>-2.8798202732533915</v>
      </c>
      <c r="AC463" s="171" t="str">
        <f t="shared" si="261"/>
        <v>0.00190077537075851+0.00165999682468605i</v>
      </c>
      <c r="AD463" s="190">
        <f t="shared" si="262"/>
        <v>-51.959603599530965</v>
      </c>
      <c r="AE463" s="169">
        <f t="shared" si="263"/>
        <v>41.131562268222254</v>
      </c>
      <c r="AF463" s="98" t="str">
        <f t="shared" si="249"/>
        <v>-0.0000119284294234592</v>
      </c>
      <c r="AG463" s="98" t="str">
        <f t="shared" si="250"/>
        <v>0.0319335977960461i</v>
      </c>
      <c r="AH463" s="98">
        <f t="shared" si="264"/>
        <v>3.1933597796046098E-2</v>
      </c>
      <c r="AI463" s="98">
        <f t="shared" si="265"/>
        <v>1.5707963267948966</v>
      </c>
      <c r="AJ463" s="98" t="str">
        <f t="shared" si="251"/>
        <v>1+1.74992560320972i</v>
      </c>
      <c r="AK463" s="98">
        <f t="shared" si="266"/>
        <v>2.0154998429096693</v>
      </c>
      <c r="AL463" s="98">
        <f t="shared" si="267"/>
        <v>1.0516318989053939</v>
      </c>
      <c r="AM463" s="98" t="str">
        <f t="shared" si="252"/>
        <v>1+956.254800081237i</v>
      </c>
      <c r="AN463" s="98">
        <f t="shared" si="268"/>
        <v>956.25532295428638</v>
      </c>
      <c r="AO463" s="98">
        <f t="shared" si="269"/>
        <v>1.5697505807914394</v>
      </c>
      <c r="AP463" s="168" t="str">
        <f t="shared" si="270"/>
        <v>-0.08777038989651+0.153965191021278i</v>
      </c>
      <c r="AQ463" s="98">
        <f t="shared" si="271"/>
        <v>-15.029469774166397</v>
      </c>
      <c r="AR463" s="169">
        <f t="shared" si="272"/>
        <v>119.68601375895174</v>
      </c>
      <c r="AS463" s="168" t="str">
        <f t="shared" si="273"/>
        <v>-0.00042241352360466+0.000146954674517711i</v>
      </c>
      <c r="AT463" s="190">
        <f t="shared" si="274"/>
        <v>-66.989073373697366</v>
      </c>
      <c r="AU463" s="169">
        <f t="shared" si="275"/>
        <v>160.81757602717403</v>
      </c>
      <c r="AV463" s="225"/>
      <c r="AX463">
        <f t="shared" si="276"/>
        <v>0</v>
      </c>
      <c r="AY463">
        <f t="shared" si="277"/>
        <v>0</v>
      </c>
    </row>
    <row r="464" spans="14:51" x14ac:dyDescent="0.2">
      <c r="N464" s="170">
        <v>46</v>
      </c>
      <c r="O464" s="199">
        <f t="shared" si="278"/>
        <v>288403.1503126609</v>
      </c>
      <c r="P464" s="189" t="str">
        <f t="shared" si="244"/>
        <v>771.276595744681</v>
      </c>
      <c r="Q464" s="160" t="str">
        <f t="shared" si="245"/>
        <v>1+16018.8794594452i</v>
      </c>
      <c r="R464" s="160">
        <f t="shared" si="253"/>
        <v>16018.879490658366</v>
      </c>
      <c r="S464" s="160">
        <f t="shared" si="254"/>
        <v>1.5707339004559486</v>
      </c>
      <c r="T464" s="160" t="str">
        <f t="shared" si="246"/>
        <v>1+0.30153184864838i</v>
      </c>
      <c r="U464" s="160">
        <f t="shared" si="255"/>
        <v>1.0444718549340186</v>
      </c>
      <c r="V464" s="160">
        <f t="shared" si="256"/>
        <v>0.29286156702012489</v>
      </c>
      <c r="W464" s="98" t="str">
        <f t="shared" si="247"/>
        <v>1-1.2322214968804i</v>
      </c>
      <c r="X464" s="160">
        <f t="shared" si="257"/>
        <v>1.5869372443087262</v>
      </c>
      <c r="Y464" s="160">
        <f t="shared" si="258"/>
        <v>-0.88905685104126164</v>
      </c>
      <c r="Z464" s="98" t="str">
        <f t="shared" si="248"/>
        <v>-32.2705508441071-8.43678916772815i</v>
      </c>
      <c r="AA464" s="160">
        <f t="shared" si="259"/>
        <v>33.355177457821995</v>
      </c>
      <c r="AB464" s="160">
        <f t="shared" si="260"/>
        <v>-2.8858769347598279</v>
      </c>
      <c r="AC464" s="171" t="str">
        <f t="shared" si="261"/>
        <v>0.0018004342727773+0.00157575434385907i</v>
      </c>
      <c r="AD464" s="190">
        <f t="shared" si="262"/>
        <v>-52.422574845486338</v>
      </c>
      <c r="AE464" s="169">
        <f t="shared" si="263"/>
        <v>41.192671781626643</v>
      </c>
      <c r="AF464" s="98" t="str">
        <f t="shared" si="249"/>
        <v>-0.0000119284294234592</v>
      </c>
      <c r="AG464" s="98" t="str">
        <f t="shared" si="250"/>
        <v>0.0326774268430061i</v>
      </c>
      <c r="AH464" s="98">
        <f t="shared" si="264"/>
        <v>3.2677426843006098E-2</v>
      </c>
      <c r="AI464" s="98">
        <f t="shared" si="265"/>
        <v>1.5707963267948966</v>
      </c>
      <c r="AJ464" s="98" t="str">
        <f t="shared" si="251"/>
        <v>1+1.79068660677718i</v>
      </c>
      <c r="AK464" s="98">
        <f t="shared" si="266"/>
        <v>2.0509896449497669</v>
      </c>
      <c r="AL464" s="98">
        <f t="shared" si="267"/>
        <v>1.061492551761076</v>
      </c>
      <c r="AM464" s="98" t="str">
        <f t="shared" si="252"/>
        <v>1+978.528835757964i</v>
      </c>
      <c r="AN464" s="98">
        <f t="shared" si="268"/>
        <v>978.52934672897595</v>
      </c>
      <c r="AO464" s="98">
        <f t="shared" si="269"/>
        <v>1.569774384859886</v>
      </c>
      <c r="AP464" s="168" t="str">
        <f t="shared" si="270"/>
        <v>-0.0847591571610884+0.152142123292561i</v>
      </c>
      <c r="AQ464" s="98">
        <f t="shared" si="271"/>
        <v>-15.181083969230498</v>
      </c>
      <c r="AR464" s="169">
        <f t="shared" si="272"/>
        <v>119.12240383973476</v>
      </c>
      <c r="AS464" s="168" t="str">
        <f t="shared" si="273"/>
        <v>-0.000392341903146736+0.000140362283030618i</v>
      </c>
      <c r="AT464" s="190">
        <f t="shared" si="274"/>
        <v>-67.603658814716837</v>
      </c>
      <c r="AU464" s="169">
        <f t="shared" si="275"/>
        <v>160.31507562136136</v>
      </c>
      <c r="AV464" s="225"/>
      <c r="AX464">
        <f t="shared" si="276"/>
        <v>0</v>
      </c>
      <c r="AY464">
        <f t="shared" si="277"/>
        <v>0</v>
      </c>
    </row>
    <row r="465" spans="14:51" x14ac:dyDescent="0.2">
      <c r="N465" s="170">
        <v>47</v>
      </c>
      <c r="O465" s="199">
        <f t="shared" si="278"/>
        <v>295120.92266663886</v>
      </c>
      <c r="P465" s="189" t="str">
        <f t="shared" si="244"/>
        <v>771.276595744681</v>
      </c>
      <c r="Q465" s="160" t="str">
        <f t="shared" si="245"/>
        <v>1+16392.0070950404i</v>
      </c>
      <c r="R465" s="160">
        <f t="shared" si="253"/>
        <v>16392.00712554307</v>
      </c>
      <c r="S465" s="160">
        <f t="shared" si="254"/>
        <v>1.5707353214529052</v>
      </c>
      <c r="T465" s="160" t="str">
        <f t="shared" si="246"/>
        <v>1+0.308555427671348i</v>
      </c>
      <c r="U465" s="160">
        <f t="shared" si="255"/>
        <v>1.0465211187288332</v>
      </c>
      <c r="V465" s="160">
        <f t="shared" si="256"/>
        <v>0.29928721194540692</v>
      </c>
      <c r="W465" s="98" t="str">
        <f t="shared" si="247"/>
        <v>1-1.26092362269541i</v>
      </c>
      <c r="X465" s="160">
        <f t="shared" si="257"/>
        <v>1.6093254432436332</v>
      </c>
      <c r="Y465" s="160">
        <f t="shared" si="258"/>
        <v>-0.90029564155396291</v>
      </c>
      <c r="Z465" s="98" t="str">
        <f t="shared" si="248"/>
        <v>-33.8385435982434-8.63330723268638i</v>
      </c>
      <c r="AA465" s="160">
        <f t="shared" si="259"/>
        <v>34.922500291705553</v>
      </c>
      <c r="AB465" s="160">
        <f t="shared" si="260"/>
        <v>-2.8917894047789967</v>
      </c>
      <c r="AC465" s="171" t="str">
        <f t="shared" si="261"/>
        <v>0.00170589699349807+0.00149632528900436i</v>
      </c>
      <c r="AD465" s="190">
        <f t="shared" si="262"/>
        <v>-52.882708731573523</v>
      </c>
      <c r="AE465" s="169">
        <f t="shared" si="263"/>
        <v>41.255577014753179</v>
      </c>
      <c r="AF465" s="98" t="str">
        <f t="shared" si="249"/>
        <v>-0.0000119284294234592</v>
      </c>
      <c r="AG465" s="98" t="str">
        <f t="shared" si="250"/>
        <v>0.0334385818942152i</v>
      </c>
      <c r="AH465" s="98">
        <f t="shared" si="264"/>
        <v>3.3438581894215197E-2</v>
      </c>
      <c r="AI465" s="98">
        <f t="shared" si="265"/>
        <v>1.5707963267948966</v>
      </c>
      <c r="AJ465" s="98" t="str">
        <f t="shared" si="251"/>
        <v>1+1.83239705608609i</v>
      </c>
      <c r="AK465" s="98">
        <f t="shared" si="266"/>
        <v>2.0875054421852339</v>
      </c>
      <c r="AL465" s="98">
        <f t="shared" si="267"/>
        <v>1.0712348328084833</v>
      </c>
      <c r="AM465" s="98" t="str">
        <f t="shared" si="252"/>
        <v>1+1001.32170037577i</v>
      </c>
      <c r="AN465" s="98">
        <f t="shared" si="268"/>
        <v>1001.3221997156677</v>
      </c>
      <c r="AO465" s="98">
        <f t="shared" si="269"/>
        <v>1.5697976470827013</v>
      </c>
      <c r="AP465" s="168" t="str">
        <f t="shared" si="270"/>
        <v>-0.0818197846553435+0.150283059066124i</v>
      </c>
      <c r="AQ465" s="98">
        <f t="shared" si="271"/>
        <v>-15.334367146766825</v>
      </c>
      <c r="AR465" s="169">
        <f t="shared" si="272"/>
        <v>118.56554508007723</v>
      </c>
      <c r="AS465" s="168" t="str">
        <f t="shared" si="273"/>
        <v>-0.000364448466441787+0.000133938405713912i</v>
      </c>
      <c r="AT465" s="190">
        <f t="shared" si="274"/>
        <v>-68.217075878340367</v>
      </c>
      <c r="AU465" s="169">
        <f t="shared" si="275"/>
        <v>159.82112209483043</v>
      </c>
      <c r="AV465" s="225"/>
      <c r="AX465">
        <f t="shared" si="276"/>
        <v>0</v>
      </c>
      <c r="AY465">
        <f t="shared" si="277"/>
        <v>0</v>
      </c>
    </row>
    <row r="466" spans="14:51" x14ac:dyDescent="0.2">
      <c r="N466" s="170">
        <v>48</v>
      </c>
      <c r="O466" s="199">
        <f t="shared" si="278"/>
        <v>301995.17204020242</v>
      </c>
      <c r="P466" s="189" t="str">
        <f t="shared" si="244"/>
        <v>771.276595744681</v>
      </c>
      <c r="Q466" s="160" t="str">
        <f t="shared" si="245"/>
        <v>1+16773.8259897712i</v>
      </c>
      <c r="R466" s="160">
        <f t="shared" si="253"/>
        <v>16773.826019579548</v>
      </c>
      <c r="S466" s="160">
        <f t="shared" si="254"/>
        <v>1.5707367101040222</v>
      </c>
      <c r="T466" s="160" t="str">
        <f t="shared" si="246"/>
        <v>1+0.315742606866281i</v>
      </c>
      <c r="U466" s="160">
        <f t="shared" si="255"/>
        <v>1.0486626692081276</v>
      </c>
      <c r="V466" s="160">
        <f t="shared" si="256"/>
        <v>0.30583625390117491</v>
      </c>
      <c r="W466" s="98" t="str">
        <f t="shared" si="247"/>
        <v>1-1.29029430690547i</v>
      </c>
      <c r="X466" s="160">
        <f t="shared" si="257"/>
        <v>1.6324397074417993</v>
      </c>
      <c r="Y466" s="160">
        <f t="shared" si="258"/>
        <v>-0.91147564876433773</v>
      </c>
      <c r="Z466" s="98" t="str">
        <f t="shared" si="248"/>
        <v>-35.4804335742366-8.83440279141472i</v>
      </c>
      <c r="AA466" s="160">
        <f t="shared" si="259"/>
        <v>36.563750345072258</v>
      </c>
      <c r="AB466" s="160">
        <f t="shared" si="260"/>
        <v>-2.8975613639404378</v>
      </c>
      <c r="AC466" s="171" t="str">
        <f t="shared" si="261"/>
        <v>0.00161679091753026+0.00142142938271552i</v>
      </c>
      <c r="AD466" s="190">
        <f t="shared" si="262"/>
        <v>-53.339995161124591</v>
      </c>
      <c r="AE466" s="169">
        <f t="shared" si="263"/>
        <v>41.320871586216469</v>
      </c>
      <c r="AF466" s="98" t="str">
        <f t="shared" si="249"/>
        <v>-0.0000119284294234592</v>
      </c>
      <c r="AG466" s="98" t="str">
        <f t="shared" si="250"/>
        <v>0.0342174665241566i</v>
      </c>
      <c r="AH466" s="98">
        <f t="shared" si="264"/>
        <v>3.4217466524156602E-2</v>
      </c>
      <c r="AI466" s="98">
        <f t="shared" si="265"/>
        <v>1.5707963267948966</v>
      </c>
      <c r="AJ466" s="98" t="str">
        <f t="shared" si="251"/>
        <v>1+1.87507906656878i</v>
      </c>
      <c r="AK466" s="98">
        <f t="shared" si="266"/>
        <v>2.125069764945247</v>
      </c>
      <c r="AL466" s="98">
        <f t="shared" si="267"/>
        <v>1.0808565095179035</v>
      </c>
      <c r="AM466" s="98" t="str">
        <f t="shared" si="252"/>
        <v>1+1024.64547901317i</v>
      </c>
      <c r="AN466" s="98">
        <f t="shared" si="268"/>
        <v>1024.6459669867093</v>
      </c>
      <c r="AO466" s="98">
        <f t="shared" si="269"/>
        <v>1.5698203797937229</v>
      </c>
      <c r="AP466" s="168" t="str">
        <f t="shared" si="270"/>
        <v>-0.0789527352395873+0.148391227542896i</v>
      </c>
      <c r="AQ466" s="98">
        <f t="shared" si="271"/>
        <v>-15.489278859903646</v>
      </c>
      <c r="AR466" s="169">
        <f t="shared" si="272"/>
        <v>118.01556610118683</v>
      </c>
      <c r="AS466" s="168" t="str">
        <f t="shared" si="273"/>
        <v>-0.000338577716216233+0.000127691851217212i</v>
      </c>
      <c r="AT466" s="190">
        <f t="shared" si="274"/>
        <v>-68.82927402102824</v>
      </c>
      <c r="AU466" s="169">
        <f t="shared" si="275"/>
        <v>159.3364376874033</v>
      </c>
      <c r="AV466" s="225"/>
      <c r="AX466">
        <f t="shared" si="276"/>
        <v>0</v>
      </c>
      <c r="AY466">
        <f t="shared" si="277"/>
        <v>0</v>
      </c>
    </row>
    <row r="467" spans="14:51" x14ac:dyDescent="0.2">
      <c r="N467" s="170">
        <v>49</v>
      </c>
      <c r="O467" s="199">
        <f t="shared" si="278"/>
        <v>309029.54325135931</v>
      </c>
      <c r="P467" s="189" t="str">
        <f t="shared" ref="P467:P530" si="279">COMPLEX(Adc,0)</f>
        <v>771.276595744681</v>
      </c>
      <c r="Q467" s="160" t="str">
        <f t="shared" ref="Q467:Q530" si="280">IMSUM(COMPLEX(1,0),IMDIV(COMPLEX(0,2*PI()*O467),COMPLEX(wp_lf,0)))</f>
        <v>1+17164.5385890697i</v>
      </c>
      <c r="R467" s="160">
        <f t="shared" si="253"/>
        <v>17164.538618199524</v>
      </c>
      <c r="S467" s="160">
        <f t="shared" si="254"/>
        <v>1.5707380671455806</v>
      </c>
      <c r="T467" s="160" t="str">
        <f t="shared" ref="T467:T530" si="281">IMSUM(COMPLEX(1,0),IMDIV(COMPLEX(0,2*PI()*O467),COMPLEX(wz_esr,0)))</f>
        <v>1+0.323097196970723i</v>
      </c>
      <c r="U467" s="160">
        <f t="shared" si="255"/>
        <v>1.0509004704016163</v>
      </c>
      <c r="V467" s="160">
        <f t="shared" si="256"/>
        <v>0.31250991736273781</v>
      </c>
      <c r="W467" s="98" t="str">
        <f t="shared" ref="W467:W530" si="282">IMSUB(COMPLEX(1,0),IMDIV(COMPLEX(0,2*PI()*O467),COMPLEX(wz_rhp,0)))</f>
        <v>1-1.32034912223612i</v>
      </c>
      <c r="X467" s="160">
        <f t="shared" si="257"/>
        <v>1.6562976195689267</v>
      </c>
      <c r="Y467" s="160">
        <f t="shared" si="258"/>
        <v>-0.92259162168390307</v>
      </c>
      <c r="Z467" s="98" t="str">
        <f t="shared" ref="Z467:Z530" si="283">IF(Dc_Mode_Loop="CCM",IMSUM(COMPLEX(1,0),IMDIV(COMPLEX(0,2*PI()*O467),COMPLEX(Q*(wsl/2),0)),IMDIV(IMPOWER(COMPLEX(0,2*PI()*O467),2),IMPOWER(COMPLEX(wsl/2,0),2))),COMPLEX(1,0))</f>
        <v>-37.1997034408576-9.04018246744021i</v>
      </c>
      <c r="AA467" s="160">
        <f t="shared" si="259"/>
        <v>38.282408951532375</v>
      </c>
      <c r="AB467" s="160">
        <f t="shared" si="260"/>
        <v>-2.9031963851204106</v>
      </c>
      <c r="AC467" s="171" t="str">
        <f t="shared" si="261"/>
        <v>0.00153276973590449+0.00135080162744427i</v>
      </c>
      <c r="AD467" s="190">
        <f t="shared" si="262"/>
        <v>-53.794425506110272</v>
      </c>
      <c r="AE467" s="169">
        <f t="shared" si="263"/>
        <v>41.389131181307498</v>
      </c>
      <c r="AF467" s="98" t="str">
        <f t="shared" ref="AF467:AF530" si="284">COMPLEX(Adc_ea,0)</f>
        <v>-0.0000119284294234592</v>
      </c>
      <c r="AG467" s="98" t="str">
        <f t="shared" ref="AG467:AG530" si="285">COMPLEX(0,2*PI()*O467*wp0_ea)</f>
        <v>0.0350144937077706i</v>
      </c>
      <c r="AH467" s="98">
        <f t="shared" si="264"/>
        <v>3.50144937077706E-2</v>
      </c>
      <c r="AI467" s="98">
        <f t="shared" si="265"/>
        <v>1.5707963267948966</v>
      </c>
      <c r="AJ467" s="98" t="str">
        <f t="shared" ref="AJ467:AJ530" si="286">IMSUM(COMPLEX(1,0),IMDIV(COMPLEX(0,2*PI()*O467),COMPLEX(wp1_ea,0)))</f>
        <v>1+1.91875526879216i</v>
      </c>
      <c r="AK467" s="98">
        <f t="shared" si="266"/>
        <v>2.1637055671966263</v>
      </c>
      <c r="AL467" s="98">
        <f t="shared" si="267"/>
        <v>1.0903555566938703</v>
      </c>
      <c r="AM467" s="98" t="str">
        <f t="shared" ref="AM467:AM530" si="287">IMSUM(COMPLEX(1,0),IMDIV(COMPLEX(0,2*PI()*O467),COMPLEX(wz_ea,0)))</f>
        <v>1+1048.51253824634i</v>
      </c>
      <c r="AN467" s="98">
        <f t="shared" si="268"/>
        <v>1048.5130151122505</v>
      </c>
      <c r="AO467" s="98">
        <f t="shared" si="269"/>
        <v>1.5698425950460411</v>
      </c>
      <c r="AP467" s="168" t="str">
        <f t="shared" si="270"/>
        <v>-0.0761582997636501+0.146469810129034i</v>
      </c>
      <c r="AQ467" s="98">
        <f t="shared" si="271"/>
        <v>-15.645778450692768</v>
      </c>
      <c r="AR467" s="169">
        <f t="shared" si="272"/>
        <v>117.47258362880679</v>
      </c>
      <c r="AS467" s="168" t="str">
        <f t="shared" si="273"/>
        <v>-0.000314584794909417+0.000121629736925333i</v>
      </c>
      <c r="AT467" s="190">
        <f t="shared" si="274"/>
        <v>-69.440203956803046</v>
      </c>
      <c r="AU467" s="169">
        <f t="shared" si="275"/>
        <v>158.86171481011431</v>
      </c>
      <c r="AV467" s="225"/>
      <c r="AX467">
        <f t="shared" si="276"/>
        <v>0</v>
      </c>
      <c r="AY467">
        <f t="shared" si="277"/>
        <v>0</v>
      </c>
    </row>
    <row r="468" spans="14:51" x14ac:dyDescent="0.2">
      <c r="N468" s="170">
        <v>50</v>
      </c>
      <c r="O468" s="199">
        <f t="shared" si="278"/>
        <v>316227.7660168382</v>
      </c>
      <c r="P468" s="189" t="str">
        <f t="shared" si="279"/>
        <v>771.276595744681</v>
      </c>
      <c r="Q468" s="160" t="str">
        <f t="shared" si="280"/>
        <v>1+17564.3520539276i</v>
      </c>
      <c r="R468" s="160">
        <f t="shared" ref="R468:R531" si="288">IMABS(Q468)</f>
        <v>17564.352082394347</v>
      </c>
      <c r="S468" s="160">
        <f t="shared" ref="S468:S531" si="289">IMARGUMENT(Q468)</f>
        <v>1.5707393932971023</v>
      </c>
      <c r="T468" s="160" t="str">
        <f t="shared" si="281"/>
        <v>1+0.330623097485694i</v>
      </c>
      <c r="U468" s="160">
        <f t="shared" ref="U468:U531" si="290">IMABS(T468)</f>
        <v>1.0532386399059972</v>
      </c>
      <c r="V468" s="160">
        <f t="shared" ref="V468:V531" si="291">IMARGUMENT(T468)</f>
        <v>0.31930936211715061</v>
      </c>
      <c r="W468" s="98" t="str">
        <f t="shared" si="282"/>
        <v>1-1.35110400414827i</v>
      </c>
      <c r="X468" s="160">
        <f t="shared" ref="X468:X531" si="292">IMABS(W468)</f>
        <v>1.6809170205651107</v>
      </c>
      <c r="Y468" s="160">
        <f t="shared" ref="Y468:Y531" si="293">IMARGUMENT(W468)</f>
        <v>-0.93363846627760594</v>
      </c>
      <c r="Z468" s="98" t="str">
        <f t="shared" si="283"/>
        <v>-39-9.25075536787089i</v>
      </c>
      <c r="AA468" s="160">
        <f t="shared" ref="AA468:AA531" si="294">IMABS(Z468)</f>
        <v>40.082121636412808</v>
      </c>
      <c r="AB468" s="160">
        <f t="shared" ref="AB468:AB531" si="295">IMARGUMENT(Z468)</f>
        <v>-2.9086979372040247</v>
      </c>
      <c r="AC468" s="171" t="str">
        <f t="shared" ref="AC468:AC531" si="296">(IMDIV(IMPRODUCT(P468,T468,W468),IMPRODUCT(Q468,Z468)))</f>
        <v>0.00145351146069257+0.00128419164007984i</v>
      </c>
      <c r="AD468" s="190">
        <f t="shared" ref="AD468:AD531" si="297">20*LOG(IMABS(AC468))</f>
        <v>-54.245992487954275</v>
      </c>
      <c r="AE468" s="169">
        <f t="shared" ref="AE468:AE531" si="298">(180/PI())*IMARGUMENT(AC468)</f>
        <v>41.460912828888759</v>
      </c>
      <c r="AF468" s="98" t="str">
        <f t="shared" si="284"/>
        <v>-0.0000119284294234592</v>
      </c>
      <c r="AG468" s="98" t="str">
        <f t="shared" si="285"/>
        <v>0.0358300860394203i</v>
      </c>
      <c r="AH468" s="98">
        <f t="shared" ref="AH468:AH531" si="299">IMABS(AG468)</f>
        <v>3.5830086039420297E-2</v>
      </c>
      <c r="AI468" s="98">
        <f t="shared" ref="AI468:AI531" si="300">IMARGUMENT(AG468)</f>
        <v>1.5707963267948966</v>
      </c>
      <c r="AJ468" s="98" t="str">
        <f t="shared" si="286"/>
        <v>1+1.96344882045679i</v>
      </c>
      <c r="AK468" s="98">
        <f t="shared" ref="AK468:AK531" si="301">IMABS(AJ468)</f>
        <v>2.2034362415448192</v>
      </c>
      <c r="AL468" s="98">
        <f t="shared" ref="AL468:AL531" si="302">IMARGUMENT(AJ468)</f>
        <v>1.0997301530760837</v>
      </c>
      <c r="AM468" s="98" t="str">
        <f t="shared" si="287"/>
        <v>1+1072.93553270598i</v>
      </c>
      <c r="AN468" s="98">
        <f t="shared" ref="AN468:AN531" si="303">IMABS(AM468)</f>
        <v>1072.9359987171019</v>
      </c>
      <c r="AO468" s="98">
        <f t="shared" ref="AO468:AO531" si="304">IMARGUMENT(AM468)</f>
        <v>1.5698643046183891</v>
      </c>
      <c r="AP468" s="168" t="str">
        <f t="shared" ref="AP468:AP531" si="305">IMPRODUCT(AF468,IMDIV(AM468,IMPRODUCT(AG468,AJ468)))</f>
        <v>-0.0734366045217622+0.144521931098738i</v>
      </c>
      <c r="AQ468" s="98">
        <f t="shared" ref="AQ468:AQ531" si="306">20*LOG(IMABS(AP468))</f>
        <v>-15.803825144531613</v>
      </c>
      <c r="AR468" s="169">
        <f t="shared" ref="AR468:AR531" si="307">(180/PI())*IMARGUMENT(AP468)</f>
        <v>116.93670268833803</v>
      </c>
      <c r="AS468" s="168" t="str">
        <f t="shared" ref="AS468:AS531" si="308">IMPRODUCT(AC468,AP468)</f>
        <v>-0.000292334802031923+0.000115757609570741i</v>
      </c>
      <c r="AT468" s="190">
        <f t="shared" ref="AT468:AT531" si="309">20*LOG(IMABS(AS468))</f>
        <v>-70.049817632485897</v>
      </c>
      <c r="AU468" s="169">
        <f t="shared" ref="AU468:AU531" si="310">(180/PI())*IMARGUMENT(AS468)</f>
        <v>158.3976155172268</v>
      </c>
      <c r="AV468" s="225"/>
      <c r="AX468">
        <f t="shared" ref="AX468:AX531" si="311">SUM((AT469&lt;0)*(AT468&gt;0))*O468</f>
        <v>0</v>
      </c>
      <c r="AY468">
        <f t="shared" ref="AY468:AY531" si="312">IF(AX468&gt;0,AU468,0)</f>
        <v>0</v>
      </c>
    </row>
    <row r="469" spans="14:51" x14ac:dyDescent="0.2">
      <c r="N469" s="170">
        <v>51</v>
      </c>
      <c r="O469" s="199">
        <f t="shared" si="278"/>
        <v>323593.65692962846</v>
      </c>
      <c r="P469" s="189" t="str">
        <f t="shared" si="279"/>
        <v>771.276595744681</v>
      </c>
      <c r="Q469" s="160" t="str">
        <f t="shared" si="280"/>
        <v>1+17973.4783707361i</v>
      </c>
      <c r="R469" s="160">
        <f t="shared" si="288"/>
        <v>17973.478398554864</v>
      </c>
      <c r="S469" s="160">
        <f t="shared" si="289"/>
        <v>1.5707406892617302</v>
      </c>
      <c r="T469" s="160" t="str">
        <f t="shared" si="281"/>
        <v>1+0.338324298743267i</v>
      </c>
      <c r="U469" s="160">
        <f t="shared" si="290"/>
        <v>1.0556814534319163</v>
      </c>
      <c r="V469" s="160">
        <f t="shared" si="291"/>
        <v>0.3262356776171137</v>
      </c>
      <c r="W469" s="98" t="str">
        <f t="shared" si="282"/>
        <v>1-1.38257525928739i</v>
      </c>
      <c r="X469" s="160">
        <f t="shared" si="292"/>
        <v>1.7063160163327289</v>
      </c>
      <c r="Y469" s="160">
        <f t="shared" si="293"/>
        <v>-0.9446112554979248</v>
      </c>
      <c r="Z469" s="98" t="str">
        <f t="shared" si="283"/>
        <v>-40.885141922036-9.46623314124584i</v>
      </c>
      <c r="AA469" s="160">
        <f t="shared" si="294"/>
        <v>41.966705849630927</v>
      </c>
      <c r="AB469" s="160">
        <f t="shared" si="295"/>
        <v>-2.9140693887067006</v>
      </c>
      <c r="AC469" s="171" t="str">
        <f t="shared" si="296"/>
        <v>0.00137871659409203+0.00122136299216863i</v>
      </c>
      <c r="AD469" s="190">
        <f t="shared" si="297"/>
        <v>-54.694690057144122</v>
      </c>
      <c r="AE469" s="169">
        <f t="shared" si="298"/>
        <v>41.536754210461055</v>
      </c>
      <c r="AF469" s="98" t="str">
        <f t="shared" si="284"/>
        <v>-0.0000119284294234592</v>
      </c>
      <c r="AG469" s="98" t="str">
        <f t="shared" si="285"/>
        <v>0.0366646759569552i</v>
      </c>
      <c r="AH469" s="98">
        <f t="shared" si="299"/>
        <v>3.6664675956955203E-2</v>
      </c>
      <c r="AI469" s="98">
        <f t="shared" si="300"/>
        <v>1.5707963267948966</v>
      </c>
      <c r="AJ469" s="98" t="str">
        <f t="shared" si="286"/>
        <v>1+2.00918341867535i</v>
      </c>
      <c r="AK469" s="98">
        <f t="shared" si="301"/>
        <v>2.2442856346463493</v>
      </c>
      <c r="AL469" s="98">
        <f t="shared" si="302"/>
        <v>1.108978677365001</v>
      </c>
      <c r="AM469" s="98" t="str">
        <f t="shared" si="287"/>
        <v>1+1097.92741178705i</v>
      </c>
      <c r="AN469" s="98">
        <f t="shared" si="303"/>
        <v>1097.9278671904681</v>
      </c>
      <c r="AO469" s="98">
        <f t="shared" si="304"/>
        <v>1.5698855200213875</v>
      </c>
      <c r="AP469" s="168" t="str">
        <f t="shared" si="305"/>
        <v>-0.070787619151114+0.142550649111685i</v>
      </c>
      <c r="AQ469" s="98">
        <f t="shared" si="306"/>
        <v>-15.9633781402712</v>
      </c>
      <c r="AR469" s="169">
        <f t="shared" si="307"/>
        <v>116.40801683291122</v>
      </c>
      <c r="AS469" s="168" t="str">
        <f t="shared" si="308"/>
        <v>-0.000271702152514536+0.000110079567093972i</v>
      </c>
      <c r="AT469" s="190">
        <f t="shared" si="309"/>
        <v>-70.658068197415318</v>
      </c>
      <c r="AU469" s="169">
        <f t="shared" si="310"/>
        <v>157.94477104337236</v>
      </c>
      <c r="AV469" s="225"/>
      <c r="AX469">
        <f t="shared" si="311"/>
        <v>0</v>
      </c>
      <c r="AY469">
        <f t="shared" si="312"/>
        <v>0</v>
      </c>
    </row>
    <row r="470" spans="14:51" x14ac:dyDescent="0.2">
      <c r="N470" s="170">
        <v>52</v>
      </c>
      <c r="O470" s="199">
        <f t="shared" si="278"/>
        <v>331131.12148259126</v>
      </c>
      <c r="P470" s="189" t="str">
        <f t="shared" si="279"/>
        <v>771.276595744681</v>
      </c>
      <c r="Q470" s="160" t="str">
        <f t="shared" si="280"/>
        <v>1+18392.134463684i</v>
      </c>
      <c r="R470" s="160">
        <f t="shared" si="288"/>
        <v>18392.134490869536</v>
      </c>
      <c r="S470" s="160">
        <f t="shared" si="289"/>
        <v>1.5707419557266016</v>
      </c>
      <c r="T470" s="160" t="str">
        <f t="shared" si="281"/>
        <v>1+0.346204884022287i</v>
      </c>
      <c r="U470" s="160">
        <f t="shared" si="290"/>
        <v>1.0582333493709624</v>
      </c>
      <c r="V470" s="160">
        <f t="shared" si="291"/>
        <v>0.33328987714170433</v>
      </c>
      <c r="W470" s="98" t="str">
        <f t="shared" si="282"/>
        <v>1-1.41477957412954i</v>
      </c>
      <c r="X470" s="160">
        <f t="shared" si="292"/>
        <v>1.7325129850521068</v>
      </c>
      <c r="Y470" s="160">
        <f t="shared" si="293"/>
        <v>-0.95550523838000245</v>
      </c>
      <c r="Z470" s="98" t="str">
        <f t="shared" si="283"/>
        <v>-42.8591278457277-9.68673003673273i</v>
      </c>
      <c r="AA470" s="160">
        <f t="shared" si="294"/>
        <v>43.940159063218829</v>
      </c>
      <c r="AB470" s="160">
        <f t="shared" si="295"/>
        <v>-2.9193140112582148</v>
      </c>
      <c r="AC470" s="171" t="str">
        <f t="shared" si="296"/>
        <v>0.00130810644008092+0.0011620925596911i</v>
      </c>
      <c r="AD470" s="190">
        <f t="shared" si="297"/>
        <v>-55.140513272430141</v>
      </c>
      <c r="AE470" s="169">
        <f t="shared" si="298"/>
        <v>41.617173004081174</v>
      </c>
      <c r="AF470" s="98" t="str">
        <f t="shared" si="284"/>
        <v>-0.0000119284294234592</v>
      </c>
      <c r="AG470" s="98" t="str">
        <f t="shared" si="285"/>
        <v>0.0375187059709969i</v>
      </c>
      <c r="AH470" s="98">
        <f t="shared" si="299"/>
        <v>3.75187059709969E-2</v>
      </c>
      <c r="AI470" s="98">
        <f t="shared" si="300"/>
        <v>1.5707963267948966</v>
      </c>
      <c r="AJ470" s="98" t="str">
        <f t="shared" si="286"/>
        <v>1+2.05598331253718i</v>
      </c>
      <c r="AK470" s="98">
        <f t="shared" si="301"/>
        <v>2.2862780630166917</v>
      </c>
      <c r="AL470" s="98">
        <f t="shared" si="302"/>
        <v>1.1180997037275096</v>
      </c>
      <c r="AM470" s="98" t="str">
        <f t="shared" si="287"/>
        <v>1+1123.50142651463i</v>
      </c>
      <c r="AN470" s="98">
        <f t="shared" si="303"/>
        <v>1123.5018715518052</v>
      </c>
      <c r="AO470" s="98">
        <f t="shared" si="304"/>
        <v>1.5699062525036473</v>
      </c>
      <c r="AP470" s="168" t="str">
        <f t="shared" si="305"/>
        <v>-0.0682111648844327+0.140558949589266i</v>
      </c>
      <c r="AQ470" s="98">
        <f t="shared" si="306"/>
        <v>-16.124396695793738</v>
      </c>
      <c r="AR470" s="169">
        <f t="shared" si="307"/>
        <v>115.88660840124426</v>
      </c>
      <c r="AS470" s="168" t="str">
        <f t="shared" si="308"/>
        <v>-0.00025256997358643+0.000104598379968666i</v>
      </c>
      <c r="AT470" s="190">
        <f t="shared" si="309"/>
        <v>-71.26490996822389</v>
      </c>
      <c r="AU470" s="169">
        <f t="shared" si="310"/>
        <v>157.50378140532544</v>
      </c>
      <c r="AV470" s="225"/>
      <c r="AX470">
        <f t="shared" si="311"/>
        <v>0</v>
      </c>
      <c r="AY470">
        <f t="shared" si="312"/>
        <v>0</v>
      </c>
    </row>
    <row r="471" spans="14:51" x14ac:dyDescent="0.2">
      <c r="N471" s="170">
        <v>53</v>
      </c>
      <c r="O471" s="199">
        <f t="shared" si="278"/>
        <v>338844.15613920329</v>
      </c>
      <c r="P471" s="189" t="str">
        <f t="shared" si="279"/>
        <v>771.276595744681</v>
      </c>
      <c r="Q471" s="160" t="str">
        <f t="shared" si="280"/>
        <v>1+18820.5423097732i</v>
      </c>
      <c r="R471" s="160">
        <f t="shared" si="288"/>
        <v>18820.54233633991</v>
      </c>
      <c r="S471" s="160">
        <f t="shared" si="289"/>
        <v>1.5707431933632132</v>
      </c>
      <c r="T471" s="160" t="str">
        <f t="shared" si="281"/>
        <v>1+0.354269031713378i</v>
      </c>
      <c r="U471" s="160">
        <f t="shared" si="290"/>
        <v>1.0608989333726067</v>
      </c>
      <c r="V471" s="160">
        <f t="shared" si="291"/>
        <v>0.34047289177328705</v>
      </c>
      <c r="W471" s="98" t="str">
        <f t="shared" si="282"/>
        <v>1-1.4477340238287i</v>
      </c>
      <c r="X471" s="160">
        <f t="shared" si="292"/>
        <v>1.7595265851220432</v>
      </c>
      <c r="Y471" s="160">
        <f t="shared" si="293"/>
        <v>-0.96631584817066485</v>
      </c>
      <c r="Z471" s="98" t="str">
        <f t="shared" si="283"/>
        <v>-44.9261448598757-9.91236296470411i</v>
      </c>
      <c r="AA471" s="160">
        <f t="shared" si="294"/>
        <v>46.00666725067763</v>
      </c>
      <c r="AB471" s="160">
        <f t="shared" si="295"/>
        <v>-2.9244349829529201</v>
      </c>
      <c r="AC471" s="171" t="str">
        <f t="shared" si="296"/>
        <v>0.00124142154760267+0.00110616988557764i</v>
      </c>
      <c r="AD471" s="190">
        <f t="shared" si="297"/>
        <v>-55.58345818043415</v>
      </c>
      <c r="AE471" s="169">
        <f t="shared" si="298"/>
        <v>41.702666265442012</v>
      </c>
      <c r="AF471" s="98" t="str">
        <f t="shared" si="284"/>
        <v>-0.0000119284294234592</v>
      </c>
      <c r="AG471" s="98" t="str">
        <f t="shared" si="285"/>
        <v>0.0383926288995633i</v>
      </c>
      <c r="AH471" s="98">
        <f t="shared" si="299"/>
        <v>3.8392628899563297E-2</v>
      </c>
      <c r="AI471" s="98">
        <f t="shared" si="300"/>
        <v>1.5707963267948966</v>
      </c>
      <c r="AJ471" s="98" t="str">
        <f t="shared" si="286"/>
        <v>1+2.10387331596547i</v>
      </c>
      <c r="AK471" s="98">
        <f t="shared" si="301"/>
        <v>2.329438329218342</v>
      </c>
      <c r="AL471" s="98">
        <f t="shared" si="302"/>
        <v>1.127091996838022</v>
      </c>
      <c r="AM471" s="98" t="str">
        <f t="shared" si="287"/>
        <v>1+1149.67113656986i</v>
      </c>
      <c r="AN471" s="98">
        <f t="shared" si="303"/>
        <v>1149.6715714767561</v>
      </c>
      <c r="AO471" s="98">
        <f t="shared" si="304"/>
        <v>1.5699265130577338</v>
      </c>
      <c r="AP471" s="168" t="str">
        <f t="shared" si="305"/>
        <v>-0.0657069230706453+0.138549737945277i</v>
      </c>
      <c r="AQ471" s="98">
        <f t="shared" si="306"/>
        <v>-16.286840208878989</v>
      </c>
      <c r="AR471" s="169">
        <f t="shared" si="307"/>
        <v>115.37254880210691</v>
      </c>
      <c r="AS471" s="168" t="str">
        <f t="shared" si="308"/>
        <v>-0.000234829537896309+0.0000993156105252556i</v>
      </c>
      <c r="AT471" s="190">
        <f t="shared" si="309"/>
        <v>-71.870298389313149</v>
      </c>
      <c r="AU471" s="169">
        <f t="shared" si="310"/>
        <v>157.07521506754892</v>
      </c>
      <c r="AV471" s="225"/>
      <c r="AX471">
        <f t="shared" si="311"/>
        <v>0</v>
      </c>
      <c r="AY471">
        <f t="shared" si="312"/>
        <v>0</v>
      </c>
    </row>
    <row r="472" spans="14:51" x14ac:dyDescent="0.2">
      <c r="N472" s="170">
        <v>54</v>
      </c>
      <c r="O472" s="199">
        <f t="shared" si="278"/>
        <v>346736.85045253241</v>
      </c>
      <c r="P472" s="189" t="str">
        <f t="shared" si="279"/>
        <v>771.276595744681</v>
      </c>
      <c r="Q472" s="160" t="str">
        <f t="shared" si="280"/>
        <v>1+19258.9290565144i</v>
      </c>
      <c r="R472" s="160">
        <f t="shared" si="288"/>
        <v>19258.929082476385</v>
      </c>
      <c r="S472" s="160">
        <f t="shared" si="289"/>
        <v>1.5707444028277764</v>
      </c>
      <c r="T472" s="160" t="str">
        <f t="shared" si="281"/>
        <v>1+0.362521017534388i</v>
      </c>
      <c r="U472" s="160">
        <f t="shared" si="290"/>
        <v>1.0636829829202721</v>
      </c>
      <c r="V472" s="160">
        <f t="shared" si="291"/>
        <v>0.34778556420203288</v>
      </c>
      <c r="W472" s="98" t="str">
        <f t="shared" si="282"/>
        <v>1-1.48145608127033i</v>
      </c>
      <c r="X472" s="160">
        <f t="shared" si="292"/>
        <v>1.7873757637197731</v>
      </c>
      <c r="Y472" s="160">
        <f t="shared" si="293"/>
        <v>-0.97703870947354921</v>
      </c>
      <c r="Z472" s="98" t="str">
        <f t="shared" si="283"/>
        <v>-47.090577384697-10.143251558725i</v>
      </c>
      <c r="AA472" s="160">
        <f t="shared" si="294"/>
        <v>48.170613766151185</v>
      </c>
      <c r="AB472" s="160">
        <f t="shared" si="295"/>
        <v>-2.9294353915699789</v>
      </c>
      <c r="AC472" s="171" t="str">
        <f t="shared" si="296"/>
        <v>0.00117842027504638+0.00105339655750848i</v>
      </c>
      <c r="AD472" s="190">
        <f t="shared" si="297"/>
        <v>-56.023521696511615</v>
      </c>
      <c r="AE472" s="169">
        <f t="shared" si="298"/>
        <v>41.793709847994847</v>
      </c>
      <c r="AF472" s="98" t="str">
        <f t="shared" si="284"/>
        <v>-0.0000119284294234592</v>
      </c>
      <c r="AG472" s="98" t="str">
        <f t="shared" si="285"/>
        <v>0.0392869081081587i</v>
      </c>
      <c r="AH472" s="98">
        <f t="shared" si="299"/>
        <v>3.92869081081587E-2</v>
      </c>
      <c r="AI472" s="98">
        <f t="shared" si="300"/>
        <v>1.5707963267948966</v>
      </c>
      <c r="AJ472" s="98" t="str">
        <f t="shared" si="286"/>
        <v>1+2.15287882087394i</v>
      </c>
      <c r="AK472" s="98">
        <f t="shared" si="301"/>
        <v>2.3737917384150542</v>
      </c>
      <c r="AL472" s="98">
        <f t="shared" si="302"/>
        <v>1.1359545065098209</v>
      </c>
      <c r="AM472" s="98" t="str">
        <f t="shared" si="287"/>
        <v>1+1176.45041747938i</v>
      </c>
      <c r="AN472" s="98">
        <f t="shared" si="303"/>
        <v>1176.4508424865901</v>
      </c>
      <c r="AO472" s="98">
        <f t="shared" si="304"/>
        <v>1.5699463124259945</v>
      </c>
      <c r="AP472" s="168" t="str">
        <f t="shared" si="305"/>
        <v>-0.0632744438820231+0.13652583365857i</v>
      </c>
      <c r="AQ472" s="98">
        <f t="shared" si="306"/>
        <v>-16.450668293237307</v>
      </c>
      <c r="AR472" s="169">
        <f t="shared" si="307"/>
        <v>114.86589882225755</v>
      </c>
      <c r="AS472" s="168" t="str">
        <f t="shared" si="308"/>
        <v>-0.000218379730749773+0.0000942317290872818i</v>
      </c>
      <c r="AT472" s="190">
        <f t="shared" si="309"/>
        <v>-72.474189989748936</v>
      </c>
      <c r="AU472" s="169">
        <f t="shared" si="310"/>
        <v>156.65960867025234</v>
      </c>
      <c r="AV472" s="225"/>
      <c r="AX472">
        <f t="shared" si="311"/>
        <v>0</v>
      </c>
      <c r="AY472">
        <f t="shared" si="312"/>
        <v>0</v>
      </c>
    </row>
    <row r="473" spans="14:51" x14ac:dyDescent="0.2">
      <c r="N473" s="170">
        <v>55</v>
      </c>
      <c r="O473" s="199">
        <f t="shared" si="278"/>
        <v>354813.38923357555</v>
      </c>
      <c r="P473" s="189" t="str">
        <f t="shared" si="279"/>
        <v>771.276595744681</v>
      </c>
      <c r="Q473" s="160" t="str">
        <f t="shared" si="280"/>
        <v>1+19707.5271423633i</v>
      </c>
      <c r="R473" s="160">
        <f t="shared" si="288"/>
        <v>19707.527167734312</v>
      </c>
      <c r="S473" s="160">
        <f t="shared" si="289"/>
        <v>1.570745584761565</v>
      </c>
      <c r="T473" s="160" t="str">
        <f t="shared" si="281"/>
        <v>1+0.370965216797426i</v>
      </c>
      <c r="U473" s="160">
        <f t="shared" si="290"/>
        <v>1.0665904518949911</v>
      </c>
      <c r="V473" s="160">
        <f t="shared" si="291"/>
        <v>0.35522864237170171</v>
      </c>
      <c r="W473" s="98" t="str">
        <f t="shared" si="282"/>
        <v>1-1.51596362633563i</v>
      </c>
      <c r="X473" s="160">
        <f t="shared" si="292"/>
        <v>1.8160797659719334</v>
      </c>
      <c r="Y473" s="160">
        <f t="shared" si="293"/>
        <v>-0.98766964440140992</v>
      </c>
      <c r="Z473" s="98" t="str">
        <f t="shared" si="283"/>
        <v>-49.3570164717666-10.3795182389841i</v>
      </c>
      <c r="AA473" s="160">
        <f t="shared" si="294"/>
        <v>50.436588642251003</v>
      </c>
      <c r="AB473" s="160">
        <f t="shared" si="295"/>
        <v>-2.9343182376676045</v>
      </c>
      <c r="AC473" s="171" t="str">
        <f t="shared" si="296"/>
        <v>0.001118877466544+0.00100358560299729i</v>
      </c>
      <c r="AD473" s="190">
        <f t="shared" si="297"/>
        <v>-56.46070148771777</v>
      </c>
      <c r="AE473" s="169">
        <f t="shared" si="298"/>
        <v>41.89075786364635</v>
      </c>
      <c r="AF473" s="98" t="str">
        <f t="shared" si="284"/>
        <v>-0.0000119284294234592</v>
      </c>
      <c r="AG473" s="98" t="str">
        <f t="shared" si="285"/>
        <v>0.0402020177554566i</v>
      </c>
      <c r="AH473" s="98">
        <f t="shared" si="299"/>
        <v>4.02020177554566E-2</v>
      </c>
      <c r="AI473" s="98">
        <f t="shared" si="300"/>
        <v>1.5707963267948966</v>
      </c>
      <c r="AJ473" s="98" t="str">
        <f t="shared" si="286"/>
        <v>1+2.20302581062994i</v>
      </c>
      <c r="AK473" s="98">
        <f t="shared" si="301"/>
        <v>2.4193641152794063</v>
      </c>
      <c r="AL473" s="98">
        <f t="shared" si="302"/>
        <v>1.1446863619704168</v>
      </c>
      <c r="AM473" s="98" t="str">
        <f t="shared" si="287"/>
        <v>1+1203.85346797242i</v>
      </c>
      <c r="AN473" s="98">
        <f t="shared" si="303"/>
        <v>1203.8538833052883</v>
      </c>
      <c r="AO473" s="98">
        <f t="shared" si="304"/>
        <v>1.569965661106254</v>
      </c>
      <c r="AP473" s="168" t="str">
        <f t="shared" si="305"/>
        <v>-0.0609131551312537+0.134489965168291i</v>
      </c>
      <c r="AQ473" s="98">
        <f t="shared" si="306"/>
        <v>-16.615840849621641</v>
      </c>
      <c r="AR473" s="169">
        <f t="shared" si="307"/>
        <v>114.36670895476509</v>
      </c>
      <c r="AS473" s="168" t="str">
        <f t="shared" si="308"/>
        <v>-0.000203126549482963+0.0000893462259802215i</v>
      </c>
      <c r="AT473" s="190">
        <f t="shared" si="309"/>
        <v>-73.076542337339404</v>
      </c>
      <c r="AU473" s="169">
        <f t="shared" si="310"/>
        <v>156.25746681841147</v>
      </c>
      <c r="AV473" s="225"/>
      <c r="AX473">
        <f t="shared" si="311"/>
        <v>0</v>
      </c>
      <c r="AY473">
        <f t="shared" si="312"/>
        <v>0</v>
      </c>
    </row>
    <row r="474" spans="14:51" x14ac:dyDescent="0.2">
      <c r="N474" s="170">
        <v>56</v>
      </c>
      <c r="O474" s="199">
        <f t="shared" si="278"/>
        <v>363078.05477010203</v>
      </c>
      <c r="P474" s="189" t="str">
        <f t="shared" si="279"/>
        <v>771.276595744681</v>
      </c>
      <c r="Q474" s="160" t="str">
        <f t="shared" si="280"/>
        <v>1+20166.5744199632i</v>
      </c>
      <c r="R474" s="160">
        <f t="shared" si="288"/>
        <v>20166.574444756701</v>
      </c>
      <c r="S474" s="160">
        <f t="shared" si="289"/>
        <v>1.570746739791256</v>
      </c>
      <c r="T474" s="160" t="str">
        <f t="shared" si="281"/>
        <v>1+0.379606106728718i</v>
      </c>
      <c r="U474" s="160">
        <f t="shared" si="290"/>
        <v>1.0696264751144366</v>
      </c>
      <c r="V474" s="160">
        <f t="shared" si="291"/>
        <v>0.36280277298277158</v>
      </c>
      <c r="W474" s="98" t="str">
        <f t="shared" si="282"/>
        <v>1-1.55127495538178i</v>
      </c>
      <c r="X474" s="160">
        <f t="shared" si="292"/>
        <v>1.8456581447263585</v>
      </c>
      <c r="Y474" s="160">
        <f t="shared" si="293"/>
        <v>-0.99820467773562371</v>
      </c>
      <c r="Z474" s="98" t="str">
        <f t="shared" si="283"/>
        <v>-51.7302695422566-10.6212882772027i</v>
      </c>
      <c r="AA474" s="160">
        <f t="shared" si="294"/>
        <v>52.809398326263519</v>
      </c>
      <c r="AB474" s="160">
        <f t="shared" si="295"/>
        <v>-2.9390864375554764</v>
      </c>
      <c r="AC474" s="171" t="str">
        <f t="shared" si="296"/>
        <v>0.00106258323131465+0.000956560903288525i</v>
      </c>
      <c r="AD474" s="190">
        <f t="shared" si="297"/>
        <v>-56.894995858729786</v>
      </c>
      <c r="AE474" s="169">
        <f t="shared" si="298"/>
        <v>41.99424218518444</v>
      </c>
      <c r="AF474" s="98" t="str">
        <f t="shared" si="284"/>
        <v>-0.0000119284294234592</v>
      </c>
      <c r="AG474" s="98" t="str">
        <f t="shared" si="285"/>
        <v>0.0411384430447053i</v>
      </c>
      <c r="AH474" s="98">
        <f t="shared" si="299"/>
        <v>4.1138443044705299E-2</v>
      </c>
      <c r="AI474" s="98">
        <f t="shared" si="300"/>
        <v>1.5707963267948966</v>
      </c>
      <c r="AJ474" s="98" t="str">
        <f t="shared" si="286"/>
        <v>1+2.25434087383126i</v>
      </c>
      <c r="AK474" s="98">
        <f t="shared" si="301"/>
        <v>2.4661818212423605</v>
      </c>
      <c r="AL474" s="98">
        <f t="shared" si="302"/>
        <v>1.1532868658332744</v>
      </c>
      <c r="AM474" s="98" t="str">
        <f t="shared" si="287"/>
        <v>1+1231.89481750906i</v>
      </c>
      <c r="AN474" s="98">
        <f t="shared" si="303"/>
        <v>1231.895223387801</v>
      </c>
      <c r="AO474" s="98">
        <f t="shared" si="304"/>
        <v>1.5699845693573811</v>
      </c>
      <c r="AP474" s="168" t="str">
        <f t="shared" si="305"/>
        <v>-0.0586223711272983+0.132444765565994i</v>
      </c>
      <c r="AQ474" s="98">
        <f t="shared" si="306"/>
        <v>-16.782318131982869</v>
      </c>
      <c r="AR474" s="169">
        <f t="shared" si="307"/>
        <v>113.87501974472504</v>
      </c>
      <c r="AS474" s="168" t="str">
        <f t="shared" si="308"/>
        <v>-0.000188982633125415+0.0000846577186873816i</v>
      </c>
      <c r="AT474" s="190">
        <f t="shared" si="309"/>
        <v>-73.677313990712662</v>
      </c>
      <c r="AU474" s="169">
        <f t="shared" si="310"/>
        <v>155.86926192990941</v>
      </c>
      <c r="AV474" s="225"/>
      <c r="AX474">
        <f t="shared" si="311"/>
        <v>0</v>
      </c>
      <c r="AY474">
        <f t="shared" si="312"/>
        <v>0</v>
      </c>
    </row>
    <row r="475" spans="14:51" x14ac:dyDescent="0.2">
      <c r="N475" s="170">
        <v>57</v>
      </c>
      <c r="O475" s="199">
        <f t="shared" si="278"/>
        <v>371535.2290971732</v>
      </c>
      <c r="P475" s="189" t="str">
        <f t="shared" si="279"/>
        <v>771.276595744681</v>
      </c>
      <c r="Q475" s="160" t="str">
        <f t="shared" si="280"/>
        <v>1+20636.3142822566i</v>
      </c>
      <c r="R475" s="160">
        <f t="shared" si="288"/>
        <v>20636.314306485732</v>
      </c>
      <c r="S475" s="160">
        <f t="shared" si="289"/>
        <v>1.5707478685292615</v>
      </c>
      <c r="T475" s="160" t="str">
        <f t="shared" si="281"/>
        <v>1+0.388448268842477i</v>
      </c>
      <c r="U475" s="160">
        <f t="shared" si="290"/>
        <v>1.0727963728344339</v>
      </c>
      <c r="V475" s="160">
        <f t="shared" si="291"/>
        <v>0.37050849487146487</v>
      </c>
      <c r="W475" s="98" t="str">
        <f t="shared" si="282"/>
        <v>1-1.58740879094281i</v>
      </c>
      <c r="X475" s="160">
        <f t="shared" si="292"/>
        <v>1.8761307709119091</v>
      </c>
      <c r="Y475" s="160">
        <f t="shared" si="293"/>
        <v>-1.0086400411009615</v>
      </c>
      <c r="Z475" s="98" t="str">
        <f t="shared" si="283"/>
        <v>-54.2153705841157-10.8686898630553i</v>
      </c>
      <c r="AA475" s="160">
        <f t="shared" si="294"/>
        <v>55.294075875379995</v>
      </c>
      <c r="AB475" s="160">
        <f t="shared" si="295"/>
        <v>-2.9437428261494896</v>
      </c>
      <c r="AC475" s="171" t="str">
        <f t="shared" si="296"/>
        <v>0.00100934181794936+0.000912156627199176i</v>
      </c>
      <c r="AD475" s="190">
        <f t="shared" si="297"/>
        <v>-57.326403641559402</v>
      </c>
      <c r="AE475" s="169">
        <f t="shared" si="298"/>
        <v>42.104571991274874</v>
      </c>
      <c r="AF475" s="98" t="str">
        <f t="shared" si="284"/>
        <v>-0.0000119284294234592</v>
      </c>
      <c r="AG475" s="98" t="str">
        <f t="shared" si="285"/>
        <v>0.0420966804809879i</v>
      </c>
      <c r="AH475" s="98">
        <f t="shared" si="299"/>
        <v>4.20966804809879E-2</v>
      </c>
      <c r="AI475" s="98">
        <f t="shared" si="300"/>
        <v>1.5707963267948966</v>
      </c>
      <c r="AJ475" s="98" t="str">
        <f t="shared" si="286"/>
        <v>1+2.30685121840359i</v>
      </c>
      <c r="AK475" s="98">
        <f t="shared" si="301"/>
        <v>2.5142717720743968</v>
      </c>
      <c r="AL475" s="98">
        <f t="shared" si="302"/>
        <v>1.1617554878163325</v>
      </c>
      <c r="AM475" s="98" t="str">
        <f t="shared" si="287"/>
        <v>1+1260.589333984i</v>
      </c>
      <c r="AN475" s="98">
        <f t="shared" si="303"/>
        <v>1260.5897306238157</v>
      </c>
      <c r="AO475" s="98">
        <f t="shared" si="304"/>
        <v>1.5700030472047264</v>
      </c>
      <c r="AP475" s="168" t="str">
        <f t="shared" si="305"/>
        <v>-0.0564013015047545+0.130392769053881i</v>
      </c>
      <c r="AQ475" s="98">
        <f t="shared" si="306"/>
        <v>-16.950060808658233</v>
      </c>
      <c r="AR475" s="169">
        <f t="shared" si="307"/>
        <v>113.3908621494714</v>
      </c>
      <c r="AS475" s="168" t="str">
        <f t="shared" si="308"/>
        <v>-0.000175866820626868+0.0000801640536140746i</v>
      </c>
      <c r="AT475" s="190">
        <f t="shared" si="309"/>
        <v>-74.276464450217631</v>
      </c>
      <c r="AU475" s="169">
        <f t="shared" si="310"/>
        <v>155.49543414074628</v>
      </c>
      <c r="AV475" s="225"/>
      <c r="AX475">
        <f t="shared" si="311"/>
        <v>0</v>
      </c>
      <c r="AY475">
        <f t="shared" si="312"/>
        <v>0</v>
      </c>
    </row>
    <row r="476" spans="14:51" x14ac:dyDescent="0.2">
      <c r="N476" s="170">
        <v>58</v>
      </c>
      <c r="O476" s="199">
        <f t="shared" si="278"/>
        <v>380189.39632056188</v>
      </c>
      <c r="P476" s="189" t="str">
        <f t="shared" si="279"/>
        <v>771.276595744681</v>
      </c>
      <c r="Q476" s="160" t="str">
        <f t="shared" si="280"/>
        <v>1+21116.9957915364i</v>
      </c>
      <c r="R476" s="160">
        <f t="shared" si="288"/>
        <v>21116.99581521401</v>
      </c>
      <c r="S476" s="160">
        <f t="shared" si="289"/>
        <v>1.5707489715740535</v>
      </c>
      <c r="T476" s="160" t="str">
        <f t="shared" si="281"/>
        <v>1+0.397496391370097i</v>
      </c>
      <c r="U476" s="160">
        <f t="shared" si="290"/>
        <v>1.0761056551994554</v>
      </c>
      <c r="V476" s="160">
        <f t="shared" si="291"/>
        <v>0.37834623228593456</v>
      </c>
      <c r="W476" s="98" t="str">
        <f t="shared" si="282"/>
        <v>1-1.62438429165664i</v>
      </c>
      <c r="X476" s="160">
        <f t="shared" si="292"/>
        <v>1.9075178444724559</v>
      </c>
      <c r="Y476" s="160">
        <f t="shared" si="293"/>
        <v>-1.018972176171703</v>
      </c>
      <c r="Z476" s="98" t="str">
        <f t="shared" si="283"/>
        <v>-56.8175908298374-11.1218541721373i</v>
      </c>
      <c r="AA476" s="160">
        <f t="shared" si="294"/>
        <v>57.89589163259437</v>
      </c>
      <c r="AB476" s="160">
        <f t="shared" si="295"/>
        <v>-2.948290159713149</v>
      </c>
      <c r="AC476" s="171" t="str">
        <f t="shared" si="296"/>
        <v>0.000958970576146926+0.000870216685693813i</v>
      </c>
      <c r="AD476" s="190">
        <f t="shared" si="297"/>
        <v>-57.754924089876809</v>
      </c>
      <c r="AE476" s="169">
        <f t="shared" si="298"/>
        <v>42.222133354567866</v>
      </c>
      <c r="AF476" s="98" t="str">
        <f t="shared" si="284"/>
        <v>-0.0000119284294234592</v>
      </c>
      <c r="AG476" s="98" t="str">
        <f t="shared" si="285"/>
        <v>0.0430772381344769i</v>
      </c>
      <c r="AH476" s="98">
        <f t="shared" si="299"/>
        <v>4.3077238134476899E-2</v>
      </c>
      <c r="AI476" s="98">
        <f t="shared" si="300"/>
        <v>1.5707963267948966</v>
      </c>
      <c r="AJ476" s="98" t="str">
        <f t="shared" si="286"/>
        <v>1+2.36058468602672i</v>
      </c>
      <c r="AK476" s="98">
        <f t="shared" si="301"/>
        <v>2.5636614557901103</v>
      </c>
      <c r="AL476" s="98">
        <f t="shared" si="302"/>
        <v>1.1700918582557784</v>
      </c>
      <c r="AM476" s="98" t="str">
        <f t="shared" si="287"/>
        <v>1+1289.95223160969i</v>
      </c>
      <c r="AN476" s="98">
        <f t="shared" si="303"/>
        <v>1289.9526192208841</v>
      </c>
      <c r="AO476" s="98">
        <f t="shared" si="304"/>
        <v>1.5700211044454389</v>
      </c>
      <c r="AP476" s="168" t="str">
        <f t="shared" si="305"/>
        <v>-0.0542490599673677+0.128336408133812i</v>
      </c>
      <c r="AQ476" s="98">
        <f t="shared" si="306"/>
        <v>-17.119030018631896</v>
      </c>
      <c r="AR476" s="169">
        <f t="shared" si="307"/>
        <v>112.91425791051616</v>
      </c>
      <c r="AS476" s="168" t="str">
        <f t="shared" si="308"/>
        <v>-0.00016370373603239+0.0000758624020819011i</v>
      </c>
      <c r="AT476" s="190">
        <f t="shared" si="309"/>
        <v>-74.873954108508713</v>
      </c>
      <c r="AU476" s="169">
        <f t="shared" si="310"/>
        <v>155.136391265084</v>
      </c>
      <c r="AV476" s="225"/>
      <c r="AX476">
        <f t="shared" si="311"/>
        <v>0</v>
      </c>
      <c r="AY476">
        <f t="shared" si="312"/>
        <v>0</v>
      </c>
    </row>
    <row r="477" spans="14:51" x14ac:dyDescent="0.2">
      <c r="N477" s="170">
        <v>59</v>
      </c>
      <c r="O477" s="199">
        <f t="shared" si="278"/>
        <v>389045.14499428123</v>
      </c>
      <c r="P477" s="189" t="str">
        <f t="shared" si="279"/>
        <v>771.276595744681</v>
      </c>
      <c r="Q477" s="160" t="str">
        <f t="shared" si="280"/>
        <v>1+21608.8738115014i</v>
      </c>
      <c r="R477" s="160">
        <f t="shared" si="288"/>
        <v>21608.873834640039</v>
      </c>
      <c r="S477" s="160">
        <f t="shared" si="289"/>
        <v>1.5707500495104805</v>
      </c>
      <c r="T477" s="160" t="str">
        <f t="shared" si="281"/>
        <v>1+0.406755271745908i</v>
      </c>
      <c r="U477" s="160">
        <f t="shared" si="290"/>
        <v>1.0795600266280183</v>
      </c>
      <c r="V477" s="160">
        <f t="shared" si="291"/>
        <v>0.38631628808353008</v>
      </c>
      <c r="W477" s="98" t="str">
        <f t="shared" si="282"/>
        <v>1-1.66222106242318i</v>
      </c>
      <c r="X477" s="160">
        <f t="shared" si="292"/>
        <v>1.9398399058590492</v>
      </c>
      <c r="Y477" s="160">
        <f t="shared" si="293"/>
        <v>-1.0291977369320988</v>
      </c>
      <c r="Z477" s="98" t="str">
        <f t="shared" si="283"/>
        <v>-59.5424499374486-11.3809154355166i</v>
      </c>
      <c r="AA477" s="160">
        <f t="shared" si="294"/>
        <v>60.620364405898719</v>
      </c>
      <c r="AB477" s="160">
        <f t="shared" si="295"/>
        <v>-2.9527311184897642</v>
      </c>
      <c r="AC477" s="171" t="str">
        <f t="shared" si="296"/>
        <v>0.000911298998988287+0.000830594207694535i</v>
      </c>
      <c r="AD477" s="190">
        <f t="shared" si="297"/>
        <v>-58.180556778726327</v>
      </c>
      <c r="AE477" s="169">
        <f t="shared" si="298"/>
        <v>42.347288873212406</v>
      </c>
      <c r="AF477" s="98" t="str">
        <f t="shared" si="284"/>
        <v>-0.0000119284294234592</v>
      </c>
      <c r="AG477" s="98" t="str">
        <f t="shared" si="285"/>
        <v>0.0440806359098195i</v>
      </c>
      <c r="AH477" s="98">
        <f t="shared" si="299"/>
        <v>4.4080635909819497E-2</v>
      </c>
      <c r="AI477" s="98">
        <f t="shared" si="300"/>
        <v>1.5707963267948966</v>
      </c>
      <c r="AJ477" s="98" t="str">
        <f t="shared" si="286"/>
        <v>1+2.41556976689641i</v>
      </c>
      <c r="AK477" s="98">
        <f t="shared" si="301"/>
        <v>2.6143789508684421</v>
      </c>
      <c r="AL477" s="98">
        <f t="shared" si="302"/>
        <v>1.1782957614609129</v>
      </c>
      <c r="AM477" s="98" t="str">
        <f t="shared" si="287"/>
        <v>1+1319.99907898312i</v>
      </c>
      <c r="AN477" s="98">
        <f t="shared" si="303"/>
        <v>1319.9994577712087</v>
      </c>
      <c r="AO477" s="98">
        <f t="shared" si="304"/>
        <v>1.5700387506536593</v>
      </c>
      <c r="AP477" s="168" t="str">
        <f t="shared" si="305"/>
        <v>-0.0521646728925313+0.126278011488405i</v>
      </c>
      <c r="AQ477" s="98">
        <f t="shared" si="306"/>
        <v>-17.289187422925249</v>
      </c>
      <c r="AR477" s="169">
        <f t="shared" si="307"/>
        <v>112.44521993458345</v>
      </c>
      <c r="AS477" s="168" t="str">
        <f t="shared" si="308"/>
        <v>-0.000152423399090968+0.0000717493503127983i</v>
      </c>
      <c r="AT477" s="190">
        <f t="shared" si="309"/>
        <v>-75.469744201651594</v>
      </c>
      <c r="AU477" s="169">
        <f t="shared" si="310"/>
        <v>154.7925088077958</v>
      </c>
      <c r="AV477" s="225"/>
      <c r="AX477">
        <f t="shared" si="311"/>
        <v>0</v>
      </c>
      <c r="AY477">
        <f t="shared" si="312"/>
        <v>0</v>
      </c>
    </row>
    <row r="478" spans="14:51" x14ac:dyDescent="0.2">
      <c r="N478" s="170">
        <v>60</v>
      </c>
      <c r="O478" s="199">
        <f t="shared" si="278"/>
        <v>398107.17055349716</v>
      </c>
      <c r="P478" s="189" t="str">
        <f t="shared" si="279"/>
        <v>771.276595744681</v>
      </c>
      <c r="Q478" s="160" t="str">
        <f t="shared" si="280"/>
        <v>1+22112.2091423885i</v>
      </c>
      <c r="R478" s="160">
        <f t="shared" si="288"/>
        <v>22112.20916500044</v>
      </c>
      <c r="S478" s="160">
        <f t="shared" si="289"/>
        <v>1.5707511029100789</v>
      </c>
      <c r="T478" s="160" t="str">
        <f t="shared" si="281"/>
        <v>1+0.416229819150841i</v>
      </c>
      <c r="U478" s="160">
        <f t="shared" si="290"/>
        <v>1.0831653901183982</v>
      </c>
      <c r="V478" s="160">
        <f t="shared" si="291"/>
        <v>0.39441883687596058</v>
      </c>
      <c r="W478" s="98" t="str">
        <f t="shared" si="282"/>
        <v>1-1.70093916479911i</v>
      </c>
      <c r="X478" s="160">
        <f t="shared" si="292"/>
        <v>1.9731178480636917</v>
      </c>
      <c r="Y478" s="160">
        <f t="shared" si="293"/>
        <v>-1.0393135910208768</v>
      </c>
      <c r="Z478" s="98" t="str">
        <f t="shared" si="283"/>
        <v>-62.3957276984446-11.646011010904i</v>
      </c>
      <c r="AA478" s="160">
        <f t="shared" si="294"/>
        <v>63.473273174498757</v>
      </c>
      <c r="AB478" s="160">
        <f t="shared" si="295"/>
        <v>-2.9570683092297276</v>
      </c>
      <c r="AC478" s="171" t="str">
        <f t="shared" si="296"/>
        <v>0.000866167839371336+0.000793151037383195i</v>
      </c>
      <c r="AD478" s="190">
        <f t="shared" si="297"/>
        <v>-58.603301510383929</v>
      </c>
      <c r="AE478" s="169">
        <f t="shared" si="298"/>
        <v>42.480377345852204</v>
      </c>
      <c r="AF478" s="98" t="str">
        <f t="shared" si="284"/>
        <v>-0.0000119284294234592</v>
      </c>
      <c r="AG478" s="98" t="str">
        <f t="shared" si="285"/>
        <v>0.0451074058217975i</v>
      </c>
      <c r="AH478" s="98">
        <f t="shared" si="299"/>
        <v>4.5107405821797501E-2</v>
      </c>
      <c r="AI478" s="98">
        <f t="shared" si="300"/>
        <v>1.5707963267948966</v>
      </c>
      <c r="AJ478" s="98" t="str">
        <f t="shared" si="286"/>
        <v>1+2.47183561483034i</v>
      </c>
      <c r="AK478" s="98">
        <f t="shared" si="301"/>
        <v>2.6664529447833285</v>
      </c>
      <c r="AL478" s="98">
        <f t="shared" si="302"/>
        <v>1.1863671289535673</v>
      </c>
      <c r="AM478" s="98" t="str">
        <f t="shared" si="287"/>
        <v>1+1350.74580734047i</v>
      </c>
      <c r="AN478" s="98">
        <f t="shared" si="303"/>
        <v>1350.7461775062916</v>
      </c>
      <c r="AO478" s="98">
        <f t="shared" si="304"/>
        <v>1.570055995185597</v>
      </c>
      <c r="AP478" s="168" t="str">
        <f t="shared" si="305"/>
        <v>-0.0501470877496624+0.12421980251269i</v>
      </c>
      <c r="AQ478" s="98">
        <f t="shared" si="306"/>
        <v>-17.460495251211626</v>
      </c>
      <c r="AR478" s="169">
        <f t="shared" si="307"/>
        <v>111.98375268125496</v>
      </c>
      <c r="AS478" s="168" t="str">
        <f t="shared" si="308"/>
        <v>-0.000141960859873366+0.0000678209832791599i</v>
      </c>
      <c r="AT478" s="190">
        <f t="shared" si="309"/>
        <v>-76.063796761595526</v>
      </c>
      <c r="AU478" s="169">
        <f t="shared" si="310"/>
        <v>154.46413002710725</v>
      </c>
      <c r="AV478" s="225"/>
      <c r="AX478">
        <f t="shared" si="311"/>
        <v>0</v>
      </c>
      <c r="AY478">
        <f t="shared" si="312"/>
        <v>0</v>
      </c>
    </row>
    <row r="479" spans="14:51" x14ac:dyDescent="0.2">
      <c r="N479" s="170">
        <v>61</v>
      </c>
      <c r="O479" s="199">
        <f t="shared" si="278"/>
        <v>407380.27780411334</v>
      </c>
      <c r="P479" s="189" t="str">
        <f t="shared" si="279"/>
        <v>771.276595744681</v>
      </c>
      <c r="Q479" s="160" t="str">
        <f t="shared" si="280"/>
        <v>1+22627.2686592526i</v>
      </c>
      <c r="R479" s="160">
        <f t="shared" si="288"/>
        <v>22627.268681349833</v>
      </c>
      <c r="S479" s="160">
        <f t="shared" si="289"/>
        <v>1.5707521323313753</v>
      </c>
      <c r="T479" s="160" t="str">
        <f t="shared" si="281"/>
        <v>1+0.425925057115341i</v>
      </c>
      <c r="U479" s="160">
        <f t="shared" si="290"/>
        <v>1.0869278514596572</v>
      </c>
      <c r="V479" s="160">
        <f t="shared" si="291"/>
        <v>0.40265391815202978</v>
      </c>
      <c r="W479" s="98" t="str">
        <f t="shared" si="282"/>
        <v>1-1.7405591276348i</v>
      </c>
      <c r="X479" s="160">
        <f t="shared" si="292"/>
        <v>2.0073729291770417</v>
      </c>
      <c r="Y479" s="160">
        <f t="shared" si="293"/>
        <v>-1.0493168201951886</v>
      </c>
      <c r="Z479" s="98" t="str">
        <f t="shared" si="283"/>
        <v>-65.3834762975025-11.9172814554825i</v>
      </c>
      <c r="AA479" s="160">
        <f t="shared" si="294"/>
        <v>66.46066934687957</v>
      </c>
      <c r="AB479" s="160">
        <f t="shared" si="295"/>
        <v>-2.9613042676169772</v>
      </c>
      <c r="AC479" s="171" t="str">
        <f t="shared" si="296"/>
        <v>0.000823428294725966+0.000757757253050659i</v>
      </c>
      <c r="AD479" s="190">
        <f t="shared" si="297"/>
        <v>-59.023158227051596</v>
      </c>
      <c r="AE479" s="169">
        <f t="shared" si="298"/>
        <v>42.621713490014876</v>
      </c>
      <c r="AF479" s="98" t="str">
        <f t="shared" si="284"/>
        <v>-0.0000119284294234592</v>
      </c>
      <c r="AG479" s="98" t="str">
        <f t="shared" si="285"/>
        <v>0.0461580922774096i</v>
      </c>
      <c r="AH479" s="98">
        <f t="shared" si="299"/>
        <v>4.61580922774096E-2</v>
      </c>
      <c r="AI479" s="98">
        <f t="shared" si="300"/>
        <v>1.5707963267948966</v>
      </c>
      <c r="AJ479" s="98" t="str">
        <f t="shared" si="286"/>
        <v>1+2.52941206272588i</v>
      </c>
      <c r="AK479" s="98">
        <f t="shared" si="301"/>
        <v>2.7199127528402802</v>
      </c>
      <c r="AL479" s="98">
        <f t="shared" si="302"/>
        <v>1.1943060326326442</v>
      </c>
      <c r="AM479" s="98" t="str">
        <f t="shared" si="287"/>
        <v>1+1382.20871900411i</v>
      </c>
      <c r="AN479" s="98">
        <f t="shared" si="303"/>
        <v>1382.2090807439308</v>
      </c>
      <c r="AO479" s="98">
        <f t="shared" si="304"/>
        <v>1.57007284718449</v>
      </c>
      <c r="AP479" s="168" t="str">
        <f t="shared" si="305"/>
        <v>-0.0481951812913829+0.12216389845288i</v>
      </c>
      <c r="AQ479" s="98">
        <f t="shared" si="306"/>
        <v>-17.632916343770955</v>
      </c>
      <c r="AR479" s="169">
        <f t="shared" si="307"/>
        <v>111.5298525548959</v>
      </c>
      <c r="AS479" s="168" t="str">
        <f t="shared" si="308"/>
        <v>-0.000132255856058386+0.0000640729623944942i</v>
      </c>
      <c r="AT479" s="190">
        <f t="shared" si="309"/>
        <v>-76.656074570822568</v>
      </c>
      <c r="AU479" s="169">
        <f t="shared" si="310"/>
        <v>154.15156604491077</v>
      </c>
      <c r="AV479" s="225"/>
      <c r="AX479">
        <f t="shared" si="311"/>
        <v>0</v>
      </c>
      <c r="AY479">
        <f t="shared" si="312"/>
        <v>0</v>
      </c>
    </row>
    <row r="480" spans="14:51" x14ac:dyDescent="0.2">
      <c r="N480" s="170">
        <v>62</v>
      </c>
      <c r="O480" s="199">
        <f t="shared" si="278"/>
        <v>416869.38347033598</v>
      </c>
      <c r="P480" s="189" t="str">
        <f t="shared" si="279"/>
        <v>771.276595744681</v>
      </c>
      <c r="Q480" s="160" t="str">
        <f t="shared" si="280"/>
        <v>1+23154.3254534671i</v>
      </c>
      <c r="R480" s="160">
        <f t="shared" si="288"/>
        <v>23154.325475061338</v>
      </c>
      <c r="S480" s="160">
        <f t="shared" si="289"/>
        <v>1.570753138320182</v>
      </c>
      <c r="T480" s="160" t="str">
        <f t="shared" si="281"/>
        <v>1+0.43584612618291i</v>
      </c>
      <c r="U480" s="160">
        <f t="shared" si="290"/>
        <v>1.0908537233326241</v>
      </c>
      <c r="V480" s="160">
        <f t="shared" si="291"/>
        <v>0.4110214294105563</v>
      </c>
      <c r="W480" s="98" t="str">
        <f t="shared" si="282"/>
        <v>1-1.781101957959i</v>
      </c>
      <c r="X480" s="160">
        <f t="shared" si="292"/>
        <v>2.0426267854518563</v>
      </c>
      <c r="Y480" s="160">
        <f t="shared" si="293"/>
        <v>-1.059204719954465</v>
      </c>
      <c r="Z480" s="98" t="str">
        <f t="shared" si="283"/>
        <v>-68.5120331499755-12.1948706004327i</v>
      </c>
      <c r="AA480" s="160">
        <f t="shared" si="294"/>
        <v>69.588889596721103</v>
      </c>
      <c r="AB480" s="160">
        <f t="shared" si="295"/>
        <v>-2.9654414605987394</v>
      </c>
      <c r="AC480" s="171" t="str">
        <f t="shared" si="296"/>
        <v>0.000782941254589482+0.000724290707377908i</v>
      </c>
      <c r="AD480" s="190">
        <f t="shared" si="297"/>
        <v>-59.440126931036311</v>
      </c>
      <c r="AE480" s="169">
        <f t="shared" si="298"/>
        <v>42.771587703674975</v>
      </c>
      <c r="AF480" s="98" t="str">
        <f t="shared" si="284"/>
        <v>-0.0000119284294234592</v>
      </c>
      <c r="AG480" s="98" t="str">
        <f t="shared" si="285"/>
        <v>0.0472332523645216i</v>
      </c>
      <c r="AH480" s="98">
        <f t="shared" si="299"/>
        <v>4.7233252364521597E-2</v>
      </c>
      <c r="AI480" s="98">
        <f t="shared" si="300"/>
        <v>1.5707963267948966</v>
      </c>
      <c r="AJ480" s="98" t="str">
        <f t="shared" si="286"/>
        <v>1+2.5883296383778i</v>
      </c>
      <c r="AK480" s="98">
        <f t="shared" si="301"/>
        <v>2.7747883373160107</v>
      </c>
      <c r="AL480" s="98">
        <f t="shared" si="302"/>
        <v>1.2021126779015392</v>
      </c>
      <c r="AM480" s="98" t="str">
        <f t="shared" si="287"/>
        <v>1+1414.40449602627i</v>
      </c>
      <c r="AN480" s="98">
        <f t="shared" si="303"/>
        <v>1414.4048495318893</v>
      </c>
      <c r="AO480" s="98">
        <f t="shared" si="304"/>
        <v>1.5700893155854527</v>
      </c>
      <c r="AP480" s="168" t="str">
        <f t="shared" si="305"/>
        <v>-0.0463077674823126+0.120112310107554i</v>
      </c>
      <c r="AQ480" s="98">
        <f t="shared" si="306"/>
        <v>-17.806414188920495</v>
      </c>
      <c r="AR480" s="169">
        <f t="shared" si="307"/>
        <v>111.08350829870268</v>
      </c>
      <c r="AS480" s="168" t="str">
        <f t="shared" si="308"/>
        <v>-0.000123252491622435+0.0000605005971003934i</v>
      </c>
      <c r="AT480" s="190">
        <f t="shared" si="309"/>
        <v>-77.246541119956788</v>
      </c>
      <c r="AU480" s="169">
        <f t="shared" si="310"/>
        <v>153.85509600237768</v>
      </c>
      <c r="AV480" s="225"/>
      <c r="AX480">
        <f t="shared" si="311"/>
        <v>0</v>
      </c>
      <c r="AY480">
        <f t="shared" si="312"/>
        <v>0</v>
      </c>
    </row>
    <row r="481" spans="14:51" x14ac:dyDescent="0.2">
      <c r="N481" s="170">
        <v>63</v>
      </c>
      <c r="O481" s="199">
        <f t="shared" si="278"/>
        <v>426579.51880159322</v>
      </c>
      <c r="P481" s="189" t="str">
        <f t="shared" si="279"/>
        <v>771.276595744681</v>
      </c>
      <c r="Q481" s="160" t="str">
        <f t="shared" si="280"/>
        <v>1+23693.6589775208i</v>
      </c>
      <c r="R481" s="160">
        <f t="shared" si="288"/>
        <v>23693.65899862349</v>
      </c>
      <c r="S481" s="160">
        <f t="shared" si="289"/>
        <v>1.5707541214098881</v>
      </c>
      <c r="T481" s="160" t="str">
        <f t="shared" si="281"/>
        <v>1+0.445998286635685i</v>
      </c>
      <c r="U481" s="160">
        <f t="shared" si="290"/>
        <v>1.0949495292852391</v>
      </c>
      <c r="V481" s="160">
        <f t="shared" si="291"/>
        <v>0.41952111933901559</v>
      </c>
      <c r="W481" s="98" t="str">
        <f t="shared" si="282"/>
        <v>1-1.82258915211698i</v>
      </c>
      <c r="X481" s="160">
        <f t="shared" si="292"/>
        <v>2.0789014448536256</v>
      </c>
      <c r="Y481" s="160">
        <f t="shared" si="293"/>
        <v>-1.0689747983689328</v>
      </c>
      <c r="Z481" s="98" t="str">
        <f t="shared" si="283"/>
        <v>-71.7880343443998-12.4789256271934i</v>
      </c>
      <c r="AA481" s="160">
        <f t="shared" si="294"/>
        <v>72.86456930389248</v>
      </c>
      <c r="AB481" s="160">
        <f t="shared" si="295"/>
        <v>-2.9694822886225611</v>
      </c>
      <c r="AC481" s="171" t="str">
        <f t="shared" si="296"/>
        <v>0.00074457660604975+0.000692636588894776i</v>
      </c>
      <c r="AD481" s="190">
        <f t="shared" si="297"/>
        <v>-59.85420761299725</v>
      </c>
      <c r="AE481" s="169">
        <f t="shared" si="298"/>
        <v>42.930265869696797</v>
      </c>
      <c r="AF481" s="98" t="str">
        <f t="shared" si="284"/>
        <v>-0.0000119284294234592</v>
      </c>
      <c r="AG481" s="98" t="str">
        <f t="shared" si="285"/>
        <v>0.0483334561472433i</v>
      </c>
      <c r="AH481" s="98">
        <f t="shared" si="299"/>
        <v>4.8333456147243298E-2</v>
      </c>
      <c r="AI481" s="98">
        <f t="shared" si="300"/>
        <v>1.5707963267948966</v>
      </c>
      <c r="AJ481" s="98" t="str">
        <f t="shared" si="286"/>
        <v>1+2.64861958066458i</v>
      </c>
      <c r="AK481" s="98">
        <f t="shared" si="301"/>
        <v>2.8311103268999984</v>
      </c>
      <c r="AL481" s="98">
        <f t="shared" si="302"/>
        <v>1.2097873967933368</v>
      </c>
      <c r="AM481" s="98" t="str">
        <f t="shared" si="287"/>
        <v>1+1447.35020903407i</v>
      </c>
      <c r="AN481" s="98">
        <f t="shared" si="303"/>
        <v>1447.3505544929212</v>
      </c>
      <c r="AO481" s="98">
        <f t="shared" si="304"/>
        <v>1.5701054091202138</v>
      </c>
      <c r="AP481" s="168" t="str">
        <f t="shared" si="305"/>
        <v>-0.0444836051358769+0.118066942045855i</v>
      </c>
      <c r="AQ481" s="98">
        <f t="shared" si="306"/>
        <v>-17.980952956080646</v>
      </c>
      <c r="AR481" s="169">
        <f t="shared" si="307"/>
        <v>110.64470138887293</v>
      </c>
      <c r="AS481" s="168" t="str">
        <f t="shared" si="308"/>
        <v>-0.000114898935736807+0.0000570989104721193i</v>
      </c>
      <c r="AT481" s="190">
        <f t="shared" si="309"/>
        <v>-77.835160569077885</v>
      </c>
      <c r="AU481" s="169">
        <f t="shared" si="310"/>
        <v>153.57496725856979</v>
      </c>
      <c r="AV481" s="225"/>
      <c r="AX481">
        <f t="shared" si="311"/>
        <v>0</v>
      </c>
      <c r="AY481">
        <f t="shared" si="312"/>
        <v>0</v>
      </c>
    </row>
    <row r="482" spans="14:51" x14ac:dyDescent="0.2">
      <c r="N482" s="170">
        <v>64</v>
      </c>
      <c r="O482" s="199">
        <f t="shared" si="278"/>
        <v>436515.83224016649</v>
      </c>
      <c r="P482" s="189" t="str">
        <f t="shared" si="279"/>
        <v>771.276595744681</v>
      </c>
      <c r="Q482" s="160" t="str">
        <f t="shared" si="280"/>
        <v>1+24245.555193187i</v>
      </c>
      <c r="R482" s="160">
        <f t="shared" si="288"/>
        <v>24245.555213809334</v>
      </c>
      <c r="S482" s="160">
        <f t="shared" si="289"/>
        <v>1.5707550821217404</v>
      </c>
      <c r="T482" s="160" t="str">
        <f t="shared" si="281"/>
        <v>1+0.456386921283518i</v>
      </c>
      <c r="U482" s="160">
        <f t="shared" si="290"/>
        <v>1.0992220075665553</v>
      </c>
      <c r="V482" s="160">
        <f t="shared" si="291"/>
        <v>0.428152581076366</v>
      </c>
      <c r="W482" s="98" t="str">
        <f t="shared" si="282"/>
        <v>1-1.86504270716822i</v>
      </c>
      <c r="X482" s="160">
        <f t="shared" si="292"/>
        <v>2.1162193410800691</v>
      </c>
      <c r="Y482" s="160">
        <f t="shared" si="293"/>
        <v>-1.0786247741611492</v>
      </c>
      <c r="Z482" s="98" t="str">
        <f t="shared" si="283"/>
        <v>-75.21842871853-12.7695971454997i</v>
      </c>
      <c r="AA482" s="160">
        <f t="shared" si="294"/>
        <v>76.294656629038798</v>
      </c>
      <c r="AB482" s="160">
        <f t="shared" si="295"/>
        <v>-2.9734290877844911</v>
      </c>
      <c r="AC482" s="171" t="str">
        <f t="shared" si="296"/>
        <v>0.000708212592458618+0.000662687004248065i</v>
      </c>
      <c r="AD482" s="190">
        <f t="shared" si="297"/>
        <v>-60.265400188780582</v>
      </c>
      <c r="AE482" s="169">
        <f t="shared" si="298"/>
        <v>43.097989202808193</v>
      </c>
      <c r="AF482" s="98" t="str">
        <f t="shared" si="284"/>
        <v>-0.0000119284294234592</v>
      </c>
      <c r="AG482" s="98" t="str">
        <f t="shared" si="285"/>
        <v>0.0494592869681832i</v>
      </c>
      <c r="AH482" s="98">
        <f t="shared" si="299"/>
        <v>4.9459286968183198E-2</v>
      </c>
      <c r="AI482" s="98">
        <f t="shared" si="300"/>
        <v>1.5707963267948966</v>
      </c>
      <c r="AJ482" s="98" t="str">
        <f t="shared" si="286"/>
        <v>1+2.71031385611165i</v>
      </c>
      <c r="AK482" s="98">
        <f t="shared" si="301"/>
        <v>2.8889100364377569</v>
      </c>
      <c r="AL482" s="98">
        <f t="shared" si="302"/>
        <v>1.2173306411256664</v>
      </c>
      <c r="AM482" s="98" t="str">
        <f t="shared" si="287"/>
        <v>1+1481.06332628065i</v>
      </c>
      <c r="AN482" s="98">
        <f t="shared" si="303"/>
        <v>1481.0636638758995</v>
      </c>
      <c r="AO482" s="98">
        <f t="shared" si="304"/>
        <v>1.5701211363217449</v>
      </c>
      <c r="AP482" s="168" t="str">
        <f t="shared" si="305"/>
        <v>-0.0427214052349282+0.116029593297344i</v>
      </c>
      <c r="AQ482" s="98">
        <f t="shared" si="306"/>
        <v>-18.15649752464239</v>
      </c>
      <c r="AR482" s="169">
        <f t="shared" si="307"/>
        <v>110.21340642706571</v>
      </c>
      <c r="AS482" s="168" t="str">
        <f t="shared" si="308"/>
        <v>-0.000107147140741242+0.0000538626990186289i</v>
      </c>
      <c r="AT482" s="190">
        <f t="shared" si="309"/>
        <v>-78.421897713422965</v>
      </c>
      <c r="AU482" s="169">
        <f t="shared" si="310"/>
        <v>153.31139562987391</v>
      </c>
      <c r="AV482" s="225"/>
      <c r="AX482">
        <f t="shared" si="311"/>
        <v>0</v>
      </c>
      <c r="AY482">
        <f t="shared" si="312"/>
        <v>0</v>
      </c>
    </row>
    <row r="483" spans="14:51" x14ac:dyDescent="0.2">
      <c r="N483" s="170">
        <v>65</v>
      </c>
      <c r="O483" s="199">
        <f t="shared" si="278"/>
        <v>446683.59215096442</v>
      </c>
      <c r="P483" s="189" t="str">
        <f t="shared" si="279"/>
        <v>771.276595744681</v>
      </c>
      <c r="Q483" s="160" t="str">
        <f t="shared" si="280"/>
        <v>1+24810.3067231446i</v>
      </c>
      <c r="R483" s="160">
        <f t="shared" si="288"/>
        <v>24810.306743297511</v>
      </c>
      <c r="S483" s="160">
        <f t="shared" si="289"/>
        <v>1.5707560209651212</v>
      </c>
      <c r="T483" s="160" t="str">
        <f t="shared" si="281"/>
        <v>1+0.467017538318014i</v>
      </c>
      <c r="U483" s="160">
        <f t="shared" si="290"/>
        <v>1.1036781148036858</v>
      </c>
      <c r="V483" s="160">
        <f t="shared" si="291"/>
        <v>0.43691524560131456</v>
      </c>
      <c r="W483" s="98" t="str">
        <f t="shared" si="282"/>
        <v>1-1.90848513254957i</v>
      </c>
      <c r="X483" s="160">
        <f t="shared" si="292"/>
        <v>2.1546033280311132</v>
      </c>
      <c r="Y483" s="160">
        <f t="shared" si="293"/>
        <v>-1.0881525740916351</v>
      </c>
      <c r="Z483" s="98" t="str">
        <f t="shared" si="283"/>
        <v>-78.8104925987559-13.0670392732382i</v>
      </c>
      <c r="AA483" s="160">
        <f t="shared" si="294"/>
        <v>79.886427251610826</v>
      </c>
      <c r="AB483" s="160">
        <f t="shared" si="295"/>
        <v>-2.9772841318922092</v>
      </c>
      <c r="AC483" s="171" t="str">
        <f t="shared" si="296"/>
        <v>0.000673735221183185+0.000634340580819265i</v>
      </c>
      <c r="AD483" s="190">
        <f t="shared" si="297"/>
        <v>-60.673704445291051</v>
      </c>
      <c r="AE483" s="169">
        <f t="shared" si="298"/>
        <v>43.274974138760463</v>
      </c>
      <c r="AF483" s="98" t="str">
        <f t="shared" si="284"/>
        <v>-0.0000119284294234592</v>
      </c>
      <c r="AG483" s="98" t="str">
        <f t="shared" si="285"/>
        <v>0.0506113417577448i</v>
      </c>
      <c r="AH483" s="98">
        <f t="shared" si="299"/>
        <v>5.0611341757744802E-2</v>
      </c>
      <c r="AI483" s="98">
        <f t="shared" si="300"/>
        <v>1.5707963267948966</v>
      </c>
      <c r="AJ483" s="98" t="str">
        <f t="shared" si="286"/>
        <v>1+2.77344517584049i</v>
      </c>
      <c r="AK483" s="98">
        <f t="shared" si="301"/>
        <v>2.9482194869773326</v>
      </c>
      <c r="AL483" s="98">
        <f t="shared" si="302"/>
        <v>1.2247429757142372</v>
      </c>
      <c r="AM483" s="98" t="str">
        <f t="shared" si="287"/>
        <v>1+1515.56172290702i</v>
      </c>
      <c r="AN483" s="98">
        <f t="shared" si="303"/>
        <v>1515.5620528176651</v>
      </c>
      <c r="AO483" s="98">
        <f t="shared" si="304"/>
        <v>1.570136505528785</v>
      </c>
      <c r="AP483" s="168" t="str">
        <f t="shared" si="305"/>
        <v>-0.0410198379170016+0.11400195846846i</v>
      </c>
      <c r="AQ483" s="98">
        <f t="shared" si="306"/>
        <v>-18.333013508823274</v>
      </c>
      <c r="AR483" s="169">
        <f t="shared" si="307"/>
        <v>109.78959152949953</v>
      </c>
      <c r="AS483" s="168" t="str">
        <f t="shared" si="308"/>
        <v>-0.0000999525781213261+0.0000507865868946812i</v>
      </c>
      <c r="AT483" s="190">
        <f t="shared" si="309"/>
        <v>-79.006717954114322</v>
      </c>
      <c r="AU483" s="169">
        <f t="shared" si="310"/>
        <v>153.06456566826</v>
      </c>
      <c r="AV483" s="225"/>
      <c r="AX483">
        <f t="shared" si="311"/>
        <v>0</v>
      </c>
      <c r="AY483">
        <f t="shared" si="312"/>
        <v>0</v>
      </c>
    </row>
    <row r="484" spans="14:51" x14ac:dyDescent="0.2">
      <c r="N484" s="170">
        <v>66</v>
      </c>
      <c r="O484" s="199">
        <f t="shared" ref="O484:O518" si="313">10^(5+(N484/100))</f>
        <v>457088.18961487547</v>
      </c>
      <c r="P484" s="189" t="str">
        <f t="shared" si="279"/>
        <v>771.276595744681</v>
      </c>
      <c r="Q484" s="160" t="str">
        <f t="shared" si="280"/>
        <v>1+25388.2130061298i</v>
      </c>
      <c r="R484" s="160">
        <f t="shared" si="288"/>
        <v>25388.213025823978</v>
      </c>
      <c r="S484" s="160">
        <f t="shared" si="289"/>
        <v>1.5707569384378177</v>
      </c>
      <c r="T484" s="160" t="str">
        <f t="shared" si="281"/>
        <v>1+0.477895774233031i</v>
      </c>
      <c r="U484" s="160">
        <f t="shared" si="290"/>
        <v>1.1083250295061409</v>
      </c>
      <c r="V484" s="160">
        <f t="shared" si="291"/>
        <v>0.445808375290004</v>
      </c>
      <c r="W484" s="98" t="str">
        <f t="shared" si="282"/>
        <v>1-1.95293946200998i</v>
      </c>
      <c r="X484" s="160">
        <f t="shared" si="292"/>
        <v>2.1940766947114292</v>
      </c>
      <c r="Y484" s="160">
        <f t="shared" si="293"/>
        <v>-1.0975563297017688</v>
      </c>
      <c r="Z484" s="98" t="str">
        <f t="shared" si="283"/>
        <v>-82.5718452341618-13.371409718162i</v>
      </c>
      <c r="AA484" s="160">
        <f t="shared" si="294"/>
        <v>83.647499802596172</v>
      </c>
      <c r="AB484" s="160">
        <f t="shared" si="295"/>
        <v>-2.9810496344467552</v>
      </c>
      <c r="AC484" s="171" t="str">
        <f t="shared" si="296"/>
        <v>0.000641037716499892+0.000607502089159576i</v>
      </c>
      <c r="AD484" s="190">
        <f t="shared" si="297"/>
        <v>-61.079119995775542</v>
      </c>
      <c r="AE484" s="169">
        <f t="shared" si="298"/>
        <v>43.461412265359598</v>
      </c>
      <c r="AF484" s="98" t="str">
        <f t="shared" si="284"/>
        <v>-0.0000119284294234592</v>
      </c>
      <c r="AG484" s="98" t="str">
        <f t="shared" si="285"/>
        <v>0.0517902313506265i</v>
      </c>
      <c r="AH484" s="98">
        <f t="shared" si="299"/>
        <v>5.1790231350626499E-2</v>
      </c>
      <c r="AI484" s="98">
        <f t="shared" si="300"/>
        <v>1.5707963267948966</v>
      </c>
      <c r="AJ484" s="98" t="str">
        <f t="shared" si="286"/>
        <v>1+2.83804701291243i</v>
      </c>
      <c r="AK484" s="98">
        <f t="shared" si="301"/>
        <v>3.0090714261215479</v>
      </c>
      <c r="AL484" s="98">
        <f t="shared" si="302"/>
        <v>1.2320250716711534</v>
      </c>
      <c r="AM484" s="98" t="str">
        <f t="shared" si="287"/>
        <v>1+1550.86369041969i</v>
      </c>
      <c r="AN484" s="98">
        <f t="shared" si="303"/>
        <v>1550.8640128206534</v>
      </c>
      <c r="AO484" s="98">
        <f t="shared" si="304"/>
        <v>1.5701515248902627</v>
      </c>
      <c r="AP484" s="168" t="str">
        <f t="shared" si="305"/>
        <v>-0.0393775391097193+0.111985629241515i</v>
      </c>
      <c r="AQ484" s="98">
        <f t="shared" si="306"/>
        <v>-18.510467278701558</v>
      </c>
      <c r="AR484" s="169">
        <f t="shared" si="307"/>
        <v>109.37321871118259</v>
      </c>
      <c r="AS484" s="168" t="str">
        <f t="shared" si="308"/>
        <v>-0.0000932739914723497+0.0000478650747746669i</v>
      </c>
      <c r="AT484" s="190">
        <f t="shared" si="309"/>
        <v>-79.589587274477111</v>
      </c>
      <c r="AU484" s="169">
        <f t="shared" si="310"/>
        <v>152.8346309765422</v>
      </c>
      <c r="AV484" s="225"/>
      <c r="AX484">
        <f t="shared" si="311"/>
        <v>0</v>
      </c>
      <c r="AY484">
        <f t="shared" si="312"/>
        <v>0</v>
      </c>
    </row>
    <row r="485" spans="14:51" x14ac:dyDescent="0.2">
      <c r="N485" s="170">
        <v>67</v>
      </c>
      <c r="O485" s="199">
        <f t="shared" si="313"/>
        <v>467735.14128719864</v>
      </c>
      <c r="P485" s="189" t="str">
        <f t="shared" si="279"/>
        <v>771.276595744681</v>
      </c>
      <c r="Q485" s="160" t="str">
        <f t="shared" si="280"/>
        <v>1+25979.5804557037i</v>
      </c>
      <c r="R485" s="160">
        <f t="shared" si="288"/>
        <v>25979.580474949584</v>
      </c>
      <c r="S485" s="160">
        <f t="shared" si="289"/>
        <v>1.5707578350262859</v>
      </c>
      <c r="T485" s="160" t="str">
        <f t="shared" si="281"/>
        <v>1+0.489027396813245i</v>
      </c>
      <c r="U485" s="160">
        <f t="shared" si="290"/>
        <v>1.1131701553823381</v>
      </c>
      <c r="V485" s="160">
        <f t="shared" si="291"/>
        <v>0.45483105768970905</v>
      </c>
      <c r="W485" s="98" t="str">
        <f t="shared" si="282"/>
        <v>1-1.99842926582335i</v>
      </c>
      <c r="X485" s="160">
        <f t="shared" si="292"/>
        <v>2.2346631805485258</v>
      </c>
      <c r="Y485" s="160">
        <f t="shared" si="293"/>
        <v>-1.1068343734685575</v>
      </c>
      <c r="Z485" s="98" t="str">
        <f t="shared" si="283"/>
        <v>-86.5104649579821-13.6828698615099i</v>
      </c>
      <c r="AA485" s="160">
        <f t="shared" si="294"/>
        <v>87.585852024703527</v>
      </c>
      <c r="AB485" s="160">
        <f t="shared" si="295"/>
        <v>-2.9847277505464191</v>
      </c>
      <c r="AC485" s="171" t="str">
        <f t="shared" si="296"/>
        <v>0.000610020014047721+0.000582082084653606i</v>
      </c>
      <c r="AD485" s="190">
        <f t="shared" si="297"/>
        <v>-61.481646244817014</v>
      </c>
      <c r="AE485" s="169">
        <f t="shared" si="298"/>
        <v>43.657470295109832</v>
      </c>
      <c r="AF485" s="98" t="str">
        <f t="shared" si="284"/>
        <v>-0.0000119284294234592</v>
      </c>
      <c r="AG485" s="98" t="str">
        <f t="shared" si="285"/>
        <v>0.0529965808096951i</v>
      </c>
      <c r="AH485" s="98">
        <f t="shared" si="299"/>
        <v>5.2996580809695097E-2</v>
      </c>
      <c r="AI485" s="98">
        <f t="shared" si="300"/>
        <v>1.5707963267948966</v>
      </c>
      <c r="AJ485" s="98" t="str">
        <f t="shared" si="286"/>
        <v>1+2.90415362007662i</v>
      </c>
      <c r="AK485" s="98">
        <f t="shared" si="301"/>
        <v>3.0714993486901698</v>
      </c>
      <c r="AL485" s="98">
        <f t="shared" si="302"/>
        <v>1.2391776998113495</v>
      </c>
      <c r="AM485" s="98" t="str">
        <f t="shared" si="287"/>
        <v>1+1586.98794638914i</v>
      </c>
      <c r="AN485" s="98">
        <f t="shared" si="303"/>
        <v>1586.9882614513631</v>
      </c>
      <c r="AO485" s="98">
        <f t="shared" si="304"/>
        <v>1.5701662023696148</v>
      </c>
      <c r="AP485" s="168" t="str">
        <f t="shared" si="305"/>
        <v>-0.0377931168061901+0.10998209621332i</v>
      </c>
      <c r="AQ485" s="98">
        <f t="shared" si="306"/>
        <v>-18.688825977629556</v>
      </c>
      <c r="AR485" s="169">
        <f t="shared" si="307"/>
        <v>108.96424426394368</v>
      </c>
      <c r="AS485" s="168" t="str">
        <f t="shared" si="308"/>
        <v>-0.000087073165483442+0.0000450925836609429i</v>
      </c>
      <c r="AT485" s="190">
        <f t="shared" si="309"/>
        <v>-80.170472222446577</v>
      </c>
      <c r="AU485" s="169">
        <f t="shared" si="310"/>
        <v>152.62171455905352</v>
      </c>
      <c r="AV485" s="225"/>
      <c r="AX485">
        <f t="shared" si="311"/>
        <v>0</v>
      </c>
      <c r="AY485">
        <f t="shared" si="312"/>
        <v>0</v>
      </c>
    </row>
    <row r="486" spans="14:51" x14ac:dyDescent="0.2">
      <c r="N486" s="170">
        <v>68</v>
      </c>
      <c r="O486" s="199">
        <f t="shared" si="313"/>
        <v>478630.09232263872</v>
      </c>
      <c r="P486" s="189" t="str">
        <f t="shared" si="279"/>
        <v>771.276595744681</v>
      </c>
      <c r="Q486" s="160" t="str">
        <f t="shared" si="280"/>
        <v>1+26584.7226227157i</v>
      </c>
      <c r="R486" s="160">
        <f t="shared" si="288"/>
        <v>26584.722641523495</v>
      </c>
      <c r="S486" s="160">
        <f t="shared" si="289"/>
        <v>1.5707587112059089</v>
      </c>
      <c r="T486" s="160" t="str">
        <f t="shared" si="281"/>
        <v>1+0.500418308192294i</v>
      </c>
      <c r="U486" s="160">
        <f t="shared" si="290"/>
        <v>1.1182211244534945</v>
      </c>
      <c r="V486" s="160">
        <f t="shared" si="291"/>
        <v>0.46398219955736503</v>
      </c>
      <c r="W486" s="98" t="str">
        <f t="shared" si="282"/>
        <v>1-2.04497866328581i</v>
      </c>
      <c r="X486" s="160">
        <f t="shared" si="292"/>
        <v>2.2763869911098635</v>
      </c>
      <c r="Y486" s="160">
        <f t="shared" si="293"/>
        <v>-1.1159852344265335</v>
      </c>
      <c r="Z486" s="98" t="str">
        <f t="shared" si="283"/>
        <v>-90.634706110711-14.0015848435726i</v>
      </c>
      <c r="AA486" s="160">
        <f t="shared" si="294"/>
        <v>91.709837694255654</v>
      </c>
      <c r="AB486" s="160">
        <f t="shared" si="295"/>
        <v>-2.9883205787161766</v>
      </c>
      <c r="AC486" s="171" t="str">
        <f t="shared" si="296"/>
        <v>0.000580588293544222+0.000557996567781211i</v>
      </c>
      <c r="AD486" s="190">
        <f t="shared" si="297"/>
        <v>-61.881282363254044</v>
      </c>
      <c r="AE486" s="169">
        <f t="shared" si="298"/>
        <v>43.863290079297229</v>
      </c>
      <c r="AF486" s="98" t="str">
        <f t="shared" si="284"/>
        <v>-0.0000119284294234592</v>
      </c>
      <c r="AG486" s="98" t="str">
        <f t="shared" si="285"/>
        <v>0.0542310297574017i</v>
      </c>
      <c r="AH486" s="98">
        <f t="shared" si="299"/>
        <v>5.4231029757401697E-2</v>
      </c>
      <c r="AI486" s="98">
        <f t="shared" si="300"/>
        <v>1.5707963267948966</v>
      </c>
      <c r="AJ486" s="98" t="str">
        <f t="shared" si="286"/>
        <v>1+2.97180004793119i</v>
      </c>
      <c r="AK486" s="98">
        <f t="shared" si="301"/>
        <v>3.1355375176967382</v>
      </c>
      <c r="AL486" s="98">
        <f t="shared" si="302"/>
        <v>1.2462017241876926</v>
      </c>
      <c r="AM486" s="98" t="str">
        <f t="shared" si="287"/>
        <v>1+1623.95364437403i</v>
      </c>
      <c r="AN486" s="98">
        <f t="shared" si="303"/>
        <v>1623.953952264563</v>
      </c>
      <c r="AO486" s="98">
        <f t="shared" si="304"/>
        <v>1.5701805457490097</v>
      </c>
      <c r="AP486" s="168" t="str">
        <f t="shared" si="305"/>
        <v>-0.0362651569742102+0.107992751032131i</v>
      </c>
      <c r="AQ486" s="98">
        <f t="shared" si="306"/>
        <v>-18.868057536228715</v>
      </c>
      <c r="AR486" s="169">
        <f t="shared" si="307"/>
        <v>108.56261912708548</v>
      </c>
      <c r="AS486" s="168" t="str">
        <f t="shared" si="308"/>
        <v>-0.00008131471002395+0.0000424634939152348i</v>
      </c>
      <c r="AT486" s="190">
        <f t="shared" si="309"/>
        <v>-80.749339899482763</v>
      </c>
      <c r="AU486" s="169">
        <f t="shared" si="310"/>
        <v>152.42590920638276</v>
      </c>
      <c r="AV486" s="225"/>
      <c r="AX486">
        <f t="shared" si="311"/>
        <v>0</v>
      </c>
      <c r="AY486">
        <f t="shared" si="312"/>
        <v>0</v>
      </c>
    </row>
    <row r="487" spans="14:51" x14ac:dyDescent="0.2">
      <c r="N487" s="170">
        <v>69</v>
      </c>
      <c r="O487" s="199">
        <f t="shared" si="313"/>
        <v>489778.81936844654</v>
      </c>
      <c r="P487" s="189" t="str">
        <f t="shared" si="279"/>
        <v>771.276595744681</v>
      </c>
      <c r="Q487" s="160" t="str">
        <f t="shared" si="280"/>
        <v>1+27203.9603615526i</v>
      </c>
      <c r="R487" s="160">
        <f t="shared" si="288"/>
        <v>27203.960379932272</v>
      </c>
      <c r="S487" s="160">
        <f t="shared" si="289"/>
        <v>1.5707595674412489</v>
      </c>
      <c r="T487" s="160" t="str">
        <f t="shared" si="281"/>
        <v>1+0.512074547982166i</v>
      </c>
      <c r="U487" s="160">
        <f t="shared" si="290"/>
        <v>1.1234857999508225</v>
      </c>
      <c r="V487" s="160">
        <f t="shared" si="291"/>
        <v>0.47326052121391682</v>
      </c>
      <c r="W487" s="98" t="str">
        <f t="shared" si="282"/>
        <v>1-2.09261233550404i</v>
      </c>
      <c r="X487" s="160">
        <f t="shared" si="292"/>
        <v>2.3192728142035541</v>
      </c>
      <c r="Y487" s="160">
        <f t="shared" si="293"/>
        <v>-1.1250076333121961</v>
      </c>
      <c r="Z487" s="98" t="str">
        <f t="shared" si="283"/>
        <v>-94.95331676078-14.3277236512523i</v>
      </c>
      <c r="AA487" s="160">
        <f t="shared" si="294"/>
        <v>96.028204340702317</v>
      </c>
      <c r="AB487" s="160">
        <f t="shared" si="295"/>
        <v>-2.9918301626659818</v>
      </c>
      <c r="AC487" s="171" t="str">
        <f t="shared" si="296"/>
        <v>0.000552654546732324+0.000535166662316268i</v>
      </c>
      <c r="AD487" s="190">
        <f t="shared" si="297"/>
        <v>-62.278027273164582</v>
      </c>
      <c r="AE487" s="169">
        <f t="shared" si="298"/>
        <v>44.078988663449906</v>
      </c>
      <c r="AF487" s="98" t="str">
        <f t="shared" si="284"/>
        <v>-0.0000119284294234592</v>
      </c>
      <c r="AG487" s="98" t="str">
        <f t="shared" si="285"/>
        <v>0.0554942327149182i</v>
      </c>
      <c r="AH487" s="98">
        <f t="shared" si="299"/>
        <v>5.5494232714918199E-2</v>
      </c>
      <c r="AI487" s="98">
        <f t="shared" si="300"/>
        <v>1.5707963267948966</v>
      </c>
      <c r="AJ487" s="98" t="str">
        <f t="shared" si="286"/>
        <v>1+3.0410221635076i</v>
      </c>
      <c r="AK487" s="98">
        <f t="shared" si="301"/>
        <v>3.2012209856466396</v>
      </c>
      <c r="AL487" s="98">
        <f t="shared" si="302"/>
        <v>1.2530980957727644</v>
      </c>
      <c r="AM487" s="98" t="str">
        <f t="shared" si="287"/>
        <v>1+1661.78038407674i</v>
      </c>
      <c r="AN487" s="98">
        <f t="shared" si="303"/>
        <v>1661.7806849588296</v>
      </c>
      <c r="AO487" s="98">
        <f t="shared" si="304"/>
        <v>1.5701945626334735</v>
      </c>
      <c r="AP487" s="168" t="str">
        <f t="shared" si="305"/>
        <v>-0.0347922290966216+0.106018888793374i</v>
      </c>
      <c r="AQ487" s="98">
        <f t="shared" si="306"/>
        <v>-19.048130683173973</v>
      </c>
      <c r="AR487" s="169">
        <f t="shared" si="307"/>
        <v>108.1682892496285</v>
      </c>
      <c r="AS487" s="168" t="str">
        <f t="shared" si="308"/>
        <v>-0.0000759658584592301+0.0000399721798109848i</v>
      </c>
      <c r="AT487" s="190">
        <f t="shared" si="309"/>
        <v>-81.326157956338548</v>
      </c>
      <c r="AU487" s="169">
        <f t="shared" si="310"/>
        <v>152.24727791307842</v>
      </c>
      <c r="AV487" s="225"/>
      <c r="AX487">
        <f t="shared" si="311"/>
        <v>0</v>
      </c>
      <c r="AY487">
        <f t="shared" si="312"/>
        <v>0</v>
      </c>
    </row>
    <row r="488" spans="14:51" x14ac:dyDescent="0.2">
      <c r="N488" s="170">
        <v>70</v>
      </c>
      <c r="O488" s="199">
        <f t="shared" si="313"/>
        <v>501187.23362727347</v>
      </c>
      <c r="P488" s="189" t="str">
        <f t="shared" si="279"/>
        <v>771.276595744681</v>
      </c>
      <c r="Q488" s="160" t="str">
        <f t="shared" si="280"/>
        <v>1+27837.6220002603i</v>
      </c>
      <c r="R488" s="160">
        <f t="shared" si="288"/>
        <v>27837.622018221602</v>
      </c>
      <c r="S488" s="160">
        <f t="shared" si="289"/>
        <v>1.570760404186293</v>
      </c>
      <c r="T488" s="160" t="str">
        <f t="shared" si="281"/>
        <v>1+0.524002296475486i</v>
      </c>
      <c r="U488" s="160">
        <f t="shared" si="290"/>
        <v>1.128972278982785</v>
      </c>
      <c r="V488" s="160">
        <f t="shared" si="291"/>
        <v>0.48266455126718677</v>
      </c>
      <c r="W488" s="98" t="str">
        <f t="shared" si="282"/>
        <v>1-2.14135553848155i</v>
      </c>
      <c r="X488" s="160">
        <f t="shared" si="292"/>
        <v>2.3633458363484614</v>
      </c>
      <c r="Y488" s="160">
        <f t="shared" si="293"/>
        <v>-1.1339004772860131</v>
      </c>
      <c r="Z488" s="98" t="str">
        <f t="shared" si="283"/>
        <v>-99.475457260384-14.6614592076617i</v>
      </c>
      <c r="AA488" s="160">
        <f t="shared" si="294"/>
        <v>100.55011180133225</v>
      </c>
      <c r="AB488" s="160">
        <f t="shared" si="295"/>
        <v>-2.9952584929810762</v>
      </c>
      <c r="AC488" s="171" t="str">
        <f t="shared" si="296"/>
        <v>0.000526136177770268+0.000513518310781277i</v>
      </c>
      <c r="AD488" s="190">
        <f t="shared" si="297"/>
        <v>-62.671879642963731</v>
      </c>
      <c r="AE488" s="169">
        <f t="shared" si="298"/>
        <v>44.304658384220453</v>
      </c>
      <c r="AF488" s="98" t="str">
        <f t="shared" si="284"/>
        <v>-0.0000119284294234592</v>
      </c>
      <c r="AG488" s="98" t="str">
        <f t="shared" si="285"/>
        <v>0.0567868594491732i</v>
      </c>
      <c r="AH488" s="98">
        <f t="shared" si="299"/>
        <v>5.6786859449173201E-2</v>
      </c>
      <c r="AI488" s="98">
        <f t="shared" si="300"/>
        <v>1.5707963267948966</v>
      </c>
      <c r="AJ488" s="98" t="str">
        <f t="shared" si="286"/>
        <v>1+3.11185666928779i</v>
      </c>
      <c r="AK488" s="98">
        <f t="shared" si="301"/>
        <v>3.2685856161634961</v>
      </c>
      <c r="AL488" s="98">
        <f t="shared" si="302"/>
        <v>1.2598678463027908</v>
      </c>
      <c r="AM488" s="98" t="str">
        <f t="shared" si="287"/>
        <v>1+1700.48822173535i</v>
      </c>
      <c r="AN488" s="98">
        <f t="shared" si="303"/>
        <v>1700.4885157685285</v>
      </c>
      <c r="AO488" s="98">
        <f t="shared" si="304"/>
        <v>1.5702082604549219</v>
      </c>
      <c r="AP488" s="168" t="str">
        <f t="shared" si="305"/>
        <v>-0.0333728913433895+0.10406171065663i</v>
      </c>
      <c r="AQ488" s="98">
        <f t="shared" si="306"/>
        <v>-19.229014952973362</v>
      </c>
      <c r="AR488" s="169">
        <f t="shared" si="307"/>
        <v>107.78119594325908</v>
      </c>
      <c r="AS488" s="168" t="str">
        <f t="shared" si="308"/>
        <v>-0.0000709962793659561+0.0000376130399085704i</v>
      </c>
      <c r="AT488" s="190">
        <f t="shared" si="309"/>
        <v>-81.900894595937089</v>
      </c>
      <c r="AU488" s="169">
        <f t="shared" si="310"/>
        <v>152.08585432747955</v>
      </c>
      <c r="AV488" s="225"/>
      <c r="AX488">
        <f t="shared" si="311"/>
        <v>0</v>
      </c>
      <c r="AY488">
        <f t="shared" si="312"/>
        <v>0</v>
      </c>
    </row>
    <row r="489" spans="14:51" x14ac:dyDescent="0.2">
      <c r="N489" s="170">
        <v>71</v>
      </c>
      <c r="O489" s="199">
        <f t="shared" si="313"/>
        <v>512861.38399136515</v>
      </c>
      <c r="P489" s="189" t="str">
        <f t="shared" si="279"/>
        <v>771.276595744681</v>
      </c>
      <c r="Q489" s="160" t="str">
        <f t="shared" si="280"/>
        <v>1+28486.0435146268i</v>
      </c>
      <c r="R489" s="160">
        <f t="shared" si="288"/>
        <v>28486.043532179254</v>
      </c>
      <c r="S489" s="160">
        <f t="shared" si="289"/>
        <v>1.5707612218846947</v>
      </c>
      <c r="T489" s="160" t="str">
        <f t="shared" si="281"/>
        <v>1+0.536207877922385i</v>
      </c>
      <c r="U489" s="160">
        <f t="shared" si="290"/>
        <v>1.1346888949602121</v>
      </c>
      <c r="V489" s="160">
        <f t="shared" si="291"/>
        <v>0.49219262175731077</v>
      </c>
      <c r="W489" s="98" t="str">
        <f t="shared" si="282"/>
        <v>1-2.19123411650974i</v>
      </c>
      <c r="X489" s="160">
        <f t="shared" si="292"/>
        <v>2.4086317596005045</v>
      </c>
      <c r="Y489" s="160">
        <f t="shared" si="293"/>
        <v>-1.1426628542860189</v>
      </c>
      <c r="Z489" s="98" t="str">
        <f t="shared" si="283"/>
        <v>-104.210719675815-15.0029684638103i</v>
      </c>
      <c r="AA489" s="160">
        <f t="shared" si="294"/>
        <v>105.28515165054083</v>
      </c>
      <c r="AB489" s="160">
        <f t="shared" si="295"/>
        <v>-2.9986075087473285</v>
      </c>
      <c r="AC489" s="171" t="str">
        <f t="shared" si="296"/>
        <v>0.000500955633501303+0.000492981986464882i</v>
      </c>
      <c r="AD489" s="190">
        <f t="shared" si="297"/>
        <v>-63.062837892583687</v>
      </c>
      <c r="AE489" s="169">
        <f t="shared" si="298"/>
        <v>44.5403670078666</v>
      </c>
      <c r="AF489" s="98" t="str">
        <f t="shared" si="284"/>
        <v>-0.0000119284294234592</v>
      </c>
      <c r="AG489" s="98" t="str">
        <f t="shared" si="285"/>
        <v>0.058109595327971i</v>
      </c>
      <c r="AH489" s="98">
        <f t="shared" si="299"/>
        <v>5.8109595327970998E-2</v>
      </c>
      <c r="AI489" s="98">
        <f t="shared" si="300"/>
        <v>1.5707963267948966</v>
      </c>
      <c r="AJ489" s="98" t="str">
        <f t="shared" si="286"/>
        <v>1+3.18434112266431i</v>
      </c>
      <c r="AK489" s="98">
        <f t="shared" si="301"/>
        <v>3.3376681059522677</v>
      </c>
      <c r="AL489" s="98">
        <f t="shared" si="302"/>
        <v>1.2665120822968539</v>
      </c>
      <c r="AM489" s="98" t="str">
        <f t="shared" si="287"/>
        <v>1+1740.09768075774i</v>
      </c>
      <c r="AN489" s="98">
        <f t="shared" si="303"/>
        <v>1740.0979680979071</v>
      </c>
      <c r="AO489" s="98">
        <f t="shared" si="304"/>
        <v>1.5702216464761005</v>
      </c>
      <c r="AP489" s="168" t="str">
        <f t="shared" si="305"/>
        <v>-0.0320056953787681+0.102122326648492i</v>
      </c>
      <c r="AQ489" s="98">
        <f t="shared" si="306"/>
        <v>-19.410680690948855</v>
      </c>
      <c r="AR489" s="169">
        <f t="shared" si="307"/>
        <v>107.40127622522847</v>
      </c>
      <c r="AS489" s="168" t="str">
        <f t="shared" si="308"/>
        <v>-0.0000663779008577096+0.0000353805235548073i</v>
      </c>
      <c r="AT489" s="190">
        <f t="shared" si="309"/>
        <v>-82.473518583532552</v>
      </c>
      <c r="AU489" s="169">
        <f t="shared" si="310"/>
        <v>151.94164323309505</v>
      </c>
      <c r="AV489" s="225"/>
      <c r="AX489">
        <f t="shared" si="311"/>
        <v>0</v>
      </c>
      <c r="AY489">
        <f t="shared" si="312"/>
        <v>0</v>
      </c>
    </row>
    <row r="490" spans="14:51" x14ac:dyDescent="0.2">
      <c r="N490" s="170">
        <v>72</v>
      </c>
      <c r="O490" s="199">
        <f t="shared" si="313"/>
        <v>524807.46024977288</v>
      </c>
      <c r="P490" s="189" t="str">
        <f t="shared" si="279"/>
        <v>771.276595744681</v>
      </c>
      <c r="Q490" s="160" t="str">
        <f t="shared" si="280"/>
        <v>1+29149.5687063222i</v>
      </c>
      <c r="R490" s="160">
        <f t="shared" si="288"/>
        <v>29149.568723475113</v>
      </c>
      <c r="S490" s="160">
        <f t="shared" si="289"/>
        <v>1.5707620209700084</v>
      </c>
      <c r="T490" s="160" t="str">
        <f t="shared" si="281"/>
        <v>1+0.548697763883711i</v>
      </c>
      <c r="U490" s="160">
        <f t="shared" si="290"/>
        <v>1.1406442197683662</v>
      </c>
      <c r="V490" s="160">
        <f t="shared" si="291"/>
        <v>0.50184286377975285</v>
      </c>
      <c r="W490" s="98" t="str">
        <f t="shared" si="282"/>
        <v>1-2.24227451587093i</v>
      </c>
      <c r="X490" s="160">
        <f t="shared" si="292"/>
        <v>2.4551568187234425</v>
      </c>
      <c r="Y490" s="160">
        <f t="shared" si="293"/>
        <v>-1.1512940270657219</v>
      </c>
      <c r="Z490" s="98" t="str">
        <f t="shared" si="283"/>
        <v>-109.169148133527-15.3524324924263i</v>
      </c>
      <c r="AA490" s="160">
        <f t="shared" si="294"/>
        <v>110.24336754487533</v>
      </c>
      <c r="AB490" s="160">
        <f t="shared" si="295"/>
        <v>-3.0018790991145474</v>
      </c>
      <c r="AC490" s="171" t="str">
        <f t="shared" si="296"/>
        <v>0.000477040061246454+0.000473492421304785i</v>
      </c>
      <c r="AD490" s="190">
        <f t="shared" si="297"/>
        <v>-63.450900208620752</v>
      </c>
      <c r="AE490" s="169">
        <f t="shared" si="298"/>
        <v>44.786157910628397</v>
      </c>
      <c r="AF490" s="98" t="str">
        <f t="shared" si="284"/>
        <v>-0.0000119284294234592</v>
      </c>
      <c r="AG490" s="98" t="str">
        <f t="shared" si="285"/>
        <v>0.0594631416833832i</v>
      </c>
      <c r="AH490" s="98">
        <f t="shared" si="299"/>
        <v>5.9463141683383201E-2</v>
      </c>
      <c r="AI490" s="98">
        <f t="shared" si="300"/>
        <v>1.5707963267948966</v>
      </c>
      <c r="AJ490" s="98" t="str">
        <f t="shared" si="286"/>
        <v>1+3.25851395585382i</v>
      </c>
      <c r="AK490" s="98">
        <f t="shared" si="301"/>
        <v>3.4085060071084095</v>
      </c>
      <c r="AL490" s="98">
        <f t="shared" si="302"/>
        <v>1.2730319792623166</v>
      </c>
      <c r="AM490" s="98" t="str">
        <f t="shared" si="287"/>
        <v>1+1780.62976260339i</v>
      </c>
      <c r="AN490" s="98">
        <f t="shared" si="303"/>
        <v>1780.6300434028976</v>
      </c>
      <c r="AO490" s="98">
        <f t="shared" si="304"/>
        <v>1.5702347277944357</v>
      </c>
      <c r="AP490" s="168" t="str">
        <f t="shared" si="305"/>
        <v>-0.0306891908093865+0.100201758618148i</v>
      </c>
      <c r="AQ490" s="98">
        <f t="shared" si="306"/>
        <v>-19.593099055621966</v>
      </c>
      <c r="AR490" s="169">
        <f t="shared" si="307"/>
        <v>107.02846315057838</v>
      </c>
      <c r="AS490" s="168" t="str">
        <f t="shared" si="308"/>
        <v>-0.0000620847467704184+0.0000332691538039828i</v>
      </c>
      <c r="AT490" s="190">
        <f t="shared" si="309"/>
        <v>-83.0439992642427</v>
      </c>
      <c r="AU490" s="169">
        <f t="shared" si="310"/>
        <v>151.81462106120674</v>
      </c>
      <c r="AV490" s="225"/>
      <c r="AX490">
        <f t="shared" si="311"/>
        <v>0</v>
      </c>
      <c r="AY490">
        <f t="shared" si="312"/>
        <v>0</v>
      </c>
    </row>
    <row r="491" spans="14:51" x14ac:dyDescent="0.2">
      <c r="N491" s="170">
        <v>73</v>
      </c>
      <c r="O491" s="199">
        <f t="shared" si="313"/>
        <v>537031.7963702539</v>
      </c>
      <c r="P491" s="189" t="str">
        <f t="shared" si="279"/>
        <v>771.276595744681</v>
      </c>
      <c r="Q491" s="160" t="str">
        <f t="shared" si="280"/>
        <v>1+29828.549385186i</v>
      </c>
      <c r="R491" s="160">
        <f t="shared" si="288"/>
        <v>29828.549401948469</v>
      </c>
      <c r="S491" s="160">
        <f t="shared" si="289"/>
        <v>1.5707628018659197</v>
      </c>
      <c r="T491" s="160" t="str">
        <f t="shared" si="281"/>
        <v>1+0.561478576662323i</v>
      </c>
      <c r="U491" s="160">
        <f t="shared" si="290"/>
        <v>1.1468470656764782</v>
      </c>
      <c r="V491" s="160">
        <f t="shared" si="291"/>
        <v>0.5116132036412846</v>
      </c>
      <c r="W491" s="98" t="str">
        <f t="shared" si="282"/>
        <v>1-2.29450379886045i</v>
      </c>
      <c r="X491" s="160">
        <f t="shared" si="292"/>
        <v>2.50294779869358</v>
      </c>
      <c r="Y491" s="160">
        <f t="shared" si="293"/>
        <v>-1.1597934269672441</v>
      </c>
      <c r="Z491" s="98" t="str">
        <f t="shared" si="283"/>
        <v>-114.361260125065-15.7100365839632i</v>
      </c>
      <c r="AA491" s="160">
        <f t="shared" si="294"/>
        <v>115.43527652698826</v>
      </c>
      <c r="AB491" s="160">
        <f t="shared" si="295"/>
        <v>-3.0050751048005058</v>
      </c>
      <c r="AC491" s="171" t="str">
        <f t="shared" si="296"/>
        <v>0.000454320991954175+0.000454988348940254i</v>
      </c>
      <c r="AD491" s="190">
        <f t="shared" si="297"/>
        <v>-63.836064569245011</v>
      </c>
      <c r="AE491" s="169">
        <f t="shared" si="298"/>
        <v>45.042050301416786</v>
      </c>
      <c r="AF491" s="98" t="str">
        <f t="shared" si="284"/>
        <v>-0.0000119284294234592</v>
      </c>
      <c r="AG491" s="98" t="str">
        <f t="shared" si="285"/>
        <v>0.0608482161836037i</v>
      </c>
      <c r="AH491" s="98">
        <f t="shared" si="299"/>
        <v>6.0848216183603698E-2</v>
      </c>
      <c r="AI491" s="98">
        <f t="shared" si="300"/>
        <v>1.5707963267948966</v>
      </c>
      <c r="AJ491" s="98" t="str">
        <f t="shared" si="286"/>
        <v>1+3.33441449627426i</v>
      </c>
      <c r="AK491" s="98">
        <f t="shared" si="301"/>
        <v>3.4811377497829543</v>
      </c>
      <c r="AL491" s="98">
        <f t="shared" si="302"/>
        <v>1.2794287760952914</v>
      </c>
      <c r="AM491" s="98" t="str">
        <f t="shared" si="287"/>
        <v>1+1822.1059579186i</v>
      </c>
      <c r="AN491" s="98">
        <f t="shared" si="303"/>
        <v>1822.1062323263316</v>
      </c>
      <c r="AO491" s="98">
        <f t="shared" si="304"/>
        <v>1.5702475113457979</v>
      </c>
      <c r="AP491" s="168" t="str">
        <f t="shared" si="305"/>
        <v>-0.0294219292812035+0.0983009433148639i</v>
      </c>
      <c r="AQ491" s="98">
        <f t="shared" si="306"/>
        <v>-19.776242018702785</v>
      </c>
      <c r="AR491" s="169">
        <f t="shared" si="307"/>
        <v>106.66268613318651</v>
      </c>
      <c r="AS491" s="168" t="str">
        <f t="shared" si="308"/>
        <v>-0.0000580927839943414+0.0000312735470505484i</v>
      </c>
      <c r="AT491" s="190">
        <f t="shared" si="309"/>
        <v>-83.612306587947799</v>
      </c>
      <c r="AU491" s="169">
        <f t="shared" si="310"/>
        <v>151.70473643460332</v>
      </c>
      <c r="AV491" s="225"/>
      <c r="AX491">
        <f t="shared" si="311"/>
        <v>0</v>
      </c>
      <c r="AY491">
        <f t="shared" si="312"/>
        <v>0</v>
      </c>
    </row>
    <row r="492" spans="14:51" x14ac:dyDescent="0.2">
      <c r="N492" s="170">
        <v>74</v>
      </c>
      <c r="O492" s="199">
        <f t="shared" si="313"/>
        <v>549540.87385762564</v>
      </c>
      <c r="P492" s="189" t="str">
        <f t="shared" si="279"/>
        <v>771.276595744681</v>
      </c>
      <c r="Q492" s="160" t="str">
        <f t="shared" si="280"/>
        <v>1+30523.3455557611i</v>
      </c>
      <c r="R492" s="160">
        <f t="shared" si="288"/>
        <v>30523.345572142007</v>
      </c>
      <c r="S492" s="160">
        <f t="shared" si="289"/>
        <v>1.5707635649864697</v>
      </c>
      <c r="T492" s="160" t="str">
        <f t="shared" si="281"/>
        <v>1+0.574557092814326i</v>
      </c>
      <c r="U492" s="160">
        <f t="shared" si="290"/>
        <v>1.1533064869770091</v>
      </c>
      <c r="V492" s="160">
        <f t="shared" si="291"/>
        <v>0.52150135960425059</v>
      </c>
      <c r="W492" s="98" t="str">
        <f t="shared" si="282"/>
        <v>1-2.34794965813546i</v>
      </c>
      <c r="X492" s="160">
        <f t="shared" si="292"/>
        <v>2.5520320525295963</v>
      </c>
      <c r="Y492" s="160">
        <f t="shared" si="293"/>
        <v>-1.1681606474786035</v>
      </c>
      <c r="Z492" s="98" t="str">
        <f t="shared" si="283"/>
        <v>-119.798068816081-16.0759703448438i</v>
      </c>
      <c r="AA492" s="160">
        <f t="shared" si="294"/>
        <v>120.87189133372065</v>
      </c>
      <c r="AB492" s="160">
        <f t="shared" si="295"/>
        <v>-3.0081973195383815</v>
      </c>
      <c r="AC492" s="171" t="str">
        <f t="shared" si="296"/>
        <v>0.000432734046715204+0.000437412262244367i</v>
      </c>
      <c r="AD492" s="190">
        <f t="shared" si="297"/>
        <v>-64.218328778591896</v>
      </c>
      <c r="AE492" s="169">
        <f t="shared" si="298"/>
        <v>45.308039487332685</v>
      </c>
      <c r="AF492" s="98" t="str">
        <f t="shared" si="284"/>
        <v>-0.0000119284294234592</v>
      </c>
      <c r="AG492" s="98" t="str">
        <f t="shared" si="285"/>
        <v>0.062265553213466i</v>
      </c>
      <c r="AH492" s="98">
        <f t="shared" si="299"/>
        <v>6.2265553213466003E-2</v>
      </c>
      <c r="AI492" s="98">
        <f t="shared" si="300"/>
        <v>1.5707963267948966</v>
      </c>
      <c r="AJ492" s="98" t="str">
        <f t="shared" si="286"/>
        <v>1+3.4120829873968i</v>
      </c>
      <c r="AK492" s="98">
        <f t="shared" si="301"/>
        <v>3.5556026652148116</v>
      </c>
      <c r="AL492" s="98">
        <f t="shared" si="302"/>
        <v>1.2857037696831097</v>
      </c>
      <c r="AM492" s="98" t="str">
        <f t="shared" si="287"/>
        <v>1+1864.54825793111i</v>
      </c>
      <c r="AN492" s="98">
        <f t="shared" si="303"/>
        <v>1864.5485260925595</v>
      </c>
      <c r="AO492" s="98">
        <f t="shared" si="304"/>
        <v>1.5702600039081782</v>
      </c>
      <c r="AP492" s="168" t="str">
        <f t="shared" si="305"/>
        <v>-0.0282024682350606+0.0964207355588559i</v>
      </c>
      <c r="AQ492" s="98">
        <f t="shared" si="306"/>
        <v>-19.960082362877664</v>
      </c>
      <c r="AR492" s="169">
        <f t="shared" si="307"/>
        <v>106.30387125523245</v>
      </c>
      <c r="AS492" s="168" t="str">
        <f t="shared" si="308"/>
        <v>-0.0000543797802747798+0.0000293884296540675i</v>
      </c>
      <c r="AT492" s="190">
        <f t="shared" si="309"/>
        <v>-84.178411141469553</v>
      </c>
      <c r="AU492" s="169">
        <f t="shared" si="310"/>
        <v>151.61191074256516</v>
      </c>
      <c r="AV492" s="225"/>
      <c r="AX492">
        <f t="shared" si="311"/>
        <v>0</v>
      </c>
      <c r="AY492">
        <f t="shared" si="312"/>
        <v>0</v>
      </c>
    </row>
    <row r="493" spans="14:51" x14ac:dyDescent="0.2">
      <c r="N493" s="170">
        <v>75</v>
      </c>
      <c r="O493" s="199">
        <f t="shared" si="313"/>
        <v>562341.32519035018</v>
      </c>
      <c r="P493" s="189" t="str">
        <f t="shared" si="279"/>
        <v>771.276595744681</v>
      </c>
      <c r="Q493" s="160" t="str">
        <f t="shared" si="280"/>
        <v>1+31234.3256081743i</v>
      </c>
      <c r="R493" s="160">
        <f t="shared" si="288"/>
        <v>31234.325624182329</v>
      </c>
      <c r="S493" s="160">
        <f t="shared" si="289"/>
        <v>1.5707643107362756</v>
      </c>
      <c r="T493" s="160" t="str">
        <f t="shared" si="281"/>
        <v>1+0.587940246742104i</v>
      </c>
      <c r="U493" s="160">
        <f t="shared" si="290"/>
        <v>1.1600317813487551</v>
      </c>
      <c r="V493" s="160">
        <f t="shared" si="291"/>
        <v>0.53150483927367709</v>
      </c>
      <c r="W493" s="98" t="str">
        <f t="shared" si="282"/>
        <v>1-2.40264043139801i</v>
      </c>
      <c r="X493" s="160">
        <f t="shared" si="292"/>
        <v>2.6024375194398841</v>
      </c>
      <c r="Y493" s="160">
        <f t="shared" si="293"/>
        <v>-1.1763954376216645</v>
      </c>
      <c r="Z493" s="98" t="str">
        <f t="shared" si="283"/>
        <v>-125.491106406736-16.4504277979919i</v>
      </c>
      <c r="AA493" s="160">
        <f t="shared" si="294"/>
        <v>126.5647437556118</v>
      </c>
      <c r="AB493" s="160">
        <f t="shared" si="295"/>
        <v>-3.0112474914701362</v>
      </c>
      <c r="AC493" s="171" t="str">
        <f t="shared" si="296"/>
        <v>0.000412218664812058+0.000420710184656865i</v>
      </c>
      <c r="AD493" s="190">
        <f t="shared" si="297"/>
        <v>-64.597690510268293</v>
      </c>
      <c r="AE493" s="169">
        <f t="shared" si="298"/>
        <v>45.584097182624795</v>
      </c>
      <c r="AF493" s="98" t="str">
        <f t="shared" si="284"/>
        <v>-0.0000119284294234592</v>
      </c>
      <c r="AG493" s="98" t="str">
        <f t="shared" si="285"/>
        <v>0.0637159042638242i</v>
      </c>
      <c r="AH493" s="98">
        <f t="shared" si="299"/>
        <v>6.3715904263824202E-2</v>
      </c>
      <c r="AI493" s="98">
        <f t="shared" si="300"/>
        <v>1.5707963267948966</v>
      </c>
      <c r="AJ493" s="98" t="str">
        <f t="shared" si="286"/>
        <v>1+3.49156061008354i</v>
      </c>
      <c r="AK493" s="98">
        <f t="shared" si="301"/>
        <v>3.6319410091419355</v>
      </c>
      <c r="AL493" s="98">
        <f t="shared" si="302"/>
        <v>1.2918583097139675</v>
      </c>
      <c r="AM493" s="98" t="str">
        <f t="shared" si="287"/>
        <v>1+1907.97916611019i</v>
      </c>
      <c r="AN493" s="98">
        <f t="shared" si="303"/>
        <v>1907.9794281675408</v>
      </c>
      <c r="AO493" s="98">
        <f t="shared" si="304"/>
        <v>1.5702722121052832</v>
      </c>
      <c r="AP493" s="168" t="str">
        <f t="shared" si="305"/>
        <v>-0.0270293743320652+0.0945619114793926i</v>
      </c>
      <c r="AQ493" s="98">
        <f t="shared" si="306"/>
        <v>-20.144593677582655</v>
      </c>
      <c r="AR493" s="169">
        <f t="shared" si="307"/>
        <v>105.95194156478969</v>
      </c>
      <c r="AS493" s="168" t="str">
        <f t="shared" si="308"/>
        <v>-0.0000509251718378706+0.0000276086518257086i</v>
      </c>
      <c r="AT493" s="190">
        <f t="shared" si="309"/>
        <v>-84.742284187850956</v>
      </c>
      <c r="AU493" s="169">
        <f t="shared" si="310"/>
        <v>151.53603874741441</v>
      </c>
      <c r="AV493" s="225"/>
      <c r="AX493">
        <f t="shared" si="311"/>
        <v>0</v>
      </c>
      <c r="AY493">
        <f t="shared" si="312"/>
        <v>0</v>
      </c>
    </row>
    <row r="494" spans="14:51" x14ac:dyDescent="0.2">
      <c r="N494" s="170">
        <v>76</v>
      </c>
      <c r="O494" s="199">
        <f t="shared" si="313"/>
        <v>575439.93733715697</v>
      </c>
      <c r="P494" s="189" t="str">
        <f t="shared" si="279"/>
        <v>771.276595744681</v>
      </c>
      <c r="Q494" s="160" t="str">
        <f t="shared" si="280"/>
        <v>1+31961.86651346i</v>
      </c>
      <c r="R494" s="160">
        <f t="shared" si="288"/>
        <v>31961.866529103638</v>
      </c>
      <c r="S494" s="160">
        <f t="shared" si="289"/>
        <v>1.5707650395107433</v>
      </c>
      <c r="T494" s="160" t="str">
        <f t="shared" si="281"/>
        <v>1+0.601635134371011i</v>
      </c>
      <c r="U494" s="160">
        <f t="shared" si="290"/>
        <v>1.1670324909400014</v>
      </c>
      <c r="V494" s="160">
        <f t="shared" si="291"/>
        <v>0.54162093768036579</v>
      </c>
      <c r="W494" s="98" t="str">
        <f t="shared" si="282"/>
        <v>1-2.45860511641999i</v>
      </c>
      <c r="X494" s="160">
        <f t="shared" si="292"/>
        <v>2.6541927432811945</v>
      </c>
      <c r="Y494" s="160">
        <f t="shared" si="293"/>
        <v>-1.1844976952147146</v>
      </c>
      <c r="Z494" s="98" t="str">
        <f t="shared" si="283"/>
        <v>-131.452448593037-16.8336074857056i</v>
      </c>
      <c r="AA494" s="160">
        <f t="shared" si="294"/>
        <v>132.52590909738305</v>
      </c>
      <c r="AB494" s="160">
        <f t="shared" si="295"/>
        <v>-3.0142273244882545</v>
      </c>
      <c r="AC494" s="171" t="str">
        <f t="shared" si="296"/>
        <v>0.000392717851620481+0.000404831454652085i</v>
      </c>
      <c r="AD494" s="190">
        <f t="shared" si="297"/>
        <v>-64.974147359526228</v>
      </c>
      <c r="AE494" s="169">
        <f t="shared" si="298"/>
        <v>45.870171861748105</v>
      </c>
      <c r="AF494" s="98" t="str">
        <f t="shared" si="284"/>
        <v>-0.0000119284294234592</v>
      </c>
      <c r="AG494" s="98" t="str">
        <f t="shared" si="285"/>
        <v>0.0652000383300026i</v>
      </c>
      <c r="AH494" s="98">
        <f t="shared" si="299"/>
        <v>6.5200038330002597E-2</v>
      </c>
      <c r="AI494" s="98">
        <f t="shared" si="300"/>
        <v>1.5707963267948966</v>
      </c>
      <c r="AJ494" s="98" t="str">
        <f t="shared" si="286"/>
        <v>1+3.57288950442199i</v>
      </c>
      <c r="AK494" s="98">
        <f t="shared" si="301"/>
        <v>3.7101939856035577</v>
      </c>
      <c r="AL494" s="98">
        <f t="shared" si="302"/>
        <v>1.2978937936972685</v>
      </c>
      <c r="AM494" s="98" t="str">
        <f t="shared" si="287"/>
        <v>1+1952.42171009823i</v>
      </c>
      <c r="AN494" s="98">
        <f t="shared" si="303"/>
        <v>1952.4219661904281</v>
      </c>
      <c r="AO494" s="98">
        <f t="shared" si="304"/>
        <v>1.570284142410046</v>
      </c>
      <c r="AP494" s="168" t="str">
        <f t="shared" si="305"/>
        <v>-0.0259012265612267+0.0927251717962343i</v>
      </c>
      <c r="AQ494" s="98">
        <f t="shared" si="306"/>
        <v>-20.329750352945773</v>
      </c>
      <c r="AR494" s="169">
        <f t="shared" si="307"/>
        <v>105.60681736133891</v>
      </c>
      <c r="AS494" s="168" t="str">
        <f t="shared" si="308"/>
        <v>-0.0000477099402305943+0.0000259291990329025i</v>
      </c>
      <c r="AT494" s="190">
        <f t="shared" si="309"/>
        <v>-85.303897712471993</v>
      </c>
      <c r="AU494" s="169">
        <f t="shared" si="310"/>
        <v>151.47698922308706</v>
      </c>
      <c r="AV494" s="225"/>
      <c r="AX494">
        <f t="shared" si="311"/>
        <v>0</v>
      </c>
      <c r="AY494">
        <f t="shared" si="312"/>
        <v>0</v>
      </c>
    </row>
    <row r="495" spans="14:51" x14ac:dyDescent="0.2">
      <c r="N495" s="170">
        <v>77</v>
      </c>
      <c r="O495" s="199">
        <f t="shared" si="313"/>
        <v>588843.65535558888</v>
      </c>
      <c r="P495" s="189" t="str">
        <f t="shared" si="279"/>
        <v>771.276595744681</v>
      </c>
      <c r="Q495" s="160" t="str">
        <f t="shared" si="280"/>
        <v>1+32706.3540234366i</v>
      </c>
      <c r="R495" s="160">
        <f t="shared" si="288"/>
        <v>32706.354038724152</v>
      </c>
      <c r="S495" s="160">
        <f t="shared" si="289"/>
        <v>1.570765751696279</v>
      </c>
      <c r="T495" s="160" t="str">
        <f t="shared" si="281"/>
        <v>1+0.615649016911745i</v>
      </c>
      <c r="U495" s="160">
        <f t="shared" si="290"/>
        <v>1.1743184031702809</v>
      </c>
      <c r="V495" s="160">
        <f t="shared" si="291"/>
        <v>0.55184673611113688</v>
      </c>
      <c r="W495" s="98" t="str">
        <f t="shared" si="282"/>
        <v>1-2.51587338641819i</v>
      </c>
      <c r="X495" s="160">
        <f t="shared" si="292"/>
        <v>2.7073268913242319</v>
      </c>
      <c r="Y495" s="160">
        <f t="shared" si="293"/>
        <v>-1.1924674600509804</v>
      </c>
      <c r="Z495" s="98" t="str">
        <f t="shared" si="283"/>
        <v>-137.694740181013-17.2257125749274i</v>
      </c>
      <c r="AA495" s="160">
        <f t="shared" si="294"/>
        <v>138.76803179129797</v>
      </c>
      <c r="AB495" s="160">
        <f t="shared" si="295"/>
        <v>-3.0171384795281835</v>
      </c>
      <c r="AC495" s="171" t="str">
        <f t="shared" si="296"/>
        <v>0.000374177944815751+0.000389728522692563i</v>
      </c>
      <c r="AD495" s="190">
        <f t="shared" si="297"/>
        <v>-65.347696903584293</v>
      </c>
      <c r="AE495" s="169">
        <f t="shared" si="298"/>
        <v>46.166189157223847</v>
      </c>
      <c r="AF495" s="98" t="str">
        <f t="shared" si="284"/>
        <v>-0.0000119284294234592</v>
      </c>
      <c r="AG495" s="98" t="str">
        <f t="shared" si="285"/>
        <v>0.0667187423195282i</v>
      </c>
      <c r="AH495" s="98">
        <f t="shared" si="299"/>
        <v>6.6718742319528193E-2</v>
      </c>
      <c r="AI495" s="98">
        <f t="shared" si="300"/>
        <v>1.5707963267948966</v>
      </c>
      <c r="AJ495" s="98" t="str">
        <f t="shared" si="286"/>
        <v>1+3.65611279206848i</v>
      </c>
      <c r="AK495" s="98">
        <f t="shared" si="301"/>
        <v>3.7904037711471816</v>
      </c>
      <c r="AL495" s="98">
        <f t="shared" si="302"/>
        <v>1.3038116621968059</v>
      </c>
      <c r="AM495" s="98" t="str">
        <f t="shared" si="287"/>
        <v>1+1997.89945392033i</v>
      </c>
      <c r="AN495" s="98">
        <f t="shared" si="303"/>
        <v>1997.8997041831585</v>
      </c>
      <c r="AO495" s="98">
        <f t="shared" si="304"/>
        <v>1.5702958011480583</v>
      </c>
      <c r="AP495" s="168" t="str">
        <f t="shared" si="305"/>
        <v>-0.0248166190427275+0.0909111451227804i</v>
      </c>
      <c r="AQ495" s="98">
        <f t="shared" si="306"/>
        <v>-20.515527572071957</v>
      </c>
      <c r="AR495" s="169">
        <f t="shared" si="307"/>
        <v>105.26841646908449</v>
      </c>
      <c r="AS495" s="168" t="str">
        <f t="shared" si="308"/>
        <v>-0.0000447164977956736+0.0000243452011651421i</v>
      </c>
      <c r="AT495" s="190">
        <f t="shared" si="309"/>
        <v>-85.863224475656239</v>
      </c>
      <c r="AU495" s="169">
        <f t="shared" si="310"/>
        <v>151.43460562630838</v>
      </c>
      <c r="AV495" s="225"/>
      <c r="AX495">
        <f t="shared" si="311"/>
        <v>0</v>
      </c>
      <c r="AY495">
        <f t="shared" si="312"/>
        <v>0</v>
      </c>
    </row>
    <row r="496" spans="14:51" x14ac:dyDescent="0.2">
      <c r="N496" s="170">
        <v>78</v>
      </c>
      <c r="O496" s="199">
        <f t="shared" si="313"/>
        <v>602559.58607435878</v>
      </c>
      <c r="P496" s="189" t="str">
        <f t="shared" si="279"/>
        <v>771.276595744681</v>
      </c>
      <c r="Q496" s="160" t="str">
        <f t="shared" si="280"/>
        <v>1+33468.1828752361i</v>
      </c>
      <c r="R496" s="160">
        <f t="shared" si="288"/>
        <v>33468.18289017566</v>
      </c>
      <c r="S496" s="160">
        <f t="shared" si="289"/>
        <v>1.5707664476704928</v>
      </c>
      <c r="T496" s="160" t="str">
        <f t="shared" si="281"/>
        <v>1+0.629989324710324i</v>
      </c>
      <c r="U496" s="160">
        <f t="shared" si="290"/>
        <v>1.1818995512517001</v>
      </c>
      <c r="V496" s="160">
        <f t="shared" si="291"/>
        <v>0.56217910173446783</v>
      </c>
      <c r="W496" s="98" t="str">
        <f t="shared" si="282"/>
        <v>1-2.57447560578738i</v>
      </c>
      <c r="X496" s="160">
        <f t="shared" si="292"/>
        <v>2.7618697733228292</v>
      </c>
      <c r="Y496" s="160">
        <f t="shared" si="293"/>
        <v>-1.2003049070314773</v>
      </c>
      <c r="Z496" s="98" t="str">
        <f t="shared" si="283"/>
        <v>-144.231221908041-17.6269509649657i</v>
      </c>
      <c r="AA496" s="160">
        <f t="shared" si="294"/>
        <v>145.30435221770844</v>
      </c>
      <c r="AB496" s="160">
        <f t="shared" si="295"/>
        <v>-3.0199825758136565</v>
      </c>
      <c r="AC496" s="171" t="str">
        <f t="shared" si="296"/>
        <v>0.000356548397461944+0.000375356760037438i</v>
      </c>
      <c r="AD496" s="190">
        <f t="shared" si="297"/>
        <v>-65.718336769498663</v>
      </c>
      <c r="AE496" s="169">
        <f t="shared" si="298"/>
        <v>46.472052302987848</v>
      </c>
      <c r="AF496" s="98" t="str">
        <f t="shared" si="284"/>
        <v>-0.0000119284294234592</v>
      </c>
      <c r="AG496" s="98" t="str">
        <f t="shared" si="285"/>
        <v>0.0682728214693587i</v>
      </c>
      <c r="AH496" s="98">
        <f t="shared" si="299"/>
        <v>6.8272821469358702E-2</v>
      </c>
      <c r="AI496" s="98">
        <f t="shared" si="300"/>
        <v>1.5707963267948966</v>
      </c>
      <c r="AJ496" s="98" t="str">
        <f t="shared" si="286"/>
        <v>1+3.7412745991117i</v>
      </c>
      <c r="AK496" s="98">
        <f t="shared" si="301"/>
        <v>3.8726135394534804</v>
      </c>
      <c r="AL496" s="98">
        <f t="shared" si="302"/>
        <v>1.3096133942774888</v>
      </c>
      <c r="AM496" s="98" t="str">
        <f t="shared" si="287"/>
        <v>1+2044.43651047822i</v>
      </c>
      <c r="AN496" s="98">
        <f t="shared" si="303"/>
        <v>2044.4367550443719</v>
      </c>
      <c r="AO496" s="98">
        <f t="shared" si="304"/>
        <v>1.5703071945009248</v>
      </c>
      <c r="AP496" s="168" t="str">
        <f t="shared" si="305"/>
        <v>-0.0237741635409174+0.0891203912714578i</v>
      </c>
      <c r="AQ496" s="98">
        <f t="shared" si="306"/>
        <v>-20.701901301837538</v>
      </c>
      <c r="AR496" s="169">
        <f t="shared" si="307"/>
        <v>104.93665449802951</v>
      </c>
      <c r="AS496" s="168" t="str">
        <f t="shared" si="308"/>
        <v>-0.0000419285812324354+0.0000228519396897008i</v>
      </c>
      <c r="AT496" s="190">
        <f t="shared" si="309"/>
        <v>-86.4202380713362</v>
      </c>
      <c r="AU496" s="169">
        <f t="shared" si="310"/>
        <v>151.40870680101727</v>
      </c>
      <c r="AV496" s="225"/>
      <c r="AX496">
        <f t="shared" si="311"/>
        <v>0</v>
      </c>
      <c r="AY496">
        <f t="shared" si="312"/>
        <v>0</v>
      </c>
    </row>
    <row r="497" spans="14:51" x14ac:dyDescent="0.2">
      <c r="N497" s="170">
        <v>79</v>
      </c>
      <c r="O497" s="199">
        <f t="shared" si="313"/>
        <v>616595.00186148309</v>
      </c>
      <c r="P497" s="189" t="str">
        <f t="shared" si="279"/>
        <v>771.276595744681</v>
      </c>
      <c r="Q497" s="160" t="str">
        <f t="shared" si="280"/>
        <v>1+34247.7570005998i</v>
      </c>
      <c r="R497" s="160">
        <f t="shared" si="288"/>
        <v>34247.757015199291</v>
      </c>
      <c r="S497" s="160">
        <f t="shared" si="289"/>
        <v>1.5707671278023991</v>
      </c>
      <c r="T497" s="160" t="str">
        <f t="shared" si="281"/>
        <v>1+0.64466366118776i</v>
      </c>
      <c r="U497" s="160">
        <f t="shared" si="290"/>
        <v>1.1897862144335036</v>
      </c>
      <c r="V497" s="160">
        <f t="shared" si="291"/>
        <v>0.57261468806633198</v>
      </c>
      <c r="W497" s="98" t="str">
        <f t="shared" si="282"/>
        <v>1-2.63444284619997i</v>
      </c>
      <c r="X497" s="160">
        <f t="shared" si="292"/>
        <v>2.8178518608852023</v>
      </c>
      <c r="Y497" s="160">
        <f t="shared" si="293"/>
        <v>-1.2080103392877688</v>
      </c>
      <c r="Z497" s="98" t="str">
        <f t="shared" si="283"/>
        <v>-151.075758528225-18.0375353977258i</v>
      </c>
      <c r="AA497" s="160">
        <f t="shared" si="294"/>
        <v>152.14873478968784</v>
      </c>
      <c r="AB497" s="160">
        <f t="shared" si="295"/>
        <v>-3.0227611920570192</v>
      </c>
      <c r="AC497" s="171" t="str">
        <f t="shared" si="296"/>
        <v>0.000339781576676658+0.00036167427879453i</v>
      </c>
      <c r="AD497" s="190">
        <f t="shared" si="297"/>
        <v>-66.086064708919636</v>
      </c>
      <c r="AE497" s="169">
        <f t="shared" si="298"/>
        <v>46.787642623882277</v>
      </c>
      <c r="AF497" s="98" t="str">
        <f t="shared" si="284"/>
        <v>-0.0000119284294234592</v>
      </c>
      <c r="AG497" s="98" t="str">
        <f t="shared" si="285"/>
        <v>0.0698630997728298i</v>
      </c>
      <c r="AH497" s="98">
        <f t="shared" si="299"/>
        <v>6.9863099772829798E-2</v>
      </c>
      <c r="AI497" s="98">
        <f t="shared" si="300"/>
        <v>1.5707963267948966</v>
      </c>
      <c r="AJ497" s="98" t="str">
        <f t="shared" si="286"/>
        <v>1+3.82842007946899i</v>
      </c>
      <c r="AK497" s="98">
        <f t="shared" si="301"/>
        <v>3.9568674863939211</v>
      </c>
      <c r="AL497" s="98">
        <f t="shared" si="302"/>
        <v>1.3153005031652212</v>
      </c>
      <c r="AM497" s="98" t="str">
        <f t="shared" si="287"/>
        <v>1+2092.05755433528i</v>
      </c>
      <c r="AN497" s="98">
        <f t="shared" si="303"/>
        <v>2092.0577933344275</v>
      </c>
      <c r="AO497" s="98">
        <f t="shared" si="304"/>
        <v>1.5703183285095401</v>
      </c>
      <c r="AP497" s="168" t="str">
        <f t="shared" si="305"/>
        <v>-0.0227724917016214+0.0873534045439661i</v>
      </c>
      <c r="AQ497" s="98">
        <f t="shared" si="306"/>
        <v>-20.888848282353006</v>
      </c>
      <c r="AR497" s="169">
        <f t="shared" si="307"/>
        <v>104.61144509283379</v>
      </c>
      <c r="AS497" s="168" t="str">
        <f t="shared" si="308"/>
        <v>-0.0000393311527239188+0.0000214448530114844i</v>
      </c>
      <c r="AT497" s="190">
        <f t="shared" si="309"/>
        <v>-86.974912991272646</v>
      </c>
      <c r="AU497" s="169">
        <f t="shared" si="310"/>
        <v>151.39908771671608</v>
      </c>
      <c r="AV497" s="225"/>
      <c r="AX497">
        <f t="shared" si="311"/>
        <v>0</v>
      </c>
      <c r="AY497">
        <f t="shared" si="312"/>
        <v>0</v>
      </c>
    </row>
    <row r="498" spans="14:51" x14ac:dyDescent="0.2">
      <c r="N498" s="170">
        <v>80</v>
      </c>
      <c r="O498" s="199">
        <f t="shared" si="313"/>
        <v>630957.34448019415</v>
      </c>
      <c r="P498" s="189" t="str">
        <f t="shared" si="279"/>
        <v>771.276595744681</v>
      </c>
      <c r="Q498" s="160" t="str">
        <f t="shared" si="280"/>
        <v>1+35045.4897400479i</v>
      </c>
      <c r="R498" s="160">
        <f t="shared" si="288"/>
        <v>35045.489754315073</v>
      </c>
      <c r="S498" s="160">
        <f t="shared" si="289"/>
        <v>1.5707677924526133</v>
      </c>
      <c r="T498" s="160" t="str">
        <f t="shared" si="281"/>
        <v>1+0.659679806871488i</v>
      </c>
      <c r="U498" s="160">
        <f t="shared" si="290"/>
        <v>1.1979889179762906</v>
      </c>
      <c r="V498" s="160">
        <f t="shared" si="291"/>
        <v>0.58314993631667444</v>
      </c>
      <c r="W498" s="98" t="str">
        <f t="shared" si="282"/>
        <v>1-2.6958069030806i</v>
      </c>
      <c r="X498" s="160">
        <f t="shared" si="292"/>
        <v>2.8753043071468127</v>
      </c>
      <c r="Y498" s="160">
        <f t="shared" si="293"/>
        <v>-1.2155841813272068</v>
      </c>
      <c r="Z498" s="98" t="str">
        <f t="shared" si="283"/>
        <v>-158.242868221399-18.4576835705089i</v>
      </c>
      <c r="AA498" s="160">
        <f t="shared" si="294"/>
        <v>159.31569736132118</v>
      </c>
      <c r="AB498" s="160">
        <f t="shared" si="295"/>
        <v>-3.0254758676165565</v>
      </c>
      <c r="AC498" s="171" t="str">
        <f t="shared" si="296"/>
        <v>0.000323832576669226+0.000348641762625981i</v>
      </c>
      <c r="AD498" s="190">
        <f t="shared" si="297"/>
        <v>-66.450878679003793</v>
      </c>
      <c r="AE498" s="169">
        <f t="shared" si="298"/>
        <v>47.112820071847466</v>
      </c>
      <c r="AF498" s="98" t="str">
        <f t="shared" si="284"/>
        <v>-0.0000119284294234592</v>
      </c>
      <c r="AG498" s="98" t="str">
        <f t="shared" si="285"/>
        <v>0.0714904204165478i</v>
      </c>
      <c r="AH498" s="98">
        <f t="shared" si="299"/>
        <v>7.1490420416547795E-2</v>
      </c>
      <c r="AI498" s="98">
        <f t="shared" si="300"/>
        <v>1.5707963267948966</v>
      </c>
      <c r="AJ498" s="98" t="str">
        <f t="shared" si="286"/>
        <v>1+3.91759543882754i</v>
      </c>
      <c r="AK498" s="98">
        <f t="shared" si="301"/>
        <v>4.0432108555357757</v>
      </c>
      <c r="AL498" s="98">
        <f t="shared" si="302"/>
        <v>1.3208745321184301</v>
      </c>
      <c r="AM498" s="98" t="str">
        <f t="shared" si="287"/>
        <v>1+2140.7878347993i</v>
      </c>
      <c r="AN498" s="98">
        <f t="shared" si="303"/>
        <v>2140.7880683581634</v>
      </c>
      <c r="AO498" s="98">
        <f t="shared" si="304"/>
        <v>1.570329209077292</v>
      </c>
      <c r="AP498" s="168" t="str">
        <f t="shared" si="305"/>
        <v>-0.021810257028666+0.0856106169909742i</v>
      </c>
      <c r="AQ498" s="98">
        <f t="shared" si="306"/>
        <v>-21.076346015244916</v>
      </c>
      <c r="AR498" s="169">
        <f t="shared" si="307"/>
        <v>104.2927001695421</v>
      </c>
      <c r="AS498" s="168" t="str">
        <f t="shared" si="308"/>
        <v>-0.000036910308138642+0.0000201195402366296i</v>
      </c>
      <c r="AT498" s="190">
        <f t="shared" si="309"/>
        <v>-87.527224694248702</v>
      </c>
      <c r="AU498" s="169">
        <f t="shared" si="310"/>
        <v>151.40552024138955</v>
      </c>
      <c r="AV498" s="225"/>
      <c r="AX498">
        <f t="shared" si="311"/>
        <v>0</v>
      </c>
      <c r="AY498">
        <f t="shared" si="312"/>
        <v>0</v>
      </c>
    </row>
    <row r="499" spans="14:51" x14ac:dyDescent="0.2">
      <c r="N499" s="170">
        <v>81</v>
      </c>
      <c r="O499" s="199">
        <f t="shared" si="313"/>
        <v>645654.22903465747</v>
      </c>
      <c r="P499" s="189" t="str">
        <f t="shared" si="279"/>
        <v>771.276595744681</v>
      </c>
      <c r="Q499" s="160" t="str">
        <f t="shared" si="280"/>
        <v>1+35861.8040620382i</v>
      </c>
      <c r="R499" s="160">
        <f t="shared" si="288"/>
        <v>35861.804075980617</v>
      </c>
      <c r="S499" s="160">
        <f t="shared" si="289"/>
        <v>1.5707684419735415</v>
      </c>
      <c r="T499" s="160" t="str">
        <f t="shared" si="281"/>
        <v>1+0.675045723520717i</v>
      </c>
      <c r="U499" s="160">
        <f t="shared" si="290"/>
        <v>1.2065184328652456</v>
      </c>
      <c r="V499" s="160">
        <f t="shared" si="291"/>
        <v>0.59378107765195054</v>
      </c>
      <c r="W499" s="98" t="str">
        <f t="shared" si="282"/>
        <v>1-2.75860031246446i</v>
      </c>
      <c r="X499" s="160">
        <f t="shared" si="292"/>
        <v>2.9342589667459507</v>
      </c>
      <c r="Y499" s="160">
        <f t="shared" si="293"/>
        <v>-1.2230269722303444</v>
      </c>
      <c r="Z499" s="98" t="str">
        <f t="shared" si="283"/>
        <v>-165.747753388135-18.8876182514374i</v>
      </c>
      <c r="AA499" s="160">
        <f t="shared" si="294"/>
        <v>166.82044202203173</v>
      </c>
      <c r="AB499" s="160">
        <f t="shared" si="295"/>
        <v>-3.0281281036127368</v>
      </c>
      <c r="AC499" s="171" t="str">
        <f t="shared" si="296"/>
        <v>0.00030865904504702+0.000336222307539253i</v>
      </c>
      <c r="AD499" s="190">
        <f t="shared" si="297"/>
        <v>-66.812776928693523</v>
      </c>
      <c r="AE499" s="169">
        <f t="shared" si="298"/>
        <v>47.447423809263732</v>
      </c>
      <c r="AF499" s="98" t="str">
        <f t="shared" si="284"/>
        <v>-0.0000119284294234592</v>
      </c>
      <c r="AG499" s="98" t="str">
        <f t="shared" si="285"/>
        <v>0.0731556462274585i</v>
      </c>
      <c r="AH499" s="98">
        <f t="shared" si="299"/>
        <v>7.3155646227458501E-2</v>
      </c>
      <c r="AI499" s="98">
        <f t="shared" si="300"/>
        <v>1.5707963267948966</v>
      </c>
      <c r="AJ499" s="98" t="str">
        <f t="shared" si="286"/>
        <v>1+4.00884795914328i</v>
      </c>
      <c r="AK499" s="98">
        <f t="shared" si="301"/>
        <v>4.1316899641099933</v>
      </c>
      <c r="AL499" s="98">
        <f t="shared" si="302"/>
        <v>1.3263370505088252</v>
      </c>
      <c r="AM499" s="98" t="str">
        <f t="shared" si="287"/>
        <v>1+2190.65318931002i</v>
      </c>
      <c r="AN499" s="98">
        <f t="shared" si="303"/>
        <v>2190.6534175524348</v>
      </c>
      <c r="AO499" s="98">
        <f t="shared" si="304"/>
        <v>1.5703398419731913</v>
      </c>
      <c r="AP499" s="168" t="str">
        <f t="shared" si="305"/>
        <v>-0.0208861366146697+0.0838924016277536i</v>
      </c>
      <c r="AQ499" s="98">
        <f t="shared" si="306"/>
        <v>-21.264372750898339</v>
      </c>
      <c r="AR499" s="169">
        <f t="shared" si="307"/>
        <v>103.98033014031893</v>
      </c>
      <c r="AS499" s="168" t="str">
        <f t="shared" si="308"/>
        <v>-0.0000346531918424987+0.0000188717635249592i</v>
      </c>
      <c r="AT499" s="190">
        <f t="shared" si="309"/>
        <v>-88.077149679591841</v>
      </c>
      <c r="AU499" s="169">
        <f t="shared" si="310"/>
        <v>151.42775394958267</v>
      </c>
      <c r="AV499" s="225"/>
      <c r="AX499">
        <f t="shared" si="311"/>
        <v>0</v>
      </c>
      <c r="AY499">
        <f t="shared" si="312"/>
        <v>0</v>
      </c>
    </row>
    <row r="500" spans="14:51" x14ac:dyDescent="0.2">
      <c r="N500" s="170">
        <v>82</v>
      </c>
      <c r="O500" s="199">
        <f t="shared" si="313"/>
        <v>660693.44800759677</v>
      </c>
      <c r="P500" s="189" t="str">
        <f t="shared" si="279"/>
        <v>771.276595744681</v>
      </c>
      <c r="Q500" s="160" t="str">
        <f t="shared" si="280"/>
        <v>1+36697.1327872291i</v>
      </c>
      <c r="R500" s="160">
        <f t="shared" si="288"/>
        <v>36697.132800854139</v>
      </c>
      <c r="S500" s="160">
        <f t="shared" si="289"/>
        <v>1.5707690767095683</v>
      </c>
      <c r="T500" s="160" t="str">
        <f t="shared" si="281"/>
        <v>1+0.69076955834784i</v>
      </c>
      <c r="U500" s="160">
        <f t="shared" si="290"/>
        <v>1.2153857752746944</v>
      </c>
      <c r="V500" s="160">
        <f t="shared" si="291"/>
        <v>0.60450413640329959</v>
      </c>
      <c r="W500" s="98" t="str">
        <f t="shared" si="282"/>
        <v>1-2.82285636824838i</v>
      </c>
      <c r="X500" s="160">
        <f t="shared" si="292"/>
        <v>2.9947484161045037</v>
      </c>
      <c r="Y500" s="160">
        <f t="shared" si="293"/>
        <v>-1.2303393589273179</v>
      </c>
      <c r="Z500" s="98" t="str">
        <f t="shared" si="283"/>
        <v>-173.606332896067-19.3275673975699i</v>
      </c>
      <c r="AA500" s="160">
        <f t="shared" si="294"/>
        <v>174.67888734225335</v>
      </c>
      <c r="AB500" s="160">
        <f t="shared" si="295"/>
        <v>-3.0307193640051682</v>
      </c>
      <c r="AC500" s="171" t="str">
        <f t="shared" si="296"/>
        <v>0.000294221021373534+0.000324381272217468i</v>
      </c>
      <c r="AD500" s="190">
        <f t="shared" si="297"/>
        <v>-67.17175808952129</v>
      </c>
      <c r="AE500" s="169">
        <f t="shared" si="298"/>
        <v>47.791272839692844</v>
      </c>
      <c r="AF500" s="98" t="str">
        <f t="shared" si="284"/>
        <v>-0.0000119284294234592</v>
      </c>
      <c r="AG500" s="98" t="str">
        <f t="shared" si="285"/>
        <v>0.0748596601303281i</v>
      </c>
      <c r="AH500" s="98">
        <f t="shared" si="299"/>
        <v>7.4859660130328104E-2</v>
      </c>
      <c r="AI500" s="98">
        <f t="shared" si="300"/>
        <v>1.5707963267948966</v>
      </c>
      <c r="AJ500" s="98" t="str">
        <f t="shared" si="286"/>
        <v>1+4.10222602371031i</v>
      </c>
      <c r="AK500" s="98">
        <f t="shared" si="301"/>
        <v>4.2223522294576634</v>
      </c>
      <c r="AL500" s="98">
        <f t="shared" si="302"/>
        <v>1.3316896501081483</v>
      </c>
      <c r="AM500" s="98" t="str">
        <f t="shared" si="287"/>
        <v>1+2241.68005713842i</v>
      </c>
      <c r="AN500" s="98">
        <f t="shared" si="303"/>
        <v>2241.6802801854037</v>
      </c>
      <c r="AO500" s="98">
        <f t="shared" si="304"/>
        <v>1.5703502328349301</v>
      </c>
      <c r="AP500" s="168" t="str">
        <f t="shared" si="305"/>
        <v>-0.0199988326411441+0.0821990755939845i</v>
      </c>
      <c r="AQ500" s="98">
        <f t="shared" si="306"/>
        <v>-21.452907474793985</v>
      </c>
      <c r="AR500" s="169">
        <f t="shared" si="307"/>
        <v>103.67424412637737</v>
      </c>
      <c r="AS500" s="168" t="str">
        <f t="shared" si="308"/>
        <v>-0.0000325479176822323+0.0000176974492022239i</v>
      </c>
      <c r="AT500" s="190">
        <f t="shared" si="309"/>
        <v>-88.624665564315279</v>
      </c>
      <c r="AU500" s="169">
        <f t="shared" si="310"/>
        <v>151.4655169660702</v>
      </c>
      <c r="AV500" s="225"/>
      <c r="AX500">
        <f t="shared" si="311"/>
        <v>0</v>
      </c>
      <c r="AY500">
        <f t="shared" si="312"/>
        <v>0</v>
      </c>
    </row>
    <row r="501" spans="14:51" x14ac:dyDescent="0.2">
      <c r="N501" s="170">
        <v>83</v>
      </c>
      <c r="O501" s="199">
        <f t="shared" si="313"/>
        <v>676082.97539198259</v>
      </c>
      <c r="P501" s="189" t="str">
        <f t="shared" si="279"/>
        <v>771.276595744681</v>
      </c>
      <c r="Q501" s="160" t="str">
        <f t="shared" si="280"/>
        <v>1+37551.9188179678i</v>
      </c>
      <c r="R501" s="160">
        <f t="shared" si="288"/>
        <v>37551.918831282703</v>
      </c>
      <c r="S501" s="160">
        <f t="shared" si="289"/>
        <v>1.5707696969972393</v>
      </c>
      <c r="T501" s="160" t="str">
        <f t="shared" si="281"/>
        <v>1+0.706859648338216i</v>
      </c>
      <c r="U501" s="160">
        <f t="shared" si="290"/>
        <v>1.2246022057994288</v>
      </c>
      <c r="V501" s="160">
        <f t="shared" si="291"/>
        <v>0.61531493424351213</v>
      </c>
      <c r="W501" s="98" t="str">
        <f t="shared" si="282"/>
        <v>1-2.88860913984366i</v>
      </c>
      <c r="X501" s="160">
        <f t="shared" si="292"/>
        <v>3.0568059740173772</v>
      </c>
      <c r="Y501" s="160">
        <f t="shared" si="293"/>
        <v>-1.2375220895771308</v>
      </c>
      <c r="Z501" s="98" t="str">
        <f t="shared" si="283"/>
        <v>-181.835275845951-19.7777642757673i</v>
      </c>
      <c r="AA501" s="160">
        <f t="shared" si="294"/>
        <v>182.90770213886816</v>
      </c>
      <c r="AB501" s="160">
        <f t="shared" si="295"/>
        <v>-3.0332510766320158</v>
      </c>
      <c r="AC501" s="171" t="str">
        <f t="shared" si="296"/>
        <v>0.000280480787043169+0.000313086137365663i</v>
      </c>
      <c r="AD501" s="190">
        <f t="shared" si="297"/>
        <v>-67.527821270054147</v>
      </c>
      <c r="AE501" s="169">
        <f t="shared" si="298"/>
        <v>48.144166686085349</v>
      </c>
      <c r="AF501" s="98" t="str">
        <f t="shared" si="284"/>
        <v>-0.0000119284294234592</v>
      </c>
      <c r="AG501" s="98" t="str">
        <f t="shared" si="285"/>
        <v>0.0766033656158837i</v>
      </c>
      <c r="AH501" s="98">
        <f t="shared" si="299"/>
        <v>7.6603365615883698E-2</v>
      </c>
      <c r="AI501" s="98">
        <f t="shared" si="300"/>
        <v>1.5707963267948966</v>
      </c>
      <c r="AJ501" s="98" t="str">
        <f t="shared" si="286"/>
        <v>1+4.1977791428145i</v>
      </c>
      <c r="AK501" s="98">
        <f t="shared" si="301"/>
        <v>4.3152461959717252</v>
      </c>
      <c r="AL501" s="98">
        <f t="shared" si="302"/>
        <v>1.3369339415769883</v>
      </c>
      <c r="AM501" s="98" t="str">
        <f t="shared" si="287"/>
        <v>1+2293.89549340527i</v>
      </c>
      <c r="AN501" s="98">
        <f t="shared" si="303"/>
        <v>2293.8957113750848</v>
      </c>
      <c r="AO501" s="98">
        <f t="shared" si="304"/>
        <v>1.5703603871718723</v>
      </c>
      <c r="AP501" s="168" t="str">
        <f t="shared" si="305"/>
        <v>-0.019147073662821+0.0805309032476262i</v>
      </c>
      <c r="AQ501" s="98">
        <f t="shared" si="306"/>
        <v>-21.641929893065285</v>
      </c>
      <c r="AR501" s="169">
        <f t="shared" si="307"/>
        <v>103.37435015932697</v>
      </c>
      <c r="AS501" s="168" t="str">
        <f t="shared" si="308"/>
        <v>-0.0000305834957268888+0.000016592687789243i</v>
      </c>
      <c r="AT501" s="190">
        <f t="shared" si="309"/>
        <v>-89.169751163119443</v>
      </c>
      <c r="AU501" s="169">
        <f t="shared" si="310"/>
        <v>151.51851684541239</v>
      </c>
      <c r="AV501" s="225"/>
      <c r="AX501">
        <f t="shared" si="311"/>
        <v>0</v>
      </c>
      <c r="AY501">
        <f t="shared" si="312"/>
        <v>0</v>
      </c>
    </row>
    <row r="502" spans="14:51" x14ac:dyDescent="0.2">
      <c r="N502" s="170">
        <v>84</v>
      </c>
      <c r="O502" s="199">
        <f t="shared" si="313"/>
        <v>691830.97091893724</v>
      </c>
      <c r="P502" s="189" t="str">
        <f t="shared" si="279"/>
        <v>771.276595744681</v>
      </c>
      <c r="Q502" s="160" t="str">
        <f t="shared" si="280"/>
        <v>1+38426.6153731222i</v>
      </c>
      <c r="R502" s="160">
        <f t="shared" si="288"/>
        <v>38426.615386134014</v>
      </c>
      <c r="S502" s="160">
        <f t="shared" si="289"/>
        <v>1.5707703031654392</v>
      </c>
      <c r="T502" s="160" t="str">
        <f t="shared" si="281"/>
        <v>1+0.723324524670534i</v>
      </c>
      <c r="U502" s="160">
        <f t="shared" si="290"/>
        <v>1.2341792284712354</v>
      </c>
      <c r="V502" s="160">
        <f t="shared" si="291"/>
        <v>0.62620909534867042</v>
      </c>
      <c r="W502" s="98" t="str">
        <f t="shared" si="282"/>
        <v>1-2.95589349024016i</v>
      </c>
      <c r="X502" s="160">
        <f t="shared" si="292"/>
        <v>3.1204657225555543</v>
      </c>
      <c r="Y502" s="160">
        <f t="shared" si="293"/>
        <v>-1.2445760070710756</v>
      </c>
      <c r="Z502" s="98" t="str">
        <f t="shared" si="283"/>
        <v>-190.452036929056-20.2384475863733i</v>
      </c>
      <c r="AA502" s="160">
        <f t="shared" si="294"/>
        <v>191.52434083200205</v>
      </c>
      <c r="AB502" s="160">
        <f t="shared" si="295"/>
        <v>-3.0357246342135098</v>
      </c>
      <c r="AC502" s="171" t="str">
        <f t="shared" si="296"/>
        <v>0.000267402725612902+0.000302306373572137i</v>
      </c>
      <c r="AD502" s="190">
        <f t="shared" si="297"/>
        <v>-67.880966153050821</v>
      </c>
      <c r="AE502" s="169">
        <f t="shared" si="298"/>
        <v>48.505886116232595</v>
      </c>
      <c r="AF502" s="98" t="str">
        <f t="shared" si="284"/>
        <v>-0.0000119284294234592</v>
      </c>
      <c r="AG502" s="98" t="str">
        <f t="shared" si="285"/>
        <v>0.0783876872198543i</v>
      </c>
      <c r="AH502" s="98">
        <f t="shared" si="299"/>
        <v>7.8387687219854299E-2</v>
      </c>
      <c r="AI502" s="98">
        <f t="shared" si="300"/>
        <v>1.5707963267948966</v>
      </c>
      <c r="AJ502" s="98" t="str">
        <f t="shared" si="286"/>
        <v>1+4.29555797998439i</v>
      </c>
      <c r="AK502" s="98">
        <f t="shared" si="301"/>
        <v>4.410421562550181</v>
      </c>
      <c r="AL502" s="98">
        <f t="shared" si="302"/>
        <v>1.3420715511510903</v>
      </c>
      <c r="AM502" s="98" t="str">
        <f t="shared" si="287"/>
        <v>1+2347.32718342601i</v>
      </c>
      <c r="AN502" s="98">
        <f t="shared" si="303"/>
        <v>2347.3273964342266</v>
      </c>
      <c r="AO502" s="98">
        <f t="shared" si="304"/>
        <v>1.5703703103679731</v>
      </c>
      <c r="AP502" s="168" t="str">
        <f t="shared" si="305"/>
        <v>-0.0183296156908855+0.0788880991842795i</v>
      </c>
      <c r="AQ502" s="98">
        <f t="shared" si="306"/>
        <v>-21.831420417391737</v>
      </c>
      <c r="AR502" s="169">
        <f t="shared" si="307"/>
        <v>103.08055537120073</v>
      </c>
      <c r="AS502" s="168" t="str">
        <f t="shared" si="308"/>
        <v>-0.0000287497643775784+0.0000155537330918147i</v>
      </c>
      <c r="AT502" s="190">
        <f t="shared" si="309"/>
        <v>-89.712386570442561</v>
      </c>
      <c r="AU502" s="169">
        <f t="shared" si="310"/>
        <v>151.58644148743343</v>
      </c>
      <c r="AV502" s="225"/>
      <c r="AX502">
        <f t="shared" si="311"/>
        <v>0</v>
      </c>
      <c r="AY502">
        <f t="shared" si="312"/>
        <v>0</v>
      </c>
    </row>
    <row r="503" spans="14:51" x14ac:dyDescent="0.2">
      <c r="N503" s="170">
        <v>85</v>
      </c>
      <c r="O503" s="199">
        <f t="shared" si="313"/>
        <v>707945.78438413853</v>
      </c>
      <c r="P503" s="189" t="str">
        <f t="shared" si="279"/>
        <v>771.276595744681</v>
      </c>
      <c r="Q503" s="160" t="str">
        <f t="shared" si="280"/>
        <v>1+39321.6862283839i</v>
      </c>
      <c r="R503" s="160">
        <f t="shared" si="288"/>
        <v>39321.686241099531</v>
      </c>
      <c r="S503" s="160">
        <f t="shared" si="289"/>
        <v>1.5707708955355661</v>
      </c>
      <c r="T503" s="160" t="str">
        <f t="shared" si="281"/>
        <v>1+0.740172917240166i</v>
      </c>
      <c r="U503" s="160">
        <f t="shared" si="290"/>
        <v>1.2441285895822094</v>
      </c>
      <c r="V503" s="160">
        <f t="shared" si="291"/>
        <v>0.63718205255267679</v>
      </c>
      <c r="W503" s="98" t="str">
        <f t="shared" si="282"/>
        <v>1-3.02474509449106i</v>
      </c>
      <c r="X503" s="160">
        <f t="shared" si="292"/>
        <v>3.1857625282885937</v>
      </c>
      <c r="Y503" s="160">
        <f t="shared" si="293"/>
        <v>-1.2515020426788457</v>
      </c>
      <c r="Z503" s="98" t="str">
        <f t="shared" si="283"/>
        <v>-199.47489345091-20.7098615897772i</v>
      </c>
      <c r="AA503" s="160">
        <f t="shared" si="294"/>
        <v>200.54708046820235</v>
      </c>
      <c r="AB503" s="160">
        <f t="shared" si="295"/>
        <v>-3.0381413953211083</v>
      </c>
      <c r="AC503" s="171" t="str">
        <f t="shared" si="296"/>
        <v>0.000254953192799488+0.000292013317206439i</v>
      </c>
      <c r="AD503" s="190">
        <f t="shared" si="297"/>
        <v>-68.231193094379165</v>
      </c>
      <c r="AE503" s="169">
        <f t="shared" si="298"/>
        <v>48.876193914966038</v>
      </c>
      <c r="AF503" s="98" t="str">
        <f t="shared" si="284"/>
        <v>-0.0000119284294234592</v>
      </c>
      <c r="AG503" s="98" t="str">
        <f t="shared" si="285"/>
        <v>0.0802135710131725i</v>
      </c>
      <c r="AH503" s="98">
        <f t="shared" si="299"/>
        <v>8.0213571013172502E-2</v>
      </c>
      <c r="AI503" s="98">
        <f t="shared" si="300"/>
        <v>1.5707963267948966</v>
      </c>
      <c r="AJ503" s="98" t="str">
        <f t="shared" si="286"/>
        <v>1+4.3956143788537i</v>
      </c>
      <c r="AK503" s="98">
        <f t="shared" si="301"/>
        <v>4.5079292105783333</v>
      </c>
      <c r="AL503" s="98">
        <f t="shared" si="302"/>
        <v>1.3471041175201306</v>
      </c>
      <c r="AM503" s="98" t="str">
        <f t="shared" si="287"/>
        <v>1+2402.00345738996i</v>
      </c>
      <c r="AN503" s="98">
        <f t="shared" si="303"/>
        <v>2402.0036655495182</v>
      </c>
      <c r="AO503" s="98">
        <f t="shared" si="304"/>
        <v>1.5703800076846348</v>
      </c>
      <c r="AP503" s="168" t="str">
        <f t="shared" si="305"/>
        <v>-0.0175452430894675+0.0772708311748736i</v>
      </c>
      <c r="AQ503" s="98">
        <f t="shared" si="306"/>
        <v>-22.021360149337678</v>
      </c>
      <c r="AR503" s="169">
        <f t="shared" si="307"/>
        <v>102.79276617345263</v>
      </c>
      <c r="AS503" s="168" t="str">
        <f t="shared" si="308"/>
        <v>-0.0000270373274787765+0.0000145770004825555i</v>
      </c>
      <c r="AT503" s="190">
        <f t="shared" si="309"/>
        <v>-90.252553243716832</v>
      </c>
      <c r="AU503" s="169">
        <f t="shared" si="310"/>
        <v>151.66896008841869</v>
      </c>
      <c r="AV503" s="225"/>
      <c r="AX503">
        <f t="shared" si="311"/>
        <v>0</v>
      </c>
      <c r="AY503">
        <f t="shared" si="312"/>
        <v>0</v>
      </c>
    </row>
    <row r="504" spans="14:51" x14ac:dyDescent="0.2">
      <c r="N504" s="170">
        <v>86</v>
      </c>
      <c r="O504" s="199">
        <f t="shared" si="313"/>
        <v>724435.96007499192</v>
      </c>
      <c r="P504" s="189" t="str">
        <f t="shared" si="279"/>
        <v>771.276595744681</v>
      </c>
      <c r="Q504" s="160" t="str">
        <f t="shared" si="280"/>
        <v>1+40237.605962168i</v>
      </c>
      <c r="R504" s="160">
        <f t="shared" si="288"/>
        <v>40237.605974594182</v>
      </c>
      <c r="S504" s="160">
        <f t="shared" si="289"/>
        <v>1.570771474421703</v>
      </c>
      <c r="T504" s="160" t="str">
        <f t="shared" si="281"/>
        <v>1+0.757413759287866i</v>
      </c>
      <c r="U504" s="160">
        <f t="shared" si="290"/>
        <v>1.2544622763393793</v>
      </c>
      <c r="V504" s="160">
        <f t="shared" si="291"/>
        <v>0.64822905449452217</v>
      </c>
      <c r="W504" s="98" t="str">
        <f t="shared" si="282"/>
        <v>1-3.09520045862829i</v>
      </c>
      <c r="X504" s="160">
        <f t="shared" si="292"/>
        <v>3.2527320638338435</v>
      </c>
      <c r="Y504" s="160">
        <f t="shared" si="293"/>
        <v>-1.2583012098534183</v>
      </c>
      <c r="Z504" s="98" t="str">
        <f t="shared" si="283"/>
        <v>-208.922984099911-21.1922562359233i</v>
      </c>
      <c r="AA504" s="160">
        <f t="shared" si="294"/>
        <v>209.99505948850486</v>
      </c>
      <c r="AB504" s="160">
        <f t="shared" si="295"/>
        <v>-3.0405026853137951</v>
      </c>
      <c r="AC504" s="171" t="str">
        <f t="shared" si="296"/>
        <v>0.000243100395414212+0.000282180053897763i</v>
      </c>
      <c r="AD504" s="190">
        <f t="shared" si="297"/>
        <v>-68.57850322271679</v>
      </c>
      <c r="AE504" s="169">
        <f t="shared" si="298"/>
        <v>49.254835702254447</v>
      </c>
      <c r="AF504" s="98" t="str">
        <f t="shared" si="284"/>
        <v>-0.0000119284294234592</v>
      </c>
      <c r="AG504" s="98" t="str">
        <f t="shared" si="285"/>
        <v>0.0820819851035942i</v>
      </c>
      <c r="AH504" s="98">
        <f t="shared" si="299"/>
        <v>8.2081985103594199E-2</v>
      </c>
      <c r="AI504" s="98">
        <f t="shared" si="300"/>
        <v>1.5707963267948966</v>
      </c>
      <c r="AJ504" s="98" t="str">
        <f t="shared" si="286"/>
        <v>1+4.49800139064952i</v>
      </c>
      <c r="AK504" s="98">
        <f t="shared" si="301"/>
        <v>4.6078212324573773</v>
      </c>
      <c r="AL504" s="98">
        <f t="shared" si="302"/>
        <v>1.3520332888934719</v>
      </c>
      <c r="AM504" s="98" t="str">
        <f t="shared" si="287"/>
        <v>1+2457.9533053813i</v>
      </c>
      <c r="AN504" s="98">
        <f t="shared" si="303"/>
        <v>2457.9535088025691</v>
      </c>
      <c r="AO504" s="98">
        <f t="shared" si="304"/>
        <v>1.5703894842634958</v>
      </c>
      <c r="AP504" s="168" t="str">
        <f t="shared" si="305"/>
        <v>-0.0167927692993334+0.0756792230158095i</v>
      </c>
      <c r="AQ504" s="98">
        <f t="shared" si="306"/>
        <v>-22.211730864237801</v>
      </c>
      <c r="AR504" s="169">
        <f t="shared" si="307"/>
        <v>102.51088842523637</v>
      </c>
      <c r="AS504" s="168" t="str">
        <f t="shared" si="308"/>
        <v>-0.0000254374960863095+0.000013659064493805i</v>
      </c>
      <c r="AT504" s="190">
        <f t="shared" si="309"/>
        <v>-90.790234086954612</v>
      </c>
      <c r="AU504" s="169">
        <f t="shared" si="310"/>
        <v>151.76572412749081</v>
      </c>
      <c r="AV504" s="225"/>
      <c r="AX504">
        <f t="shared" si="311"/>
        <v>0</v>
      </c>
      <c r="AY504">
        <f t="shared" si="312"/>
        <v>0</v>
      </c>
    </row>
    <row r="505" spans="14:51" x14ac:dyDescent="0.2">
      <c r="N505" s="170">
        <v>87</v>
      </c>
      <c r="O505" s="199">
        <f t="shared" si="313"/>
        <v>741310.24130091805</v>
      </c>
      <c r="P505" s="189" t="str">
        <f t="shared" si="279"/>
        <v>771.276595744681</v>
      </c>
      <c r="Q505" s="160" t="str">
        <f t="shared" si="280"/>
        <v>1+41174.8602072407i</v>
      </c>
      <c r="R505" s="160">
        <f t="shared" si="288"/>
        <v>41174.860219384034</v>
      </c>
      <c r="S505" s="160">
        <f t="shared" si="289"/>
        <v>1.5707720401307823</v>
      </c>
      <c r="T505" s="160" t="str">
        <f t="shared" si="281"/>
        <v>1+0.775056192136293i</v>
      </c>
      <c r="U505" s="160">
        <f t="shared" si="290"/>
        <v>1.2651925153781185</v>
      </c>
      <c r="V505" s="160">
        <f t="shared" si="291"/>
        <v>0.65934517374947166</v>
      </c>
      <c r="W505" s="98" t="str">
        <f t="shared" si="282"/>
        <v>1-3.1672969390185i</v>
      </c>
      <c r="X505" s="160">
        <f t="shared" si="292"/>
        <v>3.3214108297402714</v>
      </c>
      <c r="Y505" s="160">
        <f t="shared" si="293"/>
        <v>-1.2649745982083567</v>
      </c>
      <c r="Z505" s="98" t="str">
        <f t="shared" si="283"/>
        <v>-218.81634954305-21.6858872968384i</v>
      </c>
      <c r="AA505" s="160">
        <f t="shared" si="294"/>
        <v>219.88831832363766</v>
      </c>
      <c r="AB505" s="160">
        <f t="shared" si="295"/>
        <v>-3.0428097972429287</v>
      </c>
      <c r="AC505" s="171" t="str">
        <f t="shared" si="296"/>
        <v>0.000231814278565001+0.000272781309159242i</v>
      </c>
      <c r="AD505" s="190">
        <f t="shared" si="297"/>
        <v>-68.922898539049385</v>
      </c>
      <c r="AE505" s="169">
        <f t="shared" si="298"/>
        <v>49.641540795998665</v>
      </c>
      <c r="AF505" s="98" t="str">
        <f t="shared" si="284"/>
        <v>-0.0000119284294234592</v>
      </c>
      <c r="AG505" s="98" t="str">
        <f t="shared" si="285"/>
        <v>0.083993920149001i</v>
      </c>
      <c r="AH505" s="98">
        <f t="shared" si="299"/>
        <v>8.3993920149001006E-2</v>
      </c>
      <c r="AI505" s="98">
        <f t="shared" si="300"/>
        <v>1.5707963267948966</v>
      </c>
      <c r="AJ505" s="98" t="str">
        <f t="shared" si="286"/>
        <v>1+4.60277330232073i</v>
      </c>
      <c r="AK505" s="98">
        <f t="shared" si="301"/>
        <v>4.7101509606971703</v>
      </c>
      <c r="AL505" s="98">
        <f t="shared" si="302"/>
        <v>1.3568607202470915</v>
      </c>
      <c r="AM505" s="98" t="str">
        <f t="shared" si="287"/>
        <v>1+2515.20639274999i</v>
      </c>
      <c r="AN505" s="98">
        <f t="shared" si="303"/>
        <v>2515.2065915408252</v>
      </c>
      <c r="AO505" s="98">
        <f t="shared" si="304"/>
        <v>1.5703987451291566</v>
      </c>
      <c r="AP505" s="168" t="str">
        <f t="shared" si="305"/>
        <v>-0.016071037402266+0.0741133572868895i</v>
      </c>
      <c r="AQ505" s="98">
        <f t="shared" si="306"/>
        <v>-22.402514994721315</v>
      </c>
      <c r="AR505" s="169">
        <f t="shared" si="307"/>
        <v>102.23482759130184</v>
      </c>
      <c r="AS505" s="168" t="str">
        <f t="shared" si="308"/>
        <v>-0.0000239422345681018+0.0000127966558293532i</v>
      </c>
      <c r="AT505" s="190">
        <f t="shared" si="309"/>
        <v>-91.3254135337707</v>
      </c>
      <c r="AU505" s="169">
        <f t="shared" si="310"/>
        <v>151.87636838730049</v>
      </c>
      <c r="AV505" s="225"/>
      <c r="AX505">
        <f t="shared" si="311"/>
        <v>0</v>
      </c>
      <c r="AY505">
        <f t="shared" si="312"/>
        <v>0</v>
      </c>
    </row>
    <row r="506" spans="14:51" x14ac:dyDescent="0.2">
      <c r="N506" s="170">
        <v>88</v>
      </c>
      <c r="O506" s="199">
        <f t="shared" si="313"/>
        <v>758577.57502918423</v>
      </c>
      <c r="P506" s="189" t="str">
        <f t="shared" si="279"/>
        <v>771.276595744681</v>
      </c>
      <c r="Q506" s="160" t="str">
        <f t="shared" si="280"/>
        <v>1+42133.9459082091i</v>
      </c>
      <c r="R506" s="160">
        <f t="shared" si="288"/>
        <v>42133.94592007601</v>
      </c>
      <c r="S506" s="160">
        <f t="shared" si="289"/>
        <v>1.5707725929627512</v>
      </c>
      <c r="T506" s="160" t="str">
        <f t="shared" si="281"/>
        <v>1+0.793109570036874i</v>
      </c>
      <c r="U506" s="160">
        <f t="shared" si="290"/>
        <v>1.2763317711645648</v>
      </c>
      <c r="V506" s="160">
        <f t="shared" si="291"/>
        <v>0.67052531592629117</v>
      </c>
      <c r="W506" s="98" t="str">
        <f t="shared" si="282"/>
        <v>1-3.24107276216991i</v>
      </c>
      <c r="X506" s="160">
        <f t="shared" si="292"/>
        <v>3.391836176716041</v>
      </c>
      <c r="Y506" s="160">
        <f t="shared" si="293"/>
        <v>-1.271523367678965</v>
      </c>
      <c r="Z506" s="98" t="str">
        <f t="shared" si="283"/>
        <v>-229.175974934864-22.191016502245i</v>
      </c>
      <c r="AA506" s="160">
        <f t="shared" si="294"/>
        <v>230.2478419024776</v>
      </c>
      <c r="AB506" s="160">
        <f t="shared" si="295"/>
        <v>-3.0450639927269867</v>
      </c>
      <c r="AC506" s="171" t="str">
        <f t="shared" si="296"/>
        <v>0.000221066420509031+0.000263793345744822i</v>
      </c>
      <c r="AD506" s="190">
        <f t="shared" si="297"/>
        <v>-69.26438201497966</v>
      </c>
      <c r="AE506" s="169">
        <f t="shared" si="298"/>
        <v>50.036023117911938</v>
      </c>
      <c r="AF506" s="98" t="str">
        <f t="shared" si="284"/>
        <v>-0.0000119284294234592</v>
      </c>
      <c r="AG506" s="98" t="str">
        <f t="shared" si="285"/>
        <v>0.085950389882662i</v>
      </c>
      <c r="AH506" s="98">
        <f t="shared" si="299"/>
        <v>8.5950389882662001E-2</v>
      </c>
      <c r="AI506" s="98">
        <f t="shared" si="300"/>
        <v>1.5707963267948966</v>
      </c>
      <c r="AJ506" s="98" t="str">
        <f t="shared" si="286"/>
        <v>1+4.70998566532175i</v>
      </c>
      <c r="AK506" s="98">
        <f t="shared" si="301"/>
        <v>4.8149729975916129</v>
      </c>
      <c r="AL506" s="98">
        <f t="shared" si="302"/>
        <v>1.3615880707456067</v>
      </c>
      <c r="AM506" s="98" t="str">
        <f t="shared" si="287"/>
        <v>1+2573.79307584082i</v>
      </c>
      <c r="AN506" s="98">
        <f t="shared" si="303"/>
        <v>2573.7932701066238</v>
      </c>
      <c r="AO506" s="98">
        <f t="shared" si="304"/>
        <v>1.5704077951918445</v>
      </c>
      <c r="AP506" s="168" t="str">
        <f t="shared" si="305"/>
        <v>-0.0153789205390928+0.0725732780134215i</v>
      </c>
      <c r="AQ506" s="98">
        <f t="shared" si="306"/>
        <v>-22.593695613961565</v>
      </c>
      <c r="AR506" s="169">
        <f t="shared" si="307"/>
        <v>101.9644888898542</v>
      </c>
      <c r="AS506" s="168" t="str">
        <f t="shared" si="308"/>
        <v>-0.0000225441107336996+0.0000119866578920828i</v>
      </c>
      <c r="AT506" s="190">
        <f t="shared" si="309"/>
        <v>-91.858077628941231</v>
      </c>
      <c r="AU506" s="169">
        <f t="shared" si="310"/>
        <v>152.0005120077661</v>
      </c>
      <c r="AV506" s="225"/>
      <c r="AX506">
        <f t="shared" si="311"/>
        <v>0</v>
      </c>
      <c r="AY506">
        <f t="shared" si="312"/>
        <v>0</v>
      </c>
    </row>
    <row r="507" spans="14:51" x14ac:dyDescent="0.2">
      <c r="N507" s="170">
        <v>89</v>
      </c>
      <c r="O507" s="199">
        <f t="shared" si="313"/>
        <v>776247.11662869214</v>
      </c>
      <c r="P507" s="189" t="str">
        <f t="shared" si="279"/>
        <v>771.276595744681</v>
      </c>
      <c r="Q507" s="160" t="str">
        <f t="shared" si="280"/>
        <v>1+43115.3715850067i</v>
      </c>
      <c r="R507" s="160">
        <f t="shared" si="288"/>
        <v>43115.371596603487</v>
      </c>
      <c r="S507" s="160">
        <f t="shared" si="289"/>
        <v>1.570773133210728</v>
      </c>
      <c r="T507" s="160" t="str">
        <f t="shared" si="281"/>
        <v>1+0.811583465129536i</v>
      </c>
      <c r="U507" s="160">
        <f t="shared" si="290"/>
        <v>1.2878927443198307</v>
      </c>
      <c r="V507" s="160">
        <f t="shared" si="291"/>
        <v>0.68176422970336548</v>
      </c>
      <c r="W507" s="98" t="str">
        <f t="shared" si="282"/>
        <v>1-3.3165670450005i</v>
      </c>
      <c r="X507" s="160">
        <f t="shared" si="292"/>
        <v>3.4640463282097351</v>
      </c>
      <c r="Y507" s="160">
        <f t="shared" si="293"/>
        <v>-1.2779487428766103</v>
      </c>
      <c r="Z507" s="98" t="str">
        <f t="shared" si="283"/>
        <v>-240.023834429744-22.7079116783339i</v>
      </c>
      <c r="AA507" s="160">
        <f t="shared" si="294"/>
        <v>241.09560416388385</v>
      </c>
      <c r="AB507" s="160">
        <f t="shared" si="295"/>
        <v>-3.0472665027974624</v>
      </c>
      <c r="AC507" s="171" t="str">
        <f t="shared" si="296"/>
        <v>0.00021082993458784+0.000255193867346305i</v>
      </c>
      <c r="AD507" s="190">
        <f t="shared" si="297"/>
        <v>-69.602957688865402</v>
      </c>
      <c r="AE507" s="169">
        <f t="shared" si="298"/>
        <v>50.437982140480933</v>
      </c>
      <c r="AF507" s="98" t="str">
        <f t="shared" si="284"/>
        <v>-0.0000119284294234592</v>
      </c>
      <c r="AG507" s="98" t="str">
        <f t="shared" si="285"/>
        <v>0.0879524316507266i</v>
      </c>
      <c r="AH507" s="98">
        <f t="shared" si="299"/>
        <v>8.7952431650726595E-2</v>
      </c>
      <c r="AI507" s="98">
        <f t="shared" si="300"/>
        <v>1.5707963267948966</v>
      </c>
      <c r="AJ507" s="98" t="str">
        <f t="shared" si="286"/>
        <v>1+4.81969532506655i</v>
      </c>
      <c r="AK507" s="98">
        <f t="shared" si="301"/>
        <v>4.9223432454948082</v>
      </c>
      <c r="AL507" s="98">
        <f t="shared" si="302"/>
        <v>1.3662170013331052</v>
      </c>
      <c r="AM507" s="98" t="str">
        <f t="shared" si="287"/>
        <v>1+2633.74441808864i</v>
      </c>
      <c r="AN507" s="98">
        <f t="shared" si="303"/>
        <v>2633.744607932415</v>
      </c>
      <c r="AO507" s="98">
        <f t="shared" si="304"/>
        <v>1.5704166392500165</v>
      </c>
      <c r="AP507" s="168" t="str">
        <f t="shared" si="305"/>
        <v>-0.0147153221937839+0.071058993229869i</v>
      </c>
      <c r="AQ507" s="98">
        <f t="shared" si="306"/>
        <v>-22.785256418729194</v>
      </c>
      <c r="AR507" s="169">
        <f t="shared" si="307"/>
        <v>101.69977743073864</v>
      </c>
      <c r="AS507" s="168" t="str">
        <f t="shared" si="308"/>
        <v>-0.0000212362497076196+0.0000112261029146524i</v>
      </c>
      <c r="AT507" s="190">
        <f t="shared" si="309"/>
        <v>-92.388214107594592</v>
      </c>
      <c r="AU507" s="169">
        <f t="shared" si="310"/>
        <v>152.13775957121959</v>
      </c>
      <c r="AV507" s="225"/>
      <c r="AX507">
        <f t="shared" si="311"/>
        <v>0</v>
      </c>
      <c r="AY507">
        <f t="shared" si="312"/>
        <v>0</v>
      </c>
    </row>
    <row r="508" spans="14:51" x14ac:dyDescent="0.2">
      <c r="N508" s="170">
        <v>90</v>
      </c>
      <c r="O508" s="199">
        <f t="shared" si="313"/>
        <v>794328.23472428333</v>
      </c>
      <c r="P508" s="189" t="str">
        <f t="shared" si="279"/>
        <v>771.276595744681</v>
      </c>
      <c r="Q508" s="160" t="str">
        <f t="shared" si="280"/>
        <v>1+44119.6576025182i</v>
      </c>
      <c r="R508" s="160">
        <f t="shared" si="288"/>
        <v>44119.657613851014</v>
      </c>
      <c r="S508" s="160">
        <f t="shared" si="289"/>
        <v>1.5707736611611594</v>
      </c>
      <c r="T508" s="160" t="str">
        <f t="shared" si="281"/>
        <v>1+0.830487672517988i</v>
      </c>
      <c r="U508" s="160">
        <f t="shared" si="290"/>
        <v>1.2998883699011792</v>
      </c>
      <c r="V508" s="160">
        <f t="shared" si="291"/>
        <v>0.69305651776730426</v>
      </c>
      <c r="W508" s="98" t="str">
        <f t="shared" si="282"/>
        <v>1-3.39381981557831i</v>
      </c>
      <c r="X508" s="160">
        <f t="shared" si="292"/>
        <v>3.5380804033560334</v>
      </c>
      <c r="Y508" s="160">
        <f t="shared" si="293"/>
        <v>-1.2842520076435866</v>
      </c>
      <c r="Z508" s="98" t="str">
        <f t="shared" si="283"/>
        <v>-251.382937792079-23.2368468897694i</v>
      </c>
      <c r="AA508" s="160">
        <f t="shared" si="294"/>
        <v>252.45461466638878</v>
      </c>
      <c r="AB508" s="160">
        <f t="shared" si="295"/>
        <v>-3.0494185287171454</v>
      </c>
      <c r="AC508" s="171" t="str">
        <f t="shared" si="296"/>
        <v>0.000201079377721728+0.000246961928257917i</v>
      </c>
      <c r="AD508" s="190">
        <f t="shared" si="297"/>
        <v>-69.938630758830556</v>
      </c>
      <c r="AE508" s="169">
        <f t="shared" si="298"/>
        <v>50.847103872558428</v>
      </c>
      <c r="AF508" s="98" t="str">
        <f t="shared" si="284"/>
        <v>-0.0000119284294234592</v>
      </c>
      <c r="AG508" s="98" t="str">
        <f t="shared" si="285"/>
        <v>0.0900011069622407i</v>
      </c>
      <c r="AH508" s="98">
        <f t="shared" si="299"/>
        <v>9.0001106962240701E-2</v>
      </c>
      <c r="AI508" s="98">
        <f t="shared" si="300"/>
        <v>1.5707963267948966</v>
      </c>
      <c r="AJ508" s="98" t="str">
        <f t="shared" si="286"/>
        <v>1+4.93196045106893i</v>
      </c>
      <c r="AK508" s="98">
        <f t="shared" si="301"/>
        <v>5.0323189377172861</v>
      </c>
      <c r="AL508" s="98">
        <f t="shared" si="302"/>
        <v>1.3707491724863772</v>
      </c>
      <c r="AM508" s="98" t="str">
        <f t="shared" si="287"/>
        <v>1+2695.09220648866i</v>
      </c>
      <c r="AN508" s="98">
        <f t="shared" si="303"/>
        <v>2695.0923920110631</v>
      </c>
      <c r="AO508" s="98">
        <f t="shared" si="304"/>
        <v>1.5704252819929039</v>
      </c>
      <c r="AP508" s="168" t="str">
        <f t="shared" si="305"/>
        <v>-0.0140791763554538+0.069570477443285i</v>
      </c>
      <c r="AQ508" s="98">
        <f t="shared" si="306"/>
        <v>-22.977181712320874</v>
      </c>
      <c r="AR508" s="169">
        <f t="shared" si="307"/>
        <v>101.44059834431603</v>
      </c>
      <c r="AS508" s="168" t="str">
        <f t="shared" si="308"/>
        <v>-0.0000200122912796067+0.0000105121677710731i</v>
      </c>
      <c r="AT508" s="190">
        <f t="shared" si="309"/>
        <v>-92.91581247115144</v>
      </c>
      <c r="AU508" s="169">
        <f t="shared" si="310"/>
        <v>152.28770221687452</v>
      </c>
      <c r="AV508" s="225"/>
      <c r="AX508">
        <f t="shared" si="311"/>
        <v>0</v>
      </c>
      <c r="AY508">
        <f t="shared" si="312"/>
        <v>0</v>
      </c>
    </row>
    <row r="509" spans="14:51" x14ac:dyDescent="0.2">
      <c r="N509" s="170">
        <v>91</v>
      </c>
      <c r="O509" s="199">
        <f t="shared" si="313"/>
        <v>812830.51616410096</v>
      </c>
      <c r="P509" s="189" t="str">
        <f t="shared" si="279"/>
        <v>771.276595744681</v>
      </c>
      <c r="Q509" s="160" t="str">
        <f t="shared" si="280"/>
        <v>1+45147.3364464831i</v>
      </c>
      <c r="R509" s="160">
        <f t="shared" si="288"/>
        <v>45147.336457557954</v>
      </c>
      <c r="S509" s="160">
        <f t="shared" si="289"/>
        <v>1.5707741770939718</v>
      </c>
      <c r="T509" s="160" t="str">
        <f t="shared" si="281"/>
        <v>1+0.84983221546321i</v>
      </c>
      <c r="U509" s="160">
        <f t="shared" si="290"/>
        <v>1.3123318156773871</v>
      </c>
      <c r="V509" s="160">
        <f t="shared" si="291"/>
        <v>0.70439664860833051</v>
      </c>
      <c r="W509" s="98" t="str">
        <f t="shared" si="282"/>
        <v>1-3.47287203434484i</v>
      </c>
      <c r="X509" s="160">
        <f t="shared" si="292"/>
        <v>3.6139784402974056</v>
      </c>
      <c r="Y509" s="160">
        <f t="shared" si="293"/>
        <v>-1.2904344998140875</v>
      </c>
      <c r="Z509" s="98" t="str">
        <f t="shared" si="283"/>
        <v>-263.27737920304-23.7781025850018i</v>
      </c>
      <c r="AA509" s="160">
        <f t="shared" si="294"/>
        <v>264.34896739454877</v>
      </c>
      <c r="AB509" s="160">
        <f t="shared" si="295"/>
        <v>-3.0515212427719249</v>
      </c>
      <c r="AC509" s="171" t="str">
        <f t="shared" si="296"/>
        <v>0.000191790664981562+0.000239077848655453i</v>
      </c>
      <c r="AD509" s="190">
        <f t="shared" si="297"/>
        <v>-70.271407671716716</v>
      </c>
      <c r="AE509" s="169">
        <f t="shared" si="298"/>
        <v>51.26306188072202</v>
      </c>
      <c r="AF509" s="98" t="str">
        <f t="shared" si="284"/>
        <v>-0.0000119284294234592</v>
      </c>
      <c r="AG509" s="98" t="str">
        <f t="shared" si="285"/>
        <v>0.0920975020519715i</v>
      </c>
      <c r="AH509" s="98">
        <f t="shared" si="299"/>
        <v>9.2097502051971494E-2</v>
      </c>
      <c r="AI509" s="98">
        <f t="shared" si="300"/>
        <v>1.5707963267948966</v>
      </c>
      <c r="AJ509" s="98" t="str">
        <f t="shared" si="286"/>
        <v>1+5.04684056778466i</v>
      </c>
      <c r="AK509" s="98">
        <f t="shared" si="301"/>
        <v>5.1449586700611105</v>
      </c>
      <c r="AL509" s="98">
        <f t="shared" si="302"/>
        <v>1.375186242124024</v>
      </c>
      <c r="AM509" s="98" t="str">
        <f t="shared" si="287"/>
        <v>1+2757.86896845032i</v>
      </c>
      <c r="AN509" s="98">
        <f t="shared" si="303"/>
        <v>2757.8691497497184</v>
      </c>
      <c r="AO509" s="98">
        <f t="shared" si="304"/>
        <v>1.5704337280029983</v>
      </c>
      <c r="AP509" s="168" t="str">
        <f t="shared" si="305"/>
        <v>-0.0134694475695147+0.0681076739955519i</v>
      </c>
      <c r="AQ509" s="98">
        <f t="shared" si="306"/>
        <v>-23.169456387428241</v>
      </c>
      <c r="AR509" s="169">
        <f t="shared" si="307"/>
        <v>101.18685690140531</v>
      </c>
      <c r="AS509" s="168" t="str">
        <f t="shared" si="308"/>
        <v>-0.000018866350482075+9.84216953845734E-06i</v>
      </c>
      <c r="AT509" s="190">
        <f t="shared" si="309"/>
        <v>-93.440864059144957</v>
      </c>
      <c r="AU509" s="169">
        <f t="shared" si="310"/>
        <v>152.44991878212736</v>
      </c>
      <c r="AV509" s="225"/>
      <c r="AX509">
        <f t="shared" si="311"/>
        <v>0</v>
      </c>
      <c r="AY509">
        <f t="shared" si="312"/>
        <v>0</v>
      </c>
    </row>
    <row r="510" spans="14:51" x14ac:dyDescent="0.2">
      <c r="N510" s="170">
        <v>92</v>
      </c>
      <c r="O510" s="199">
        <f t="shared" si="313"/>
        <v>831763.77110267128</v>
      </c>
      <c r="P510" s="189" t="str">
        <f t="shared" si="279"/>
        <v>771.276595744681</v>
      </c>
      <c r="Q510" s="160" t="str">
        <f t="shared" si="280"/>
        <v>1+46198.9530058276i</v>
      </c>
      <c r="R510" s="160">
        <f t="shared" si="288"/>
        <v>46198.953016650346</v>
      </c>
      <c r="S510" s="160">
        <f t="shared" si="289"/>
        <v>1.5707746812827199</v>
      </c>
      <c r="T510" s="160" t="str">
        <f t="shared" si="281"/>
        <v>1+0.869627350697929i</v>
      </c>
      <c r="U510" s="160">
        <f t="shared" si="290"/>
        <v>1.3252364804373213</v>
      </c>
      <c r="V510" s="160">
        <f t="shared" si="291"/>
        <v>0.71577896911774908</v>
      </c>
      <c r="W510" s="98" t="str">
        <f t="shared" si="282"/>
        <v>1-3.55376561583288i</v>
      </c>
      <c r="X510" s="160">
        <f t="shared" si="292"/>
        <v>3.6917814198942018</v>
      </c>
      <c r="Y510" s="160">
        <f t="shared" si="293"/>
        <v>-1.2964976061852174</v>
      </c>
      <c r="Z510" s="98" t="str">
        <f t="shared" si="283"/>
        <v>-275.732388367576-24.3319657449652i</v>
      </c>
      <c r="AA510" s="160">
        <f t="shared" si="294"/>
        <v>276.80389186552617</v>
      </c>
      <c r="AB510" s="160">
        <f t="shared" si="295"/>
        <v>-3.0535757890372115</v>
      </c>
      <c r="AC510" s="171" t="str">
        <f t="shared" si="296"/>
        <v>0.000182940989793843+0.000231523135155573i</v>
      </c>
      <c r="AD510" s="190">
        <f t="shared" si="297"/>
        <v>-70.601296207087046</v>
      </c>
      <c r="AE510" s="169">
        <f t="shared" si="298"/>
        <v>51.685518343100291</v>
      </c>
      <c r="AF510" s="98" t="str">
        <f t="shared" si="284"/>
        <v>-0.0000119284294234592</v>
      </c>
      <c r="AG510" s="98" t="str">
        <f t="shared" si="285"/>
        <v>0.0942427284563446i</v>
      </c>
      <c r="AH510" s="98">
        <f t="shared" si="299"/>
        <v>9.4242728456344599E-2</v>
      </c>
      <c r="AI510" s="98">
        <f t="shared" si="300"/>
        <v>1.5707963267948966</v>
      </c>
      <c r="AJ510" s="98" t="str">
        <f t="shared" si="286"/>
        <v>1+5.16439658617225i</v>
      </c>
      <c r="AK510" s="98">
        <f t="shared" si="301"/>
        <v>5.2603224330137399</v>
      </c>
      <c r="AL510" s="98">
        <f t="shared" si="302"/>
        <v>1.379529863664908</v>
      </c>
      <c r="AM510" s="98" t="str">
        <f t="shared" si="287"/>
        <v>1+2822.10798904376i</v>
      </c>
      <c r="AN510" s="98">
        <f t="shared" si="303"/>
        <v>2822.1081662162801</v>
      </c>
      <c r="AO510" s="98">
        <f t="shared" si="304"/>
        <v>1.5704419817584809</v>
      </c>
      <c r="AP510" s="168" t="str">
        <f t="shared" si="305"/>
        <v>-0.0128851308886136+0.0666704973241227i</v>
      </c>
      <c r="AQ510" s="98">
        <f t="shared" si="306"/>
        <v>-23.362065909007455</v>
      </c>
      <c r="AR510" s="169">
        <f t="shared" si="307"/>
        <v>100.93845862466492</v>
      </c>
      <c r="AS510" s="168" t="str">
        <f t="shared" si="308"/>
        <v>-0.0000177929811612483+9.21356087030103E-06i</v>
      </c>
      <c r="AT510" s="190">
        <f t="shared" si="309"/>
        <v>-93.963362116094515</v>
      </c>
      <c r="AU510" s="169">
        <f t="shared" si="310"/>
        <v>152.62397696776517</v>
      </c>
      <c r="AV510" s="225"/>
      <c r="AX510">
        <f t="shared" si="311"/>
        <v>0</v>
      </c>
      <c r="AY510">
        <f t="shared" si="312"/>
        <v>0</v>
      </c>
    </row>
    <row r="511" spans="14:51" x14ac:dyDescent="0.2">
      <c r="N511" s="170">
        <v>93</v>
      </c>
      <c r="O511" s="199">
        <f t="shared" si="313"/>
        <v>851138.03820237669</v>
      </c>
      <c r="P511" s="189" t="str">
        <f t="shared" si="279"/>
        <v>771.276595744681</v>
      </c>
      <c r="Q511" s="160" t="str">
        <f t="shared" si="280"/>
        <v>1+47275.0648615712i</v>
      </c>
      <c r="R511" s="160">
        <f t="shared" si="288"/>
        <v>47275.064872147595</v>
      </c>
      <c r="S511" s="160">
        <f t="shared" si="289"/>
        <v>1.5707751739947307</v>
      </c>
      <c r="T511" s="160" t="str">
        <f t="shared" si="281"/>
        <v>1+0.889883573864868i</v>
      </c>
      <c r="U511" s="160">
        <f t="shared" si="290"/>
        <v>1.3386159923721628</v>
      </c>
      <c r="V511" s="160">
        <f t="shared" si="291"/>
        <v>0.72719771792408328</v>
      </c>
      <c r="W511" s="98" t="str">
        <f t="shared" si="282"/>
        <v>1-3.63654345089008i</v>
      </c>
      <c r="X511" s="160">
        <f t="shared" si="292"/>
        <v>3.7715312898359379</v>
      </c>
      <c r="Y511" s="160">
        <f t="shared" si="293"/>
        <v>-1.3024427577004358</v>
      </c>
      <c r="Z511" s="98" t="str">
        <f t="shared" si="283"/>
        <v>-288.774384029997-24.8987300352383i</v>
      </c>
      <c r="AA511" s="160">
        <f t="shared" si="294"/>
        <v>289.84580664427745</v>
      </c>
      <c r="AB511" s="160">
        <f t="shared" si="295"/>
        <v>-3.0555832841200217</v>
      </c>
      <c r="AC511" s="171" t="str">
        <f t="shared" si="296"/>
        <v>0.000174508749369697+0.000224280406338892i</v>
      </c>
      <c r="AD511" s="190">
        <f t="shared" si="297"/>
        <v>-70.928305555443117</v>
      </c>
      <c r="AE511" s="169">
        <f t="shared" si="298"/>
        <v>52.114125131955078</v>
      </c>
      <c r="AF511" s="98" t="str">
        <f t="shared" si="284"/>
        <v>-0.0000119284294234592</v>
      </c>
      <c r="AG511" s="98" t="str">
        <f t="shared" si="285"/>
        <v>0.0964379236027954i</v>
      </c>
      <c r="AH511" s="98">
        <f t="shared" si="299"/>
        <v>9.6437923602795406E-2</v>
      </c>
      <c r="AI511" s="98">
        <f t="shared" si="300"/>
        <v>1.5707963267948966</v>
      </c>
      <c r="AJ511" s="98" t="str">
        <f t="shared" si="286"/>
        <v>1+5.28469083598871i</v>
      </c>
      <c r="AK511" s="98">
        <f t="shared" si="301"/>
        <v>5.3784716446201566</v>
      </c>
      <c r="AL511" s="98">
        <f t="shared" si="302"/>
        <v>1.3837816842293826</v>
      </c>
      <c r="AM511" s="98" t="str">
        <f t="shared" si="287"/>
        <v>1+2887.84332864801i</v>
      </c>
      <c r="AN511" s="98">
        <f t="shared" si="303"/>
        <v>2887.8435017875913</v>
      </c>
      <c r="AO511" s="98">
        <f t="shared" si="304"/>
        <v>1.570450047635598</v>
      </c>
      <c r="AP511" s="168" t="str">
        <f t="shared" si="305"/>
        <v>-0.0123252517333873+0.0652588351215837i</v>
      </c>
      <c r="AQ511" s="98">
        <f t="shared" si="306"/>
        <v>-23.554996297201573</v>
      </c>
      <c r="AR511" s="169">
        <f t="shared" si="307"/>
        <v>100.69530939179037</v>
      </c>
      <c r="AS511" s="168" t="str">
        <f t="shared" si="308"/>
        <v>-0.0000167871423239317+8.62392523539759E-06i</v>
      </c>
      <c r="AT511" s="190">
        <f t="shared" si="309"/>
        <v>-94.483301852644672</v>
      </c>
      <c r="AU511" s="169">
        <f t="shared" si="310"/>
        <v>152.80943452374552</v>
      </c>
      <c r="AV511" s="225"/>
      <c r="AX511">
        <f t="shared" si="311"/>
        <v>0</v>
      </c>
      <c r="AY511">
        <f t="shared" si="312"/>
        <v>0</v>
      </c>
    </row>
    <row r="512" spans="14:51" x14ac:dyDescent="0.2">
      <c r="N512" s="170">
        <v>94</v>
      </c>
      <c r="O512" s="199">
        <f t="shared" si="313"/>
        <v>870963.58995608077</v>
      </c>
      <c r="P512" s="189" t="str">
        <f t="shared" si="279"/>
        <v>771.276595744681</v>
      </c>
      <c r="Q512" s="160" t="str">
        <f t="shared" si="280"/>
        <v>1+48376.242582464i</v>
      </c>
      <c r="R512" s="160">
        <f t="shared" si="288"/>
        <v>48376.242592799652</v>
      </c>
      <c r="S512" s="160">
        <f t="shared" si="289"/>
        <v>1.5707756554912469</v>
      </c>
      <c r="T512" s="160" t="str">
        <f t="shared" si="281"/>
        <v>1+0.910611625081672i</v>
      </c>
      <c r="U512" s="160">
        <f t="shared" si="290"/>
        <v>1.3524842075728218</v>
      </c>
      <c r="V512" s="160">
        <f t="shared" si="291"/>
        <v>0.73864703939632792</v>
      </c>
      <c r="W512" s="98" t="str">
        <f t="shared" si="282"/>
        <v>1-3.72124942942029i</v>
      </c>
      <c r="X512" s="160">
        <f t="shared" si="292"/>
        <v>3.8532709891676236</v>
      </c>
      <c r="Y512" s="160">
        <f t="shared" si="293"/>
        <v>-1.3082714248465162</v>
      </c>
      <c r="Z512" s="98" t="str">
        <f t="shared" si="283"/>
        <v>-302.431030011674-25.4786959617496i</v>
      </c>
      <c r="AA512" s="160">
        <f t="shared" si="294"/>
        <v>303.50237538087464</v>
      </c>
      <c r="AB512" s="160">
        <f t="shared" si="295"/>
        <v>-3.0575448178777074</v>
      </c>
      <c r="AC512" s="171" t="str">
        <f t="shared" si="296"/>
        <v>0.00016647347498037+0.000217333322937771i</v>
      </c>
      <c r="AD512" s="190">
        <f t="shared" si="297"/>
        <v>-71.252446389874621</v>
      </c>
      <c r="AE512" s="169">
        <f t="shared" si="298"/>
        <v>52.548524920915739</v>
      </c>
      <c r="AF512" s="98" t="str">
        <f t="shared" si="284"/>
        <v>-0.0000119284294234592</v>
      </c>
      <c r="AG512" s="98" t="str">
        <f t="shared" si="285"/>
        <v>0.0986842514128473i</v>
      </c>
      <c r="AH512" s="98">
        <f t="shared" si="299"/>
        <v>9.8684251412847299E-2</v>
      </c>
      <c r="AI512" s="98">
        <f t="shared" si="300"/>
        <v>1.5707963267948966</v>
      </c>
      <c r="AJ512" s="98" t="str">
        <f t="shared" si="286"/>
        <v>1+5.40778709883757i</v>
      </c>
      <c r="AK512" s="98">
        <f t="shared" si="301"/>
        <v>5.499469184053499</v>
      </c>
      <c r="AL512" s="98">
        <f t="shared" si="302"/>
        <v>1.3879433429767969</v>
      </c>
      <c r="AM512" s="98" t="str">
        <f t="shared" si="287"/>
        <v>1+2955.10984101024i</v>
      </c>
      <c r="AN512" s="98">
        <f t="shared" si="303"/>
        <v>2955.1100102086834</v>
      </c>
      <c r="AO512" s="98">
        <f t="shared" si="304"/>
        <v>1.57045792991098</v>
      </c>
      <c r="AP512" s="168" t="str">
        <f t="shared" si="305"/>
        <v>-0.0117888656724612+0.0638725503948751i</v>
      </c>
      <c r="AQ512" s="98">
        <f t="shared" si="306"/>
        <v>-23.74823411036401</v>
      </c>
      <c r="AR512" s="169">
        <f t="shared" si="307"/>
        <v>100.45731553090231</v>
      </c>
      <c r="AS512" s="168" t="str">
        <f t="shared" si="308"/>
        <v>-0.0000158441670563999+8.07097206983065E-06i</v>
      </c>
      <c r="AT512" s="190">
        <f t="shared" si="309"/>
        <v>-95.000680500238616</v>
      </c>
      <c r="AU512" s="169">
        <f t="shared" si="310"/>
        <v>153.00584045181807</v>
      </c>
      <c r="AV512" s="225"/>
      <c r="AX512">
        <f t="shared" si="311"/>
        <v>0</v>
      </c>
      <c r="AY512">
        <f t="shared" si="312"/>
        <v>0</v>
      </c>
    </row>
    <row r="513" spans="14:51" x14ac:dyDescent="0.2">
      <c r="N513" s="170">
        <v>95</v>
      </c>
      <c r="O513" s="199">
        <f t="shared" si="313"/>
        <v>891250.93813374708</v>
      </c>
      <c r="P513" s="189" t="str">
        <f t="shared" si="279"/>
        <v>771.276595744681</v>
      </c>
      <c r="Q513" s="160" t="str">
        <f t="shared" si="280"/>
        <v>1+49503.0700275093i</v>
      </c>
      <c r="R513" s="160">
        <f t="shared" si="288"/>
        <v>49503.070037609679</v>
      </c>
      <c r="S513" s="160">
        <f t="shared" si="289"/>
        <v>1.5707761260275643</v>
      </c>
      <c r="T513" s="160" t="str">
        <f t="shared" si="281"/>
        <v>1+0.931822494635466i</v>
      </c>
      <c r="U513" s="160">
        <f t="shared" si="290"/>
        <v>1.3668552086847614</v>
      </c>
      <c r="V513" s="160">
        <f t="shared" si="291"/>
        <v>0.75012099823523715</v>
      </c>
      <c r="W513" s="98" t="str">
        <f t="shared" si="282"/>
        <v>1-3.80792846365454i</v>
      </c>
      <c r="X513" s="160">
        <f t="shared" si="292"/>
        <v>3.937044473245181</v>
      </c>
      <c r="Y513" s="160">
        <f t="shared" si="293"/>
        <v>-1.3139851132638358</v>
      </c>
      <c r="Z513" s="98" t="str">
        <f t="shared" si="283"/>
        <v>-316.731293889714-26.0721710301104i</v>
      </c>
      <c r="AA513" s="160">
        <f t="shared" si="294"/>
        <v>317.80256548881994</v>
      </c>
      <c r="AB513" s="160">
        <f t="shared" si="295"/>
        <v>-3.0594614541142722</v>
      </c>
      <c r="AC513" s="171" t="str">
        <f t="shared" si="296"/>
        <v>0.000158815766731125+0.000210666522406248i</v>
      </c>
      <c r="AD513" s="190">
        <f t="shared" si="297"/>
        <v>-71.573730930431537</v>
      </c>
      <c r="AE513" s="169">
        <f t="shared" si="298"/>
        <v>52.988352312398746</v>
      </c>
      <c r="AF513" s="98" t="str">
        <f t="shared" si="284"/>
        <v>-0.0000119284294234592</v>
      </c>
      <c r="AG513" s="98" t="str">
        <f t="shared" si="285"/>
        <v>0.100982902919239i</v>
      </c>
      <c r="AH513" s="98">
        <f t="shared" si="299"/>
        <v>0.100982902919239</v>
      </c>
      <c r="AI513" s="98">
        <f t="shared" si="300"/>
        <v>1.5707963267948966</v>
      </c>
      <c r="AJ513" s="98" t="str">
        <f t="shared" si="286"/>
        <v>1+5.53375064198676i</v>
      </c>
      <c r="AK513" s="98">
        <f t="shared" si="301"/>
        <v>5.623379425904754</v>
      </c>
      <c r="AL513" s="98">
        <f t="shared" si="302"/>
        <v>1.392016469572833</v>
      </c>
      <c r="AM513" s="98" t="str">
        <f t="shared" si="287"/>
        <v>1+3023.94319172567i</v>
      </c>
      <c r="AN513" s="98">
        <f t="shared" si="303"/>
        <v>3023.9433570726874</v>
      </c>
      <c r="AO513" s="98">
        <f t="shared" si="304"/>
        <v>1.5704656327639097</v>
      </c>
      <c r="AP513" s="168" t="str">
        <f t="shared" si="305"/>
        <v>-0.0112750581305146+0.0625114834254636i</v>
      </c>
      <c r="AQ513" s="98">
        <f t="shared" si="306"/>
        <v>-23.941766428226359</v>
      </c>
      <c r="AR513" s="169">
        <f t="shared" si="307"/>
        <v>100.22438390848998</v>
      </c>
      <c r="AS513" s="168" t="str">
        <f t="shared" si="308"/>
        <v>-0.0000149597338256339+7.55253188343121E-06i</v>
      </c>
      <c r="AT513" s="190">
        <f t="shared" si="309"/>
        <v>-95.51549735865791</v>
      </c>
      <c r="AU513" s="169">
        <f t="shared" si="310"/>
        <v>153.2127362208887</v>
      </c>
      <c r="AV513" s="225"/>
      <c r="AX513">
        <f t="shared" si="311"/>
        <v>0</v>
      </c>
      <c r="AY513">
        <f t="shared" si="312"/>
        <v>0</v>
      </c>
    </row>
    <row r="514" spans="14:51" x14ac:dyDescent="0.2">
      <c r="N514" s="170">
        <v>96</v>
      </c>
      <c r="O514" s="199">
        <f t="shared" si="313"/>
        <v>912010.83935591124</v>
      </c>
      <c r="P514" s="189" t="str">
        <f t="shared" si="279"/>
        <v>771.276595744681</v>
      </c>
      <c r="Q514" s="160" t="str">
        <f t="shared" si="280"/>
        <v>1+50656.1446555336i</v>
      </c>
      <c r="R514" s="160">
        <f t="shared" si="288"/>
        <v>50656.14466540407</v>
      </c>
      <c r="S514" s="160">
        <f t="shared" si="289"/>
        <v>1.5707765858531675</v>
      </c>
      <c r="T514" s="160" t="str">
        <f t="shared" si="281"/>
        <v>1+0.953527428810043i</v>
      </c>
      <c r="U514" s="160">
        <f t="shared" si="290"/>
        <v>1.3817433037627112</v>
      </c>
      <c r="V514" s="160">
        <f t="shared" si="291"/>
        <v>0.76161359456680544</v>
      </c>
      <c r="W514" s="98" t="str">
        <f t="shared" si="282"/>
        <v>1-3.89662651196411i</v>
      </c>
      <c r="X514" s="160">
        <f t="shared" si="292"/>
        <v>4.022896739134822</v>
      </c>
      <c r="Y514" s="160">
        <f t="shared" si="293"/>
        <v>-1.3195853595687574</v>
      </c>
      <c r="Z514" s="98" t="str">
        <f t="shared" si="283"/>
        <v>-331.70550844107-26.6794699086572i</v>
      </c>
      <c r="AA514" s="160">
        <f t="shared" si="294"/>
        <v>332.77670958881072</v>
      </c>
      <c r="AB514" s="160">
        <f t="shared" si="295"/>
        <v>-3.0613342312551732</v>
      </c>
      <c r="AC514" s="171" t="str">
        <f t="shared" si="296"/>
        <v>0.000151517232512394+0.000204265557605336i</v>
      </c>
      <c r="AD514" s="190">
        <f t="shared" si="297"/>
        <v>-71.892173000585103</v>
      </c>
      <c r="AE514" s="169">
        <f t="shared" si="298"/>
        <v>53.433234980415428</v>
      </c>
      <c r="AF514" s="98" t="str">
        <f t="shared" si="284"/>
        <v>-0.0000119284294234592</v>
      </c>
      <c r="AG514" s="98" t="str">
        <f t="shared" si="285"/>
        <v>0.103335096897425i</v>
      </c>
      <c r="AH514" s="98">
        <f t="shared" si="299"/>
        <v>0.103335096897425</v>
      </c>
      <c r="AI514" s="98">
        <f t="shared" si="300"/>
        <v>1.5707963267948966</v>
      </c>
      <c r="AJ514" s="98" t="str">
        <f t="shared" si="286"/>
        <v>1+5.66264825297418i</v>
      </c>
      <c r="AK514" s="98">
        <f t="shared" si="301"/>
        <v>5.7502682752121688</v>
      </c>
      <c r="AL514" s="98">
        <f t="shared" si="302"/>
        <v>1.3960026827803325</v>
      </c>
      <c r="AM514" s="98" t="str">
        <f t="shared" si="287"/>
        <v>1+3094.37987714798i</v>
      </c>
      <c r="AN514" s="98">
        <f t="shared" si="303"/>
        <v>3094.3800387312394</v>
      </c>
      <c r="AO514" s="98">
        <f t="shared" si="304"/>
        <v>1.570473160278538</v>
      </c>
      <c r="AP514" s="168" t="str">
        <f t="shared" si="305"/>
        <v>-0.0107829440326627+0.0611754536321604i</v>
      </c>
      <c r="AQ514" s="98">
        <f t="shared" si="306"/>
        <v>-24.135580835247783</v>
      </c>
      <c r="AR514" s="169">
        <f t="shared" si="307"/>
        <v>99.996422010279389</v>
      </c>
      <c r="AS514" s="168" t="str">
        <f t="shared" si="308"/>
        <v>-0.0000141298399860977+7.06655135657625E-06i</v>
      </c>
      <c r="AT514" s="190">
        <f t="shared" si="309"/>
        <v>-96.027753835832897</v>
      </c>
      <c r="AU514" s="169">
        <f t="shared" si="310"/>
        <v>153.42965699069478</v>
      </c>
      <c r="AV514" s="225"/>
      <c r="AX514">
        <f t="shared" si="311"/>
        <v>0</v>
      </c>
      <c r="AY514">
        <f t="shared" si="312"/>
        <v>0</v>
      </c>
    </row>
    <row r="515" spans="14:51" x14ac:dyDescent="0.2">
      <c r="N515" s="170">
        <v>97</v>
      </c>
      <c r="O515" s="199">
        <f t="shared" si="313"/>
        <v>933254.30079699249</v>
      </c>
      <c r="P515" s="189" t="str">
        <f t="shared" si="279"/>
        <v>771.276595744681</v>
      </c>
      <c r="Q515" s="160" t="str">
        <f t="shared" si="280"/>
        <v>1+51836.0778419678i</v>
      </c>
      <c r="R515" s="160">
        <f t="shared" si="288"/>
        <v>51836.077851613591</v>
      </c>
      <c r="S515" s="160">
        <f t="shared" si="289"/>
        <v>1.570777035211862</v>
      </c>
      <c r="T515" s="160" t="str">
        <f t="shared" si="281"/>
        <v>1+0.975737935848803i</v>
      </c>
      <c r="U515" s="160">
        <f t="shared" si="290"/>
        <v>1.3971630253676492</v>
      </c>
      <c r="V515" s="160">
        <f t="shared" si="291"/>
        <v>0.7731187794462947</v>
      </c>
      <c r="W515" s="98" t="str">
        <f t="shared" si="282"/>
        <v>1-3.98739060322827i</v>
      </c>
      <c r="X515" s="160">
        <f t="shared" si="292"/>
        <v>4.1108738514716192</v>
      </c>
      <c r="Y515" s="160">
        <f t="shared" si="293"/>
        <v>-1.3250737273858817</v>
      </c>
      <c r="Z515" s="98" t="str">
        <f t="shared" si="283"/>
        <v>-347.385435982434-27.3009145952942i</v>
      </c>
      <c r="AA515" s="160">
        <f t="shared" si="294"/>
        <v>348.45656984830305</v>
      </c>
      <c r="AB515" s="160">
        <f t="shared" si="295"/>
        <v>-3.0631641630014479</v>
      </c>
      <c r="AC515" s="171" t="str">
        <f t="shared" si="296"/>
        <v>0.000144560430831798+0.000198116839352033i</v>
      </c>
      <c r="AD515" s="190">
        <f t="shared" si="297"/>
        <v>-72.207788075227398</v>
      </c>
      <c r="AE515" s="169">
        <f t="shared" si="298"/>
        <v>53.882794823692919</v>
      </c>
      <c r="AF515" s="98" t="str">
        <f t="shared" si="284"/>
        <v>-0.0000119284294234592</v>
      </c>
      <c r="AG515" s="98" t="str">
        <f t="shared" si="285"/>
        <v>0.105742080511788i</v>
      </c>
      <c r="AH515" s="98">
        <f t="shared" si="299"/>
        <v>0.105742080511788</v>
      </c>
      <c r="AI515" s="98">
        <f t="shared" si="300"/>
        <v>1.5707963267948966</v>
      </c>
      <c r="AJ515" s="98" t="str">
        <f t="shared" si="286"/>
        <v>1+5.79454827501933i</v>
      </c>
      <c r="AK515" s="98">
        <f t="shared" si="301"/>
        <v>5.8802032032515239</v>
      </c>
      <c r="AL515" s="98">
        <f t="shared" si="302"/>
        <v>1.3999035891673828</v>
      </c>
      <c r="AM515" s="98" t="str">
        <f t="shared" si="287"/>
        <v>1+3166.45724374011i</v>
      </c>
      <c r="AN515" s="98">
        <f t="shared" si="303"/>
        <v>3166.4574016452857</v>
      </c>
      <c r="AO515" s="98">
        <f t="shared" si="304"/>
        <v>1.5704805164460496</v>
      </c>
      <c r="AP515" s="168" t="str">
        <f t="shared" si="305"/>
        <v>-0.0103116673928223+0.0598642613386008i</v>
      </c>
      <c r="AQ515" s="98">
        <f t="shared" si="306"/>
        <v>-24.329665404180368</v>
      </c>
      <c r="AR515" s="169">
        <f t="shared" si="307"/>
        <v>99.773338015377519</v>
      </c>
      <c r="AS515" s="168" t="str">
        <f t="shared" si="308"/>
        <v>-0.0000133507773274483+6.61108845822011E-06i</v>
      </c>
      <c r="AT515" s="190">
        <f t="shared" si="309"/>
        <v>-96.537453479407759</v>
      </c>
      <c r="AU515" s="169">
        <f t="shared" si="310"/>
        <v>153.65613283907047</v>
      </c>
      <c r="AV515" s="225"/>
      <c r="AX515">
        <f t="shared" si="311"/>
        <v>0</v>
      </c>
      <c r="AY515">
        <f t="shared" si="312"/>
        <v>0</v>
      </c>
    </row>
    <row r="516" spans="14:51" x14ac:dyDescent="0.2">
      <c r="N516" s="170">
        <v>98</v>
      </c>
      <c r="O516" s="199">
        <f t="shared" si="313"/>
        <v>954992.58602143743</v>
      </c>
      <c r="P516" s="189" t="str">
        <f t="shared" si="279"/>
        <v>771.276595744681</v>
      </c>
      <c r="Q516" s="160" t="str">
        <f t="shared" si="280"/>
        <v>1+53043.4952030053i</v>
      </c>
      <c r="R516" s="160">
        <f t="shared" si="288"/>
        <v>53043.495212431524</v>
      </c>
      <c r="S516" s="160">
        <f t="shared" si="289"/>
        <v>1.5707774743419038</v>
      </c>
      <c r="T516" s="160" t="str">
        <f t="shared" si="281"/>
        <v>1+0.998465792056568i</v>
      </c>
      <c r="U516" s="160">
        <f t="shared" si="290"/>
        <v>1.4131291299478437</v>
      </c>
      <c r="V516" s="160">
        <f t="shared" si="291"/>
        <v>0.78463047067629499</v>
      </c>
      <c r="W516" s="98" t="str">
        <f t="shared" si="282"/>
        <v>1-4.08026886176962i</v>
      </c>
      <c r="X516" s="160">
        <f t="shared" si="292"/>
        <v>4.2010229687930476</v>
      </c>
      <c r="Y516" s="160">
        <f t="shared" si="293"/>
        <v>-1.330451803587116</v>
      </c>
      <c r="Z516" s="98" t="str">
        <f t="shared" si="283"/>
        <v>-363.804335742365-27.9368345882199i</v>
      </c>
      <c r="AA516" s="160">
        <f t="shared" si="294"/>
        <v>364.87540535332477</v>
      </c>
      <c r="AB516" s="160">
        <f t="shared" si="295"/>
        <v>-3.0649522389639894</v>
      </c>
      <c r="AC516" s="171" t="str">
        <f t="shared" si="296"/>
        <v>0.000137928817253409+0.000192207582594769i</v>
      </c>
      <c r="AD516" s="190">
        <f t="shared" si="297"/>
        <v>-72.520593319749764</v>
      </c>
      <c r="AE516" s="169">
        <f t="shared" si="298"/>
        <v>54.33664912380371</v>
      </c>
      <c r="AF516" s="98" t="str">
        <f t="shared" si="284"/>
        <v>-0.0000119284294234592</v>
      </c>
      <c r="AG516" s="98" t="str">
        <f t="shared" si="285"/>
        <v>0.1082051299769i</v>
      </c>
      <c r="AH516" s="98">
        <f t="shared" si="299"/>
        <v>0.1082051299769</v>
      </c>
      <c r="AI516" s="98">
        <f t="shared" si="300"/>
        <v>1.5707963267948966</v>
      </c>
      <c r="AJ516" s="98" t="str">
        <f t="shared" si="286"/>
        <v>1+5.92952064325981i</v>
      </c>
      <c r="AK516" s="98">
        <f t="shared" si="301"/>
        <v>6.0132532841087141</v>
      </c>
      <c r="AL516" s="98">
        <f t="shared" si="302"/>
        <v>1.403720781926582</v>
      </c>
      <c r="AM516" s="98" t="str">
        <f t="shared" si="287"/>
        <v>1+3240.21350787588i</v>
      </c>
      <c r="AN516" s="98">
        <f t="shared" si="303"/>
        <v>3240.2136621866953</v>
      </c>
      <c r="AO516" s="98">
        <f t="shared" si="304"/>
        <v>1.5704877051667785</v>
      </c>
      <c r="AP516" s="168" t="str">
        <f t="shared" si="305"/>
        <v>-0.00986040085318848+0.058577689447688i</v>
      </c>
      <c r="AQ516" s="98">
        <f t="shared" si="306"/>
        <v>-24.524008679879024</v>
      </c>
      <c r="AR516" s="169">
        <f t="shared" si="307"/>
        <v>99.555040864045438</v>
      </c>
      <c r="AS516" s="168" t="str">
        <f t="shared" si="308"/>
        <v>-0.000012619109510052+6.18430761155035E-06i</v>
      </c>
      <c r="AT516" s="190">
        <f t="shared" si="309"/>
        <v>-97.044601999628796</v>
      </c>
      <c r="AU516" s="169">
        <f t="shared" si="310"/>
        <v>153.89168998784913</v>
      </c>
      <c r="AV516" s="225"/>
      <c r="AX516">
        <f t="shared" si="311"/>
        <v>0</v>
      </c>
      <c r="AY516">
        <f t="shared" si="312"/>
        <v>0</v>
      </c>
    </row>
    <row r="517" spans="14:51" x14ac:dyDescent="0.2">
      <c r="N517" s="170">
        <v>99</v>
      </c>
      <c r="O517" s="199">
        <f t="shared" si="313"/>
        <v>977237.22095581202</v>
      </c>
      <c r="P517" s="189" t="str">
        <f t="shared" si="279"/>
        <v>771.276595744681</v>
      </c>
      <c r="Q517" s="160" t="str">
        <f t="shared" si="280"/>
        <v>1+54279.0369273131i</v>
      </c>
      <c r="R517" s="160">
        <f t="shared" si="288"/>
        <v>54279.036936524761</v>
      </c>
      <c r="S517" s="160">
        <f t="shared" si="289"/>
        <v>1.5707779034761258</v>
      </c>
      <c r="T517" s="160" t="str">
        <f t="shared" si="281"/>
        <v>1+1.02172304804354i</v>
      </c>
      <c r="U517" s="160">
        <f t="shared" si="290"/>
        <v>1.4296565975448026</v>
      </c>
      <c r="V517" s="160">
        <f t="shared" si="291"/>
        <v>0.79614256883861834</v>
      </c>
      <c r="W517" s="98" t="str">
        <f t="shared" si="282"/>
        <v>1-4.17531053287022i</v>
      </c>
      <c r="X517" s="160">
        <f t="shared" si="292"/>
        <v>4.2933923703636729</v>
      </c>
      <c r="Y517" s="160">
        <f t="shared" si="293"/>
        <v>-1.3357211947337713</v>
      </c>
      <c r="Z517" s="98" t="str">
        <f t="shared" si="283"/>
        <v>-380.997034408576-28.5875670606321i</v>
      </c>
      <c r="AA517" s="160">
        <f t="shared" si="294"/>
        <v>382.0680426554618</v>
      </c>
      <c r="AB517" s="160">
        <f t="shared" si="295"/>
        <v>-3.0666994252787214</v>
      </c>
      <c r="AC517" s="171" t="str">
        <f t="shared" si="296"/>
        <v>0.000131606694191549+0.000186525755991628i</v>
      </c>
      <c r="AD517" s="190">
        <f t="shared" si="297"/>
        <v>-72.830607619836144</v>
      </c>
      <c r="AE517" s="169">
        <f t="shared" si="298"/>
        <v>54.794411702815573</v>
      </c>
      <c r="AF517" s="98" t="str">
        <f t="shared" si="284"/>
        <v>-0.0000119284294234592</v>
      </c>
      <c r="AG517" s="98" t="str">
        <f t="shared" si="285"/>
        <v>0.110725551234189i</v>
      </c>
      <c r="AH517" s="98">
        <f t="shared" si="299"/>
        <v>0.11072555123418901</v>
      </c>
      <c r="AI517" s="98">
        <f t="shared" si="300"/>
        <v>1.5707963267948966</v>
      </c>
      <c r="AJ517" s="98" t="str">
        <f t="shared" si="286"/>
        <v>1+6.06763692183184i</v>
      </c>
      <c r="AK517" s="98">
        <f t="shared" si="301"/>
        <v>6.1494892320563466</v>
      </c>
      <c r="AL517" s="98">
        <f t="shared" si="302"/>
        <v>1.4074558397995505</v>
      </c>
      <c r="AM517" s="98" t="str">
        <f t="shared" si="287"/>
        <v>1+3315.68777610283i</v>
      </c>
      <c r="AN517" s="98">
        <f t="shared" si="303"/>
        <v>3315.6879269011019</v>
      </c>
      <c r="AO517" s="98">
        <f t="shared" si="304"/>
        <v>1.5704947302522767</v>
      </c>
      <c r="AP517" s="168" t="str">
        <f t="shared" si="305"/>
        <v>-0.00942834518140952+0.0573155050255244i</v>
      </c>
      <c r="AQ517" s="98">
        <f t="shared" si="306"/>
        <v>-24.71859966338198</v>
      </c>
      <c r="AR517" s="169">
        <f t="shared" si="307"/>
        <v>99.341440319436998</v>
      </c>
      <c r="AS517" s="168" t="str">
        <f t="shared" si="308"/>
        <v>-0.00001193165124595+5.78447492961595E-06i</v>
      </c>
      <c r="AT517" s="190">
        <f t="shared" si="309"/>
        <v>-97.549207283218138</v>
      </c>
      <c r="AU517" s="169">
        <f t="shared" si="310"/>
        <v>154.13585202225252</v>
      </c>
      <c r="AV517" s="225"/>
      <c r="AX517">
        <f t="shared" si="311"/>
        <v>0</v>
      </c>
      <c r="AY517">
        <f t="shared" si="312"/>
        <v>0</v>
      </c>
    </row>
    <row r="518" spans="14:51" x14ac:dyDescent="0.2">
      <c r="N518" s="170">
        <v>100</v>
      </c>
      <c r="O518" s="199">
        <f t="shared" si="313"/>
        <v>1000000</v>
      </c>
      <c r="P518" s="189" t="str">
        <f t="shared" si="279"/>
        <v>771.276595744681</v>
      </c>
      <c r="Q518" s="160" t="str">
        <f t="shared" si="280"/>
        <v>1+55543.3581154678i</v>
      </c>
      <c r="R518" s="160">
        <f t="shared" si="288"/>
        <v>55543.358124469771</v>
      </c>
      <c r="S518" s="160">
        <f t="shared" si="289"/>
        <v>1.5707783228420602</v>
      </c>
      <c r="T518" s="160" t="str">
        <f t="shared" si="281"/>
        <v>1+1.04552203511468i</v>
      </c>
      <c r="U518" s="160">
        <f t="shared" si="290"/>
        <v>1.4467606318635926</v>
      </c>
      <c r="V518" s="160">
        <f t="shared" si="291"/>
        <v>0.80764897343724162</v>
      </c>
      <c r="W518" s="98" t="str">
        <f t="shared" si="282"/>
        <v>1-4.27256600888211i</v>
      </c>
      <c r="X518" s="160">
        <f t="shared" si="292"/>
        <v>4.3880314835077012</v>
      </c>
      <c r="Y518" s="160">
        <f t="shared" si="293"/>
        <v>-1.3408835237172787</v>
      </c>
      <c r="Z518" s="98" t="str">
        <f t="shared" si="283"/>
        <v>-399.000000000001-29.2534570395009i</v>
      </c>
      <c r="AA518" s="160">
        <f t="shared" si="294"/>
        <v>400.07094964363853</v>
      </c>
      <c r="AB518" s="160">
        <f t="shared" si="295"/>
        <v>-3.0684066652034216</v>
      </c>
      <c r="AC518" s="171" t="str">
        <f t="shared" si="296"/>
        <v>0.000125579163825656+0.000181060034680795i</v>
      </c>
      <c r="AD518" s="190">
        <f t="shared" si="297"/>
        <v>-73.137851601703886</v>
      </c>
      <c r="AE518" s="169">
        <f t="shared" si="298"/>
        <v>55.255694074876921</v>
      </c>
      <c r="AF518" s="98" t="str">
        <f t="shared" si="284"/>
        <v>-0.0000119284294234592</v>
      </c>
      <c r="AG518" s="98" t="str">
        <f t="shared" si="285"/>
        <v>0.113304680644369i</v>
      </c>
      <c r="AH518" s="98">
        <f t="shared" si="299"/>
        <v>0.11330468064436899</v>
      </c>
      <c r="AI518" s="98">
        <f t="shared" si="300"/>
        <v>1.5707963267948966</v>
      </c>
      <c r="AJ518" s="98" t="str">
        <f t="shared" si="286"/>
        <v>1+6.20897034181448i</v>
      </c>
      <c r="AK518" s="98">
        <f t="shared" si="301"/>
        <v>6.2889834397565254</v>
      </c>
      <c r="AL518" s="98">
        <f t="shared" si="302"/>
        <v>1.4111103261009315</v>
      </c>
      <c r="AM518" s="98" t="str">
        <f t="shared" si="287"/>
        <v>1+3392.92006587698i</v>
      </c>
      <c r="AN518" s="98">
        <f t="shared" si="303"/>
        <v>3392.9202132426653</v>
      </c>
      <c r="AO518" s="98">
        <f t="shared" si="304"/>
        <v>1.5705015954273347</v>
      </c>
      <c r="AP518" s="168" t="str">
        <f t="shared" si="305"/>
        <v>-0.00901472873154444+0.0560774607975377i</v>
      </c>
      <c r="AQ518" s="98">
        <f t="shared" si="306"/>
        <v>-24.91342779628414</v>
      </c>
      <c r="AR518" s="169">
        <f t="shared" si="307"/>
        <v>99.132447023635919</v>
      </c>
      <c r="AS518" s="168" t="str">
        <f t="shared" si="308"/>
        <v>-0.0000112854490930356+5.40995353964939E-06i</v>
      </c>
      <c r="AT518" s="190">
        <f t="shared" si="309"/>
        <v>-98.051279397988012</v>
      </c>
      <c r="AU518" s="169">
        <f t="shared" si="310"/>
        <v>154.38814109851293</v>
      </c>
      <c r="AV518" s="225"/>
      <c r="AX518">
        <f t="shared" si="311"/>
        <v>0</v>
      </c>
      <c r="AY518">
        <f t="shared" si="312"/>
        <v>0</v>
      </c>
    </row>
    <row r="519" spans="14:51" x14ac:dyDescent="0.2">
      <c r="N519" s="170">
        <v>1</v>
      </c>
      <c r="O519" s="199">
        <f>10^(6+(N519/100))</f>
        <v>1023292.9922807553</v>
      </c>
      <c r="P519" s="189" t="str">
        <f t="shared" si="279"/>
        <v>771.276595744681</v>
      </c>
      <c r="Q519" s="160" t="str">
        <f t="shared" si="280"/>
        <v>1+56837.1291272986i</v>
      </c>
      <c r="R519" s="160">
        <f t="shared" si="288"/>
        <v>56837.12913609566</v>
      </c>
      <c r="S519" s="160">
        <f t="shared" si="289"/>
        <v>1.5707787326620604</v>
      </c>
      <c r="T519" s="160" t="str">
        <f t="shared" si="281"/>
        <v>1+1.06987537180797i</v>
      </c>
      <c r="U519" s="160">
        <f t="shared" si="290"/>
        <v>1.4644566607452889</v>
      </c>
      <c r="V519" s="160">
        <f t="shared" si="291"/>
        <v>0.81914359904823342</v>
      </c>
      <c r="W519" s="98" t="str">
        <f t="shared" si="282"/>
        <v>1-4.37208685594602i</v>
      </c>
      <c r="X519" s="160">
        <f t="shared" si="292"/>
        <v>4.4849909114663715</v>
      </c>
      <c r="Y519" s="160">
        <f t="shared" si="293"/>
        <v>-1.3459404265935782</v>
      </c>
      <c r="Z519" s="98" t="str">
        <f t="shared" si="283"/>
        <v>-417.851419220362-29.9348575885073i</v>
      </c>
      <c r="AA519" s="160">
        <f t="shared" si="294"/>
        <v>418.92231289740931</v>
      </c>
      <c r="AB519" s="160">
        <f t="shared" si="295"/>
        <v>-3.0700748796968815</v>
      </c>
      <c r="AC519" s="171" t="str">
        <f t="shared" si="296"/>
        <v>0.000119832083920443+0.000175799756044936i</v>
      </c>
      <c r="AD519" s="190">
        <f t="shared" si="297"/>
        <v>-73.442347642626586</v>
      </c>
      <c r="AE519" s="169">
        <f t="shared" si="298"/>
        <v>55.72010658609171</v>
      </c>
      <c r="AF519" s="98" t="str">
        <f t="shared" si="284"/>
        <v>-0.0000119284294234592</v>
      </c>
      <c r="AG519" s="98" t="str">
        <f t="shared" si="285"/>
        <v>0.115943885695992i</v>
      </c>
      <c r="AH519" s="98">
        <f t="shared" si="299"/>
        <v>0.115943885695992</v>
      </c>
      <c r="AI519" s="98">
        <f t="shared" si="300"/>
        <v>1.5707963267948966</v>
      </c>
      <c r="AJ519" s="98" t="str">
        <f t="shared" si="286"/>
        <v>1+6.3535958400578i</v>
      </c>
      <c r="AK519" s="98">
        <f t="shared" si="301"/>
        <v>6.4318100173123716</v>
      </c>
      <c r="AL519" s="98">
        <f t="shared" si="302"/>
        <v>1.4146857878363004</v>
      </c>
      <c r="AM519" s="98" t="str">
        <f t="shared" si="287"/>
        <v>1+3471.95132678067i</v>
      </c>
      <c r="AN519" s="98">
        <f t="shared" si="303"/>
        <v>3471.9514707919029</v>
      </c>
      <c r="AO519" s="98">
        <f t="shared" si="304"/>
        <v>1.5705083043319565</v>
      </c>
      <c r="AP519" s="168" t="str">
        <f t="shared" si="305"/>
        <v>-0.00861880687439763+0.0548632965596613i</v>
      </c>
      <c r="AQ519" s="98">
        <f t="shared" si="306"/>
        <v>-25.108482945420924</v>
      </c>
      <c r="AR519" s="169">
        <f t="shared" si="307"/>
        <v>98.92797254830873</v>
      </c>
      <c r="AS519" s="168" t="str">
        <f t="shared" si="308"/>
        <v>-0.0000106777637396763+5.05919901157196E-06i</v>
      </c>
      <c r="AT519" s="190">
        <f t="shared" si="309"/>
        <v>-98.550830588047532</v>
      </c>
      <c r="AU519" s="169">
        <f t="shared" si="310"/>
        <v>154.64807913440038</v>
      </c>
      <c r="AV519" s="225"/>
      <c r="AX519">
        <f t="shared" si="311"/>
        <v>0</v>
      </c>
      <c r="AY519">
        <f t="shared" si="312"/>
        <v>0</v>
      </c>
    </row>
    <row r="520" spans="14:51" x14ac:dyDescent="0.2">
      <c r="N520" s="170">
        <v>2</v>
      </c>
      <c r="O520" s="199">
        <f t="shared" ref="O520:O560" si="314">10^(6+(N520/100))</f>
        <v>1047128.5480509007</v>
      </c>
      <c r="P520" s="189" t="str">
        <f t="shared" si="279"/>
        <v>771.276595744681</v>
      </c>
      <c r="Q520" s="160" t="str">
        <f t="shared" si="280"/>
        <v>1+58161.0359373209i</v>
      </c>
      <c r="R520" s="160">
        <f t="shared" si="288"/>
        <v>58161.03594591772</v>
      </c>
      <c r="S520" s="160">
        <f t="shared" si="289"/>
        <v>1.5707791331534184</v>
      </c>
      <c r="T520" s="160" t="str">
        <f t="shared" si="281"/>
        <v>1+1.09479597058486i</v>
      </c>
      <c r="U520" s="160">
        <f t="shared" si="290"/>
        <v>1.4827603370770495</v>
      </c>
      <c r="V520" s="160">
        <f t="shared" si="291"/>
        <v>0.83062039137240307</v>
      </c>
      <c r="W520" s="98" t="str">
        <f t="shared" si="282"/>
        <v>1-4.47392584133236i</v>
      </c>
      <c r="X520" s="160">
        <f t="shared" si="292"/>
        <v>4.5843224617975409</v>
      </c>
      <c r="Y520" s="160">
        <f t="shared" si="293"/>
        <v>-1.350893549605799</v>
      </c>
      <c r="Z520" s="98" t="str">
        <f t="shared" si="283"/>
        <v>-437.591278457276-30.6321299952418i</v>
      </c>
      <c r="AA520" s="160">
        <f t="shared" si="294"/>
        <v>438.66211868580433</v>
      </c>
      <c r="AB520" s="160">
        <f t="shared" si="295"/>
        <v>-3.071704967981066</v>
      </c>
      <c r="AC520" s="171" t="str">
        <f t="shared" si="296"/>
        <v>0.000114352026351841+0.000170734878282929i</v>
      </c>
      <c r="AD520" s="190">
        <f t="shared" si="297"/>
        <v>-73.744119871674883</v>
      </c>
      <c r="AE520" s="169">
        <f t="shared" si="298"/>
        <v>56.187259537058218</v>
      </c>
      <c r="AF520" s="98" t="str">
        <f t="shared" si="284"/>
        <v>-0.0000119284294234592</v>
      </c>
      <c r="AG520" s="98" t="str">
        <f t="shared" si="285"/>
        <v>0.11864456573051i</v>
      </c>
      <c r="AH520" s="98">
        <f t="shared" si="299"/>
        <v>0.11864456573050999</v>
      </c>
      <c r="AI520" s="98">
        <f t="shared" si="300"/>
        <v>1.5707963267948966</v>
      </c>
      <c r="AJ520" s="98" t="str">
        <f t="shared" si="286"/>
        <v>1+6.50159009891529i</v>
      </c>
      <c r="AK520" s="98">
        <f t="shared" si="301"/>
        <v>6.5780448321908942</v>
      </c>
      <c r="AL520" s="98">
        <f t="shared" si="302"/>
        <v>1.4181837549085892</v>
      </c>
      <c r="AM520" s="98" t="str">
        <f t="shared" si="287"/>
        <v>1+3552.82346223453i</v>
      </c>
      <c r="AN520" s="98">
        <f t="shared" si="303"/>
        <v>3552.8236029676659</v>
      </c>
      <c r="AO520" s="98">
        <f t="shared" si="304"/>
        <v>1.5705148605232899</v>
      </c>
      <c r="AP520" s="168" t="str">
        <f t="shared" si="305"/>
        <v>-0.00823986140236425+0.0536727405075219i</v>
      </c>
      <c r="AQ520" s="98">
        <f t="shared" si="306"/>
        <v>-25.303755387879505</v>
      </c>
      <c r="AR520" s="169">
        <f t="shared" si="307"/>
        <v>98.727929440283944</v>
      </c>
      <c r="AS520" s="168" t="str">
        <f t="shared" si="308"/>
        <v>-0.0000101060536658817+0.0000047307549032908i</v>
      </c>
      <c r="AT520" s="190">
        <f t="shared" si="309"/>
        <v>-99.047875259554345</v>
      </c>
      <c r="AU520" s="169">
        <f t="shared" si="310"/>
        <v>154.91518897734227</v>
      </c>
      <c r="AV520" s="225"/>
      <c r="AX520">
        <f t="shared" si="311"/>
        <v>0</v>
      </c>
      <c r="AY520">
        <f t="shared" si="312"/>
        <v>0</v>
      </c>
    </row>
    <row r="521" spans="14:51" x14ac:dyDescent="0.2">
      <c r="N521" s="170">
        <v>3</v>
      </c>
      <c r="O521" s="199">
        <f t="shared" si="314"/>
        <v>1071519.3052376076</v>
      </c>
      <c r="P521" s="189" t="str">
        <f t="shared" si="279"/>
        <v>771.276595744681</v>
      </c>
      <c r="Q521" s="160" t="str">
        <f t="shared" si="280"/>
        <v>1+59515.7804984496i</v>
      </c>
      <c r="R521" s="160">
        <f t="shared" si="288"/>
        <v>59515.78050685073</v>
      </c>
      <c r="S521" s="160">
        <f t="shared" si="289"/>
        <v>1.5707795245284804</v>
      </c>
      <c r="T521" s="160" t="str">
        <f t="shared" si="281"/>
        <v>1+1.12029704467669i</v>
      </c>
      <c r="U521" s="160">
        <f t="shared" si="290"/>
        <v>1.5016875401731633</v>
      </c>
      <c r="V521" s="160">
        <f t="shared" si="291"/>
        <v>0.84207334308777337</v>
      </c>
      <c r="W521" s="98" t="str">
        <f t="shared" si="282"/>
        <v>1-4.57813696141918i</v>
      </c>
      <c r="X521" s="160">
        <f t="shared" si="292"/>
        <v>4.6860791753354363</v>
      </c>
      <c r="Y521" s="160">
        <f t="shared" si="293"/>
        <v>-1.3557445463894975</v>
      </c>
      <c r="Z521" s="98" t="str">
        <f t="shared" si="283"/>
        <v>-458.261448598754-31.345643962764i</v>
      </c>
      <c r="AA521" s="160">
        <f t="shared" si="294"/>
        <v>459.33223778357723</v>
      </c>
      <c r="AB521" s="160">
        <f t="shared" si="295"/>
        <v>-3.0732978080869131</v>
      </c>
      <c r="AC521" s="171" t="str">
        <f t="shared" si="296"/>
        <v>0.000109126238154191+0.000165855941613538i</v>
      </c>
      <c r="AD521" s="190">
        <f t="shared" si="297"/>
        <v>-74.043194160708936</v>
      </c>
      <c r="AE521" s="169">
        <f t="shared" si="298"/>
        <v>56.65676428254362</v>
      </c>
      <c r="AF521" s="98" t="str">
        <f t="shared" si="284"/>
        <v>-0.0000119284294234592</v>
      </c>
      <c r="AG521" s="98" t="str">
        <f t="shared" si="285"/>
        <v>0.121408152684224i</v>
      </c>
      <c r="AH521" s="98">
        <f t="shared" si="299"/>
        <v>0.121408152684224</v>
      </c>
      <c r="AI521" s="98">
        <f t="shared" si="300"/>
        <v>1.5707963267948966</v>
      </c>
      <c r="AJ521" s="98" t="str">
        <f t="shared" si="286"/>
        <v>1+6.65303158690195i</v>
      </c>
      <c r="AK521" s="98">
        <f t="shared" si="301"/>
        <v>6.7277655500407469</v>
      </c>
      <c r="AL521" s="98">
        <f t="shared" si="302"/>
        <v>1.4216057394078294</v>
      </c>
      <c r="AM521" s="98" t="str">
        <f t="shared" si="287"/>
        <v>1+3635.57935171524i</v>
      </c>
      <c r="AN521" s="98">
        <f t="shared" si="303"/>
        <v>3635.5794892448994</v>
      </c>
      <c r="AO521" s="98">
        <f t="shared" si="304"/>
        <v>1.570521267477512</v>
      </c>
      <c r="AP521" s="168" t="str">
        <f t="shared" si="305"/>
        <v>-0.00787719991348135+0.0525055104866715i</v>
      </c>
      <c r="AQ521" s="98">
        <f t="shared" si="306"/>
        <v>-25.499235796349989</v>
      </c>
      <c r="AR521" s="169">
        <f t="shared" si="307"/>
        <v>98.532231262354742</v>
      </c>
      <c r="AS521" s="168" t="str">
        <f t="shared" si="308"/>
        <v>-9.56796007541314E-06+4.42324843284736E-06i</v>
      </c>
      <c r="AT521" s="190">
        <f t="shared" si="309"/>
        <v>-99.542429957058914</v>
      </c>
      <c r="AU521" s="169">
        <f t="shared" si="310"/>
        <v>155.18899554489838</v>
      </c>
      <c r="AV521" s="225"/>
      <c r="AX521">
        <f t="shared" si="311"/>
        <v>0</v>
      </c>
      <c r="AY521">
        <f t="shared" si="312"/>
        <v>0</v>
      </c>
    </row>
    <row r="522" spans="14:51" x14ac:dyDescent="0.2">
      <c r="N522" s="170">
        <v>4</v>
      </c>
      <c r="O522" s="199">
        <f t="shared" si="314"/>
        <v>1096478.196143186</v>
      </c>
      <c r="P522" s="189" t="str">
        <f t="shared" si="279"/>
        <v>771.276595744681</v>
      </c>
      <c r="Q522" s="160" t="str">
        <f t="shared" si="280"/>
        <v>1+60902.081114183i</v>
      </c>
      <c r="R522" s="160">
        <f t="shared" si="288"/>
        <v>60902.08112239289</v>
      </c>
      <c r="S522" s="160">
        <f t="shared" si="289"/>
        <v>1.5707799069947581</v>
      </c>
      <c r="T522" s="160" t="str">
        <f t="shared" si="281"/>
        <v>1+1.1463921150905i</v>
      </c>
      <c r="U522" s="160">
        <f t="shared" si="290"/>
        <v>1.5212543776573564</v>
      </c>
      <c r="V522" s="160">
        <f t="shared" si="291"/>
        <v>0.85349650940114097</v>
      </c>
      <c r="W522" s="98" t="str">
        <f t="shared" si="282"/>
        <v>1-4.68477547032175i</v>
      </c>
      <c r="X522" s="160">
        <f t="shared" si="292"/>
        <v>4.7903153557285103</v>
      </c>
      <c r="Y522" s="160">
        <f t="shared" si="293"/>
        <v>-1.3604950753544223</v>
      </c>
      <c r="Z522" s="98" t="str">
        <f t="shared" si="283"/>
        <v>-479.905773846967-32.075777805624i</v>
      </c>
      <c r="AA522" s="160">
        <f t="shared" si="294"/>
        <v>480.97651428473307</v>
      </c>
      <c r="AB522" s="160">
        <f t="shared" si="295"/>
        <v>-3.0748542573843691</v>
      </c>
      <c r="AC522" s="171" t="str">
        <f t="shared" si="296"/>
        <v>0.000104142604917938+0.000161154031945999i</v>
      </c>
      <c r="AD522" s="190">
        <f t="shared" si="297"/>
        <v>-74.339598105757418</v>
      </c>
      <c r="AE522" s="169">
        <f t="shared" si="298"/>
        <v>57.128234302897553</v>
      </c>
      <c r="AF522" s="98" t="str">
        <f t="shared" si="284"/>
        <v>-0.0000119284294234592</v>
      </c>
      <c r="AG522" s="98" t="str">
        <f t="shared" si="285"/>
        <v>0.124236111847518i</v>
      </c>
      <c r="AH522" s="98">
        <f t="shared" si="299"/>
        <v>0.124236111847518</v>
      </c>
      <c r="AI522" s="98">
        <f t="shared" si="300"/>
        <v>1.5707963267948966</v>
      </c>
      <c r="AJ522" s="98" t="str">
        <f t="shared" si="286"/>
        <v>1+6.80800060029928i</v>
      </c>
      <c r="AK522" s="98">
        <f t="shared" si="301"/>
        <v>6.8810516764282017</v>
      </c>
      <c r="AL522" s="98">
        <f t="shared" si="302"/>
        <v>1.4249532349792118</v>
      </c>
      <c r="AM522" s="98" t="str">
        <f t="shared" si="287"/>
        <v>1+3720.26287349081i</v>
      </c>
      <c r="AN522" s="98">
        <f t="shared" si="303"/>
        <v>3720.2630078899128</v>
      </c>
      <c r="AO522" s="98">
        <f t="shared" si="304"/>
        <v>1.5705275285916724</v>
      </c>
      <c r="AP522" s="168" t="str">
        <f t="shared" si="305"/>
        <v>-0.00753015517896714+0.0513613151669494i</v>
      </c>
      <c r="AQ522" s="98">
        <f t="shared" si="306"/>
        <v>-25.694915224826687</v>
      </c>
      <c r="AR522" s="169">
        <f t="shared" si="307"/>
        <v>98.340792629592244</v>
      </c>
      <c r="AS522" s="168" t="str">
        <f t="shared" si="308"/>
        <v>-9.06129300097703E-06+4.13538628522771E-06i</v>
      </c>
      <c r="AT522" s="190">
        <f t="shared" si="309"/>
        <v>-100.03451333058409</v>
      </c>
      <c r="AU522" s="169">
        <f t="shared" si="310"/>
        <v>155.46902693248978</v>
      </c>
      <c r="AV522" s="225"/>
      <c r="AX522">
        <f t="shared" si="311"/>
        <v>0</v>
      </c>
      <c r="AY522">
        <f t="shared" si="312"/>
        <v>0</v>
      </c>
    </row>
    <row r="523" spans="14:51" x14ac:dyDescent="0.2">
      <c r="N523" s="170">
        <v>5</v>
      </c>
      <c r="O523" s="199">
        <f t="shared" si="314"/>
        <v>1122018.4543019643</v>
      </c>
      <c r="P523" s="189" t="str">
        <f t="shared" si="279"/>
        <v>771.276595744681</v>
      </c>
      <c r="Q523" s="160" t="str">
        <f t="shared" si="280"/>
        <v>1+62320.6728194575i</v>
      </c>
      <c r="R523" s="160">
        <f t="shared" si="288"/>
        <v>62320.672827480514</v>
      </c>
      <c r="S523" s="160">
        <f t="shared" si="289"/>
        <v>1.5707802807550406</v>
      </c>
      <c r="T523" s="160" t="str">
        <f t="shared" si="281"/>
        <v>1+1.17309501777802i</v>
      </c>
      <c r="U523" s="160">
        <f t="shared" si="290"/>
        <v>1.5414771878738955</v>
      </c>
      <c r="V523" s="160">
        <f t="shared" si="291"/>
        <v>0.86488402320171409</v>
      </c>
      <c r="W523" s="98" t="str">
        <f t="shared" si="282"/>
        <v>1-4.79389790918902i</v>
      </c>
      <c r="X523" s="160">
        <f t="shared" si="292"/>
        <v>4.897086599573961</v>
      </c>
      <c r="Y523" s="160">
        <f t="shared" si="293"/>
        <v>-1.3651467972365716</v>
      </c>
      <c r="Z523" s="98" t="str">
        <f t="shared" si="283"/>
        <v>-502.570164717668-32.8229186504496i</v>
      </c>
      <c r="AA523" s="160">
        <f t="shared" si="294"/>
        <v>503.64085860172025</v>
      </c>
      <c r="AB523" s="160">
        <f t="shared" si="295"/>
        <v>-3.0763751530972328</v>
      </c>
      <c r="AC523" s="171" t="str">
        <f t="shared" si="296"/>
        <v>0.0000993896163797512+0.000156620746862518i</v>
      </c>
      <c r="AD523" s="190">
        <f t="shared" si="297"/>
        <v>-74.633360999008843</v>
      </c>
      <c r="AE523" s="169">
        <f t="shared" si="298"/>
        <v>57.601286242041418</v>
      </c>
      <c r="AF523" s="98" t="str">
        <f t="shared" si="284"/>
        <v>-0.0000119284294234592</v>
      </c>
      <c r="AG523" s="98" t="str">
        <f t="shared" si="285"/>
        <v>0.127129942641773i</v>
      </c>
      <c r="AH523" s="98">
        <f t="shared" si="299"/>
        <v>0.12712994264177299</v>
      </c>
      <c r="AI523" s="98">
        <f t="shared" si="300"/>
        <v>1.5707963267948966</v>
      </c>
      <c r="AJ523" s="98" t="str">
        <f t="shared" si="286"/>
        <v>1+6.96657930572942i</v>
      </c>
      <c r="AK523" s="98">
        <f t="shared" si="301"/>
        <v>7.0379845995155037</v>
      </c>
      <c r="AL523" s="98">
        <f t="shared" si="302"/>
        <v>1.4282277162646624</v>
      </c>
      <c r="AM523" s="98" t="str">
        <f t="shared" si="287"/>
        <v>1+3806.91892788541i</v>
      </c>
      <c r="AN523" s="98">
        <f t="shared" si="303"/>
        <v>3806.9190592252153</v>
      </c>
      <c r="AO523" s="98">
        <f t="shared" si="304"/>
        <v>1.5705336471854952</v>
      </c>
      <c r="AP523" s="168" t="str">
        <f t="shared" si="305"/>
        <v>-0.00719808449814015+0.0502398551440783i</v>
      </c>
      <c r="AQ523" s="98">
        <f t="shared" si="306"/>
        <v>-25.890785094667962</v>
      </c>
      <c r="AR523" s="169">
        <f t="shared" si="307"/>
        <v>98.153529241443948</v>
      </c>
      <c r="AS523" s="168" t="str">
        <f t="shared" si="308"/>
        <v>-8.58401849186944E-06+3.86595055966599E-06i</v>
      </c>
      <c r="AT523" s="190">
        <f t="shared" si="309"/>
        <v>-100.52414609367682</v>
      </c>
      <c r="AU523" s="169">
        <f t="shared" si="310"/>
        <v>155.75481548348534</v>
      </c>
      <c r="AV523" s="225"/>
      <c r="AX523">
        <f t="shared" si="311"/>
        <v>0</v>
      </c>
      <c r="AY523">
        <f t="shared" si="312"/>
        <v>0</v>
      </c>
    </row>
    <row r="524" spans="14:51" x14ac:dyDescent="0.2">
      <c r="N524" s="170">
        <v>6</v>
      </c>
      <c r="O524" s="199">
        <f t="shared" si="314"/>
        <v>1148153.6214968837</v>
      </c>
      <c r="P524" s="189" t="str">
        <f t="shared" si="279"/>
        <v>771.276595744681</v>
      </c>
      <c r="Q524" s="160" t="str">
        <f t="shared" si="280"/>
        <v>1+63772.3077703726i</v>
      </c>
      <c r="R524" s="160">
        <f t="shared" si="288"/>
        <v>63772.307778212991</v>
      </c>
      <c r="S524" s="160">
        <f t="shared" si="289"/>
        <v>1.5707806460075002</v>
      </c>
      <c r="T524" s="160" t="str">
        <f t="shared" si="281"/>
        <v>1+1.20041991097172i</v>
      </c>
      <c r="U524" s="160">
        <f t="shared" si="290"/>
        <v>1.5623725428518487</v>
      </c>
      <c r="V524" s="160">
        <f t="shared" si="291"/>
        <v>0.87623010972448778</v>
      </c>
      <c r="W524" s="98" t="str">
        <f t="shared" si="282"/>
        <v>1-4.90556213618248i</v>
      </c>
      <c r="X524" s="160">
        <f t="shared" si="292"/>
        <v>5.006449827167673</v>
      </c>
      <c r="Y524" s="160">
        <f t="shared" si="293"/>
        <v>-1.3697013728141509</v>
      </c>
      <c r="Z524" s="98" t="str">
        <f t="shared" si="283"/>
        <v>-526.302695422564-33.5874626412063i</v>
      </c>
      <c r="AA524" s="160">
        <f t="shared" si="294"/>
        <v>527.37334484758583</v>
      </c>
      <c r="AB524" s="160">
        <f t="shared" si="295"/>
        <v>-3.0778613128033636</v>
      </c>
      <c r="AC524" s="171" t="str">
        <f t="shared" si="296"/>
        <v>0.0000948563340586629+0.000152248163766991i</v>
      </c>
      <c r="AD524" s="190">
        <f t="shared" si="297"/>
        <v>-74.924513791733474</v>
      </c>
      <c r="AE524" s="169">
        <f t="shared" si="298"/>
        <v>58.075540907137245</v>
      </c>
      <c r="AF524" s="98" t="str">
        <f t="shared" si="284"/>
        <v>-0.0000119284294234592</v>
      </c>
      <c r="AG524" s="98" t="str">
        <f t="shared" si="285"/>
        <v>0.130091179414381i</v>
      </c>
      <c r="AH524" s="98">
        <f t="shared" si="299"/>
        <v>0.130091179414381</v>
      </c>
      <c r="AI524" s="98">
        <f t="shared" si="300"/>
        <v>1.5707963267948966</v>
      </c>
      <c r="AJ524" s="98" t="str">
        <f t="shared" si="286"/>
        <v>1+7.12885178372103i</v>
      </c>
      <c r="AK524" s="98">
        <f t="shared" si="301"/>
        <v>7.1986476337061065</v>
      </c>
      <c r="AL524" s="98">
        <f t="shared" si="302"/>
        <v>1.4314306384133371</v>
      </c>
      <c r="AM524" s="98" t="str">
        <f t="shared" si="287"/>
        <v>1+3895.5934610861i</v>
      </c>
      <c r="AN524" s="98">
        <f t="shared" si="303"/>
        <v>3895.5935894362469</v>
      </c>
      <c r="AO524" s="98">
        <f t="shared" si="304"/>
        <v>1.5705396265031377</v>
      </c>
      <c r="AP524" s="168" t="str">
        <f t="shared" si="305"/>
        <v>-0.00688036904424475+0.0491408239716016i</v>
      </c>
      <c r="AQ524" s="98">
        <f t="shared" si="306"/>
        <v>-26.086837181020694</v>
      </c>
      <c r="AR524" s="169">
        <f t="shared" si="307"/>
        <v>97.970357909881216</v>
      </c>
      <c r="AS524" s="168" t="str">
        <f t="shared" si="308"/>
        <v>-8.13424680018104E-06+3.61379486154268E-06i</v>
      </c>
      <c r="AT524" s="190">
        <f t="shared" si="309"/>
        <v>-101.01135097275417</v>
      </c>
      <c r="AU524" s="169">
        <f t="shared" si="310"/>
        <v>156.04589881701847</v>
      </c>
      <c r="AV524" s="225"/>
      <c r="AX524">
        <f t="shared" si="311"/>
        <v>0</v>
      </c>
      <c r="AY524">
        <f t="shared" si="312"/>
        <v>0</v>
      </c>
    </row>
    <row r="525" spans="14:51" x14ac:dyDescent="0.2">
      <c r="N525" s="170">
        <v>7</v>
      </c>
      <c r="O525" s="199">
        <f t="shared" si="314"/>
        <v>1174897.5549395324</v>
      </c>
      <c r="P525" s="189" t="str">
        <f t="shared" si="279"/>
        <v>771.276595744681</v>
      </c>
      <c r="Q525" s="160" t="str">
        <f t="shared" si="280"/>
        <v>1+65257.7556429938i</v>
      </c>
      <c r="R525" s="160">
        <f t="shared" si="288"/>
        <v>65257.755650655716</v>
      </c>
      <c r="S525" s="160">
        <f t="shared" si="289"/>
        <v>1.5707810029457989</v>
      </c>
      <c r="T525" s="160" t="str">
        <f t="shared" si="281"/>
        <v>1+1.22838128269165i</v>
      </c>
      <c r="U525" s="160">
        <f t="shared" si="290"/>
        <v>1.5839572518433642</v>
      </c>
      <c r="V525" s="160">
        <f t="shared" si="291"/>
        <v>0.88752910063662782</v>
      </c>
      <c r="W525" s="98" t="str">
        <f t="shared" si="282"/>
        <v>1-5.01982735715335i</v>
      </c>
      <c r="X525" s="160">
        <f t="shared" si="292"/>
        <v>5.1184633138887676</v>
      </c>
      <c r="Y525" s="160">
        <f t="shared" si="293"/>
        <v>-1.3741604607809366</v>
      </c>
      <c r="Z525" s="98" t="str">
        <f t="shared" si="283"/>
        <v>-551.153705841158-34.3698151492381i</v>
      </c>
      <c r="AA525" s="160">
        <f t="shared" si="294"/>
        <v>552.22431280760759</v>
      </c>
      <c r="AB525" s="160">
        <f t="shared" si="295"/>
        <v>-3.0793135349207703</v>
      </c>
      <c r="AC525" s="171" t="str">
        <f t="shared" si="296"/>
        <v>0.0000905323608026138+0.000148028810063169i</v>
      </c>
      <c r="AD525" s="190">
        <f t="shared" si="297"/>
        <v>-75.213089048533348</v>
      </c>
      <c r="AE525" s="169">
        <f t="shared" si="298"/>
        <v>58.550624225370065</v>
      </c>
      <c r="AF525" s="98" t="str">
        <f t="shared" si="284"/>
        <v>-0.0000119284294234592</v>
      </c>
      <c r="AG525" s="98" t="str">
        <f t="shared" si="285"/>
        <v>0.133121392252274i</v>
      </c>
      <c r="AH525" s="98">
        <f t="shared" si="299"/>
        <v>0.13312139225227401</v>
      </c>
      <c r="AI525" s="98">
        <f t="shared" si="300"/>
        <v>1.5707963267948966</v>
      </c>
      <c r="AJ525" s="98" t="str">
        <f t="shared" si="286"/>
        <v>1+7.2949040732899i</v>
      </c>
      <c r="AK525" s="98">
        <f t="shared" si="301"/>
        <v>7.3631260642815013</v>
      </c>
      <c r="AL525" s="98">
        <f t="shared" si="302"/>
        <v>1.4345634366566313</v>
      </c>
      <c r="AM525" s="98" t="str">
        <f t="shared" si="287"/>
        <v>1+3986.33348950414i</v>
      </c>
      <c r="AN525" s="98">
        <f t="shared" si="303"/>
        <v>3986.3336149326801</v>
      </c>
      <c r="AO525" s="98">
        <f t="shared" si="304"/>
        <v>1.5705454697149115</v>
      </c>
      <c r="AP525" s="168" t="str">
        <f t="shared" si="305"/>
        <v>-0.00657641320436844+0.0480639091262547i</v>
      </c>
      <c r="AQ525" s="98">
        <f t="shared" si="306"/>
        <v>-26.283063599613222</v>
      </c>
      <c r="AR525" s="169">
        <f t="shared" si="307"/>
        <v>97.791196583847892</v>
      </c>
      <c r="AS525" s="168" t="str">
        <f t="shared" si="308"/>
        <v>-7.71022148794873E-06+3.37784054147576E-06i</v>
      </c>
      <c r="AT525" s="190">
        <f t="shared" si="309"/>
        <v>-101.49615264814658</v>
      </c>
      <c r="AU525" s="169">
        <f t="shared" si="310"/>
        <v>156.34182080921795</v>
      </c>
      <c r="AV525" s="225"/>
      <c r="AX525">
        <f t="shared" si="311"/>
        <v>0</v>
      </c>
      <c r="AY525">
        <f t="shared" si="312"/>
        <v>0</v>
      </c>
    </row>
    <row r="526" spans="14:51" x14ac:dyDescent="0.2">
      <c r="N526" s="170">
        <v>8</v>
      </c>
      <c r="O526" s="199">
        <f t="shared" si="314"/>
        <v>1202264.4346174158</v>
      </c>
      <c r="P526" s="189" t="str">
        <f t="shared" si="279"/>
        <v>771.276595744681</v>
      </c>
      <c r="Q526" s="160" t="str">
        <f t="shared" si="280"/>
        <v>1+66777.8040414455i</v>
      </c>
      <c r="R526" s="160">
        <f t="shared" si="288"/>
        <v>66777.804048933016</v>
      </c>
      <c r="S526" s="160">
        <f t="shared" si="289"/>
        <v>1.57078135175919</v>
      </c>
      <c r="T526" s="160" t="str">
        <f t="shared" si="281"/>
        <v>1+1.25699395842721i</v>
      </c>
      <c r="U526" s="160">
        <f t="shared" si="290"/>
        <v>1.606248365453645</v>
      </c>
      <c r="V526" s="160">
        <f t="shared" si="291"/>
        <v>0.89877544746689764</v>
      </c>
      <c r="W526" s="98" t="str">
        <f t="shared" si="282"/>
        <v>1-5.13675415703424i</v>
      </c>
      <c r="X526" s="160">
        <f t="shared" si="292"/>
        <v>5.2331867222380417</v>
      </c>
      <c r="Y526" s="160">
        <f t="shared" si="293"/>
        <v>-1.3785257157704986</v>
      </c>
      <c r="Z526" s="98" t="str">
        <f t="shared" si="283"/>
        <v>-577.175908298375-35.1703909882003i</v>
      </c>
      <c r="AA526" s="160">
        <f t="shared" si="294"/>
        <v>578.24647471672245</v>
      </c>
      <c r="AB526" s="160">
        <f t="shared" si="295"/>
        <v>-3.0807325991800787</v>
      </c>
      <c r="AC526" s="171" t="str">
        <f t="shared" si="296"/>
        <v>0.0000864078121196525+0.000143955635233817i</v>
      </c>
      <c r="AD526" s="190">
        <f t="shared" si="297"/>
        <v>-75.499120893396778</v>
      </c>
      <c r="AE526" s="169">
        <f t="shared" si="298"/>
        <v>59.026168153665594</v>
      </c>
      <c r="AF526" s="98" t="str">
        <f t="shared" si="284"/>
        <v>-0.0000119284294234592</v>
      </c>
      <c r="AG526" s="98" t="str">
        <f t="shared" si="285"/>
        <v>0.13622218781441i</v>
      </c>
      <c r="AH526" s="98">
        <f t="shared" si="299"/>
        <v>0.13622218781441001</v>
      </c>
      <c r="AI526" s="98">
        <f t="shared" si="300"/>
        <v>1.5707963267948966</v>
      </c>
      <c r="AJ526" s="98" t="str">
        <f t="shared" si="286"/>
        <v>1+7.46482421755788i</v>
      </c>
      <c r="AK526" s="98">
        <f t="shared" si="301"/>
        <v>7.5315071930549617</v>
      </c>
      <c r="AL526" s="98">
        <f t="shared" si="302"/>
        <v>1.437627525943507</v>
      </c>
      <c r="AM526" s="98" t="str">
        <f t="shared" si="287"/>
        <v>1+4079.18712470367i</v>
      </c>
      <c r="AN526" s="98">
        <f t="shared" si="303"/>
        <v>4079.1872472771088</v>
      </c>
      <c r="AO526" s="98">
        <f t="shared" si="304"/>
        <v>1.5705511799189635</v>
      </c>
      <c r="AP526" s="168" t="str">
        <f t="shared" si="305"/>
        <v>-0.00628564391631538+0.0470087929098218i</v>
      </c>
      <c r="AQ526" s="98">
        <f t="shared" si="306"/>
        <v>-26.479456793920136</v>
      </c>
      <c r="AR526" s="169">
        <f t="shared" si="307"/>
        <v>97.615964370250964</v>
      </c>
      <c r="AS526" s="168" t="str">
        <f t="shared" si="308"/>
        <v>-7.31030938348037E-06+3.15707308289678E-06i</v>
      </c>
      <c r="AT526" s="190">
        <f t="shared" si="309"/>
        <v>-101.97857768731691</v>
      </c>
      <c r="AU526" s="169">
        <f t="shared" si="310"/>
        <v>156.64213252391656</v>
      </c>
      <c r="AV526" s="225"/>
      <c r="AX526">
        <f t="shared" si="311"/>
        <v>0</v>
      </c>
      <c r="AY526">
        <f t="shared" si="312"/>
        <v>0</v>
      </c>
    </row>
    <row r="527" spans="14:51" x14ac:dyDescent="0.2">
      <c r="N527" s="170">
        <v>9</v>
      </c>
      <c r="O527" s="199">
        <f t="shared" si="314"/>
        <v>1230268.770812382</v>
      </c>
      <c r="P527" s="189" t="str">
        <f t="shared" si="279"/>
        <v>771.276595744681</v>
      </c>
      <c r="Q527" s="160" t="str">
        <f t="shared" si="280"/>
        <v>1+68333.2589155084i</v>
      </c>
      <c r="R527" s="160">
        <f t="shared" si="288"/>
        <v>68333.258922825466</v>
      </c>
      <c r="S527" s="160">
        <f t="shared" si="289"/>
        <v>1.570781692632619</v>
      </c>
      <c r="T527" s="160" t="str">
        <f t="shared" si="281"/>
        <v>1+1.2862731089978i</v>
      </c>
      <c r="U527" s="160">
        <f t="shared" si="290"/>
        <v>1.6292631803765976</v>
      </c>
      <c r="V527" s="160">
        <f t="shared" si="291"/>
        <v>0.90996373430547228</v>
      </c>
      <c r="W527" s="98" t="str">
        <f t="shared" si="282"/>
        <v>1-5.25640453196216i</v>
      </c>
      <c r="X527" s="160">
        <f t="shared" si="292"/>
        <v>5.3506811345502854</v>
      </c>
      <c r="Y527" s="160">
        <f t="shared" si="293"/>
        <v>-1.3827987865247398</v>
      </c>
      <c r="Z527" s="98" t="str">
        <f t="shared" si="283"/>
        <v>-604.424499374485-35.9896146339995i</v>
      </c>
      <c r="AA527" s="160">
        <f t="shared" si="294"/>
        <v>605.49502706925728</v>
      </c>
      <c r="AB527" s="160">
        <f t="shared" si="295"/>
        <v>-3.0821192670838622</v>
      </c>
      <c r="AC527" s="171" t="str">
        <f t="shared" si="296"/>
        <v>0.0000824732891772032+0.000140021984700314i</v>
      </c>
      <c r="AD527" s="190">
        <f t="shared" si="297"/>
        <v>-75.782644948099417</v>
      </c>
      <c r="AE527" s="169">
        <f t="shared" si="298"/>
        <v>59.501811537583166</v>
      </c>
      <c r="AF527" s="98" t="str">
        <f t="shared" si="284"/>
        <v>-0.0000119284294234592</v>
      </c>
      <c r="AG527" s="98" t="str">
        <f t="shared" si="285"/>
        <v>0.139395210183638i</v>
      </c>
      <c r="AH527" s="98">
        <f t="shared" si="299"/>
        <v>0.13939521018363801</v>
      </c>
      <c r="AI527" s="98">
        <f t="shared" si="300"/>
        <v>1.5707963267948966</v>
      </c>
      <c r="AJ527" s="98" t="str">
        <f t="shared" si="286"/>
        <v>1+7.63870231043463i</v>
      </c>
      <c r="AK527" s="98">
        <f t="shared" si="301"/>
        <v>7.7038803850682518</v>
      </c>
      <c r="AL527" s="98">
        <f t="shared" si="302"/>
        <v>1.4406243006321309</v>
      </c>
      <c r="AM527" s="98" t="str">
        <f t="shared" si="287"/>
        <v>1+4174.20359891114i</v>
      </c>
      <c r="AN527" s="98">
        <f t="shared" si="303"/>
        <v>4174.2037186944663</v>
      </c>
      <c r="AO527" s="98">
        <f t="shared" si="304"/>
        <v>1.5705567601429178</v>
      </c>
      <c r="AP527" s="168" t="str">
        <f t="shared" si="305"/>
        <v>-0.00600751000500558+0.0459751532904979i</v>
      </c>
      <c r="AQ527" s="98">
        <f t="shared" si="306"/>
        <v>-26.67600952269828</v>
      </c>
      <c r="AR527" s="169">
        <f t="shared" si="307"/>
        <v>97.444581551722493</v>
      </c>
      <c r="AS527" s="168" t="str">
        <f t="shared" si="308"/>
        <v>-6.93299132051445E-06+0.0000029505386382856i</v>
      </c>
      <c r="AT527" s="190">
        <f t="shared" si="309"/>
        <v>-102.45865447079771</v>
      </c>
      <c r="AU527" s="169">
        <f t="shared" si="310"/>
        <v>156.94639308930567</v>
      </c>
      <c r="AV527" s="225"/>
      <c r="AX527">
        <f t="shared" si="311"/>
        <v>0</v>
      </c>
      <c r="AY527">
        <f t="shared" si="312"/>
        <v>0</v>
      </c>
    </row>
    <row r="528" spans="14:51" x14ac:dyDescent="0.2">
      <c r="N528" s="170">
        <v>10</v>
      </c>
      <c r="O528" s="199">
        <f t="shared" si="314"/>
        <v>1258925.4117941677</v>
      </c>
      <c r="P528" s="189" t="str">
        <f t="shared" si="279"/>
        <v>771.276595744681</v>
      </c>
      <c r="Q528" s="160" t="str">
        <f t="shared" si="280"/>
        <v>1+69924.9449879461i</v>
      </c>
      <c r="R528" s="160">
        <f t="shared" si="288"/>
        <v>69924.944995096623</v>
      </c>
      <c r="S528" s="160">
        <f t="shared" si="289"/>
        <v>1.5707820257468215</v>
      </c>
      <c r="T528" s="160" t="str">
        <f t="shared" si="281"/>
        <v>1+1.31623425859663i</v>
      </c>
      <c r="U528" s="160">
        <f t="shared" si="290"/>
        <v>1.6530192447468421</v>
      </c>
      <c r="V528" s="160">
        <f t="shared" si="291"/>
        <v>0.92108868970966618</v>
      </c>
      <c r="W528" s="98" t="str">
        <f t="shared" si="282"/>
        <v>1-5.37884192214967i</v>
      </c>
      <c r="X528" s="160">
        <f t="shared" si="292"/>
        <v>5.4710090864003096</v>
      </c>
      <c r="Y528" s="160">
        <f t="shared" si="293"/>
        <v>-1.3869813142002132</v>
      </c>
      <c r="Z528" s="98" t="str">
        <f t="shared" si="283"/>
        <v>-632.957276984447-36.8279204498565i</v>
      </c>
      <c r="AA528" s="160">
        <f t="shared" si="294"/>
        <v>634.02776769809293</v>
      </c>
      <c r="AB528" s="160">
        <f t="shared" si="295"/>
        <v>-3.0834742823532753</v>
      </c>
      <c r="AC528" s="171" t="str">
        <f t="shared" si="296"/>
        <v>0.0000787198533612199+0.000136221575349576i</v>
      </c>
      <c r="AD528" s="190">
        <f t="shared" si="297"/>
        <v>-76.063698263553235</v>
      </c>
      <c r="AE528" s="169">
        <f t="shared" si="298"/>
        <v>59.977200916088705</v>
      </c>
      <c r="AF528" s="98" t="str">
        <f t="shared" si="284"/>
        <v>-0.0000119284294234592</v>
      </c>
      <c r="AG528" s="98" t="str">
        <f t="shared" si="285"/>
        <v>0.14264214173842i</v>
      </c>
      <c r="AH528" s="98">
        <f t="shared" si="299"/>
        <v>0.14264214173841999</v>
      </c>
      <c r="AI528" s="98">
        <f t="shared" si="300"/>
        <v>1.5707963267948966</v>
      </c>
      <c r="AJ528" s="98" t="str">
        <f t="shared" si="286"/>
        <v>1+7.81663054438656i</v>
      </c>
      <c r="AK528" s="98">
        <f t="shared" si="301"/>
        <v>7.8803371163572002</v>
      </c>
      <c r="AL528" s="98">
        <f t="shared" si="302"/>
        <v>1.4435551342340129</v>
      </c>
      <c r="AM528" s="98" t="str">
        <f t="shared" si="287"/>
        <v>1+4271.43329111887i</v>
      </c>
      <c r="AN528" s="98">
        <f t="shared" si="303"/>
        <v>4271.4334081755951</v>
      </c>
      <c r="AO528" s="98">
        <f t="shared" si="304"/>
        <v>1.5705622133454815</v>
      </c>
      <c r="AP528" s="168" t="str">
        <f t="shared" si="305"/>
        <v>-0.00574148152069021+0.0449626646866945i</v>
      </c>
      <c r="AQ528" s="98">
        <f t="shared" si="306"/>
        <v>-26.872714847895978</v>
      </c>
      <c r="AR528" s="169">
        <f t="shared" si="307"/>
        <v>97.276969601371306</v>
      </c>
      <c r="AS528" s="168" t="str">
        <f t="shared" si="308"/>
        <v>-6.57685359892116E-06+2.75734071327739E-06i</v>
      </c>
      <c r="AT528" s="190">
        <f t="shared" si="309"/>
        <v>-102.93641311144923</v>
      </c>
      <c r="AU528" s="169">
        <f t="shared" si="310"/>
        <v>157.25417051746001</v>
      </c>
      <c r="AV528" s="225"/>
      <c r="AX528">
        <f t="shared" si="311"/>
        <v>0</v>
      </c>
      <c r="AY528">
        <f t="shared" si="312"/>
        <v>0</v>
      </c>
    </row>
    <row r="529" spans="14:51" x14ac:dyDescent="0.2">
      <c r="N529" s="170">
        <v>11</v>
      </c>
      <c r="O529" s="199">
        <f t="shared" si="314"/>
        <v>1288249.5516931366</v>
      </c>
      <c r="P529" s="189" t="str">
        <f t="shared" si="279"/>
        <v>771.276595744681</v>
      </c>
      <c r="Q529" s="160" t="str">
        <f t="shared" si="280"/>
        <v>1+71553.7061917826i</v>
      </c>
      <c r="R529" s="160">
        <f t="shared" si="288"/>
        <v>71553.706198770364</v>
      </c>
      <c r="S529" s="160">
        <f t="shared" si="289"/>
        <v>1.5707823512784187</v>
      </c>
      <c r="T529" s="160" t="str">
        <f t="shared" si="281"/>
        <v>1+1.34689329302179i</v>
      </c>
      <c r="U529" s="160">
        <f t="shared" si="290"/>
        <v>1.6775343641151084</v>
      </c>
      <c r="V529" s="160">
        <f t="shared" si="291"/>
        <v>0.93214519775961391</v>
      </c>
      <c r="W529" s="98" t="str">
        <f t="shared" si="282"/>
        <v>1-5.50413124552171i</v>
      </c>
      <c r="X529" s="160">
        <f t="shared" si="292"/>
        <v>5.5942346007231736</v>
      </c>
      <c r="Y529" s="160">
        <f t="shared" si="293"/>
        <v>-1.3910749308057726</v>
      </c>
      <c r="Z529" s="98" t="str">
        <f t="shared" si="283"/>
        <v>-662.834762975027-37.6857529166113i</v>
      </c>
      <c r="AA529" s="160">
        <f t="shared" si="294"/>
        <v>663.90521837160782</v>
      </c>
      <c r="AB529" s="160">
        <f t="shared" si="295"/>
        <v>-3.0847983713624387</v>
      </c>
      <c r="AC529" s="171" t="str">
        <f t="shared" si="296"/>
        <v>0.0000751390022948191+0.000132548472622184i</v>
      </c>
      <c r="AD529" s="190">
        <f t="shared" si="297"/>
        <v>-76.34231924475344</v>
      </c>
      <c r="AE529" s="169">
        <f t="shared" si="298"/>
        <v>60.451991269397958</v>
      </c>
      <c r="AF529" s="98" t="str">
        <f t="shared" si="284"/>
        <v>-0.0000119284294234592</v>
      </c>
      <c r="AG529" s="98" t="str">
        <f t="shared" si="285"/>
        <v>0.145964704044843i</v>
      </c>
      <c r="AH529" s="98">
        <f t="shared" si="299"/>
        <v>0.14596470404484299</v>
      </c>
      <c r="AI529" s="98">
        <f t="shared" si="300"/>
        <v>1.5707963267948966</v>
      </c>
      <c r="AJ529" s="98" t="str">
        <f t="shared" si="286"/>
        <v>1+7.99870325931848i</v>
      </c>
      <c r="AK529" s="98">
        <f t="shared" si="301"/>
        <v>8.0609710228130744</v>
      </c>
      <c r="AL529" s="98">
        <f t="shared" si="302"/>
        <v>1.4464213792070166</v>
      </c>
      <c r="AM529" s="98" t="str">
        <f t="shared" si="287"/>
        <v>1+4370.92775379666i</v>
      </c>
      <c r="AN529" s="98">
        <f t="shared" si="303"/>
        <v>4370.9278681888491</v>
      </c>
      <c r="AO529" s="98">
        <f t="shared" si="304"/>
        <v>1.5705675424180137</v>
      </c>
      <c r="AP529" s="168" t="str">
        <f t="shared" si="305"/>
        <v>-0.00548704908102185+0.0439709986961892i</v>
      </c>
      <c r="AQ529" s="98">
        <f t="shared" si="306"/>
        <v>-27.069566122930965</v>
      </c>
      <c r="AR529" s="169">
        <f t="shared" si="307"/>
        <v>97.113051194732435</v>
      </c>
      <c r="AS529" s="168" t="str">
        <f t="shared" si="308"/>
        <v>-6.24058011034261E-06+2.57663699704604E-06i</v>
      </c>
      <c r="AT529" s="190">
        <f t="shared" si="309"/>
        <v>-103.41188536768441</v>
      </c>
      <c r="AU529" s="169">
        <f t="shared" si="310"/>
        <v>157.56504246413041</v>
      </c>
      <c r="AV529" s="225"/>
      <c r="AX529">
        <f t="shared" si="311"/>
        <v>0</v>
      </c>
      <c r="AY529">
        <f t="shared" si="312"/>
        <v>0</v>
      </c>
    </row>
    <row r="530" spans="14:51" x14ac:dyDescent="0.2">
      <c r="N530" s="170">
        <v>12</v>
      </c>
      <c r="O530" s="199">
        <f t="shared" si="314"/>
        <v>1318256.7385564097</v>
      </c>
      <c r="P530" s="189" t="str">
        <f t="shared" si="279"/>
        <v>771.276595744681</v>
      </c>
      <c r="Q530" s="160" t="str">
        <f t="shared" si="280"/>
        <v>1+73220.4061177672i</v>
      </c>
      <c r="R530" s="160">
        <f t="shared" si="288"/>
        <v>73220.406124595887</v>
      </c>
      <c r="S530" s="160">
        <f t="shared" si="289"/>
        <v>1.5707826694000124</v>
      </c>
      <c r="T530" s="160" t="str">
        <f t="shared" si="281"/>
        <v>1+1.37826646809914i</v>
      </c>
      <c r="U530" s="160">
        <f t="shared" si="290"/>
        <v>1.7028266080510013</v>
      </c>
      <c r="V530" s="160">
        <f t="shared" si="291"/>
        <v>0.94312830821707505</v>
      </c>
      <c r="W530" s="98" t="str">
        <f t="shared" si="282"/>
        <v>1-5.63233893213591i</v>
      </c>
      <c r="X530" s="160">
        <f t="shared" si="292"/>
        <v>5.7204232226692699</v>
      </c>
      <c r="Y530" s="160">
        <f t="shared" si="293"/>
        <v>-1.395081257765173</v>
      </c>
      <c r="Z530" s="98" t="str">
        <f t="shared" si="283"/>
        <v>-694.120331499755-38.5635668683924i</v>
      </c>
      <c r="AA530" s="160">
        <f t="shared" si="294"/>
        <v>695.19075316846875</v>
      </c>
      <c r="AB530" s="160">
        <f t="shared" si="295"/>
        <v>-3.0860922435609845</v>
      </c>
      <c r="AC530" s="171" t="str">
        <f t="shared" si="296"/>
        <v>0.0000717226472231271+0.00012899706906219i</v>
      </c>
      <c r="AD530" s="190">
        <f t="shared" si="297"/>
        <v>-76.618547570013575</v>
      </c>
      <c r="AE530" s="169">
        <f t="shared" si="298"/>
        <v>60.92584670759468</v>
      </c>
      <c r="AF530" s="98" t="str">
        <f t="shared" si="284"/>
        <v>-0.0000119284294234592</v>
      </c>
      <c r="AG530" s="98" t="str">
        <f t="shared" si="285"/>
        <v>0.149364658769422i</v>
      </c>
      <c r="AH530" s="98">
        <f t="shared" si="299"/>
        <v>0.14936465876942201</v>
      </c>
      <c r="AI530" s="98">
        <f t="shared" si="300"/>
        <v>1.5707963267948966</v>
      </c>
      <c r="AJ530" s="98" t="str">
        <f t="shared" si="286"/>
        <v>1+8.18501699259383i</v>
      </c>
      <c r="AK530" s="98">
        <f t="shared" si="301"/>
        <v>8.2458779501669639</v>
      </c>
      <c r="AL530" s="98">
        <f t="shared" si="302"/>
        <v>1.4492243667938065</v>
      </c>
      <c r="AM530" s="98" t="str">
        <f t="shared" si="287"/>
        <v>1+4472.73974022559i</v>
      </c>
      <c r="AN530" s="98">
        <f t="shared" si="303"/>
        <v>4472.739852013895</v>
      </c>
      <c r="AO530" s="98">
        <f t="shared" si="304"/>
        <v>1.5705727501860578</v>
      </c>
      <c r="AP530" s="168" t="str">
        <f t="shared" si="305"/>
        <v>-0.0052437232187785+0.0429998247734128i</v>
      </c>
      <c r="AQ530" s="98">
        <f t="shared" si="306"/>
        <v>-27.2665569813371</v>
      </c>
      <c r="AR530" s="169">
        <f t="shared" si="307"/>
        <v>96.952750219111394</v>
      </c>
      <c r="AS530" s="168" t="str">
        <f t="shared" si="308"/>
        <v>-5.92294507651417E-06+2.40763633668399E-06i</v>
      </c>
      <c r="AT530" s="190">
        <f t="shared" si="309"/>
        <v>-103.88510455135068</v>
      </c>
      <c r="AU530" s="169">
        <f t="shared" si="310"/>
        <v>157.87859692670605</v>
      </c>
      <c r="AV530" s="225"/>
      <c r="AX530">
        <f t="shared" si="311"/>
        <v>0</v>
      </c>
      <c r="AY530">
        <f t="shared" si="312"/>
        <v>0</v>
      </c>
    </row>
    <row r="531" spans="14:51" x14ac:dyDescent="0.2">
      <c r="N531" s="170">
        <v>13</v>
      </c>
      <c r="O531" s="199">
        <f t="shared" si="314"/>
        <v>1348962.8825916562</v>
      </c>
      <c r="P531" s="189" t="str">
        <f t="shared" ref="P531:P560" si="315">COMPLEX(Adc,0)</f>
        <v>771.276595744681</v>
      </c>
      <c r="Q531" s="160" t="str">
        <f t="shared" ref="Q531:Q560" si="316">IMSUM(COMPLEX(1,0),IMDIV(COMPLEX(0,2*PI()*O531),COMPLEX(wp_lf,0)))</f>
        <v>1+74925.9284722619i</v>
      </c>
      <c r="R531" s="160">
        <f t="shared" si="288"/>
        <v>74925.928478935166</v>
      </c>
      <c r="S531" s="160">
        <f t="shared" si="289"/>
        <v>1.5707829802802744</v>
      </c>
      <c r="T531" s="160" t="str">
        <f t="shared" ref="T531:T560" si="317">IMSUM(COMPLEX(1,0),IMDIV(COMPLEX(0,2*PI()*O531),COMPLEX(wz_esr,0)))</f>
        <v>1+1.4103704183014i</v>
      </c>
      <c r="U531" s="160">
        <f t="shared" si="290"/>
        <v>1.7289143173736707</v>
      </c>
      <c r="V531" s="160">
        <f t="shared" si="291"/>
        <v>0.95403324574965009</v>
      </c>
      <c r="W531" s="98" t="str">
        <f t="shared" ref="W531:W560" si="318">IMSUB(COMPLEX(1,0),IMDIV(COMPLEX(0,2*PI()*O531),COMPLEX(wz_rhp,0)))</f>
        <v>1-5.76353295940474i</v>
      </c>
      <c r="X531" s="160">
        <f t="shared" si="292"/>
        <v>5.8496420552154103</v>
      </c>
      <c r="Y531" s="160">
        <f t="shared" si="293"/>
        <v>-1.3990019045983777</v>
      </c>
      <c r="Z531" s="98" t="str">
        <f t="shared" ref="Z531:Z560" si="319">IF(Dc_Mode_Loop="CCM",IMSUM(COMPLEX(1,0),IMDIV(COMPLEX(0,2*PI()*O531),COMPLEX(Q*(wsl/2),0)),IMDIV(IMPOWER(COMPLEX(0,2*PI()*O531),2),IMPOWER(COMPLEX(wsl/2,0),2))),COMPLEX(1,0))</f>
        <v>-726.880343443997-39.4618277337761i</v>
      </c>
      <c r="AA531" s="160">
        <f t="shared" si="294"/>
        <v>727.95073290254561</v>
      </c>
      <c r="AB531" s="160">
        <f t="shared" si="295"/>
        <v>-3.0873565918851575</v>
      </c>
      <c r="AC531" s="171" t="str">
        <f t="shared" si="296"/>
        <v>0.0000684630916777082+0.000125562064235285i</v>
      </c>
      <c r="AD531" s="190">
        <f t="shared" si="297"/>
        <v>-76.892424105207766</v>
      </c>
      <c r="AE531" s="169">
        <f t="shared" si="298"/>
        <v>61.398441098243651</v>
      </c>
      <c r="AF531" s="98" t="str">
        <f t="shared" ref="AF531:AF560" si="320">COMPLEX(Adc_ea,0)</f>
        <v>-0.0000119284294234592</v>
      </c>
      <c r="AG531" s="98" t="str">
        <f t="shared" ref="AG531:AG560" si="321">COMPLEX(0,2*PI()*O531*wp0_ea)</f>
        <v>0.152843808613156i</v>
      </c>
      <c r="AH531" s="98">
        <f t="shared" si="299"/>
        <v>0.152843808613156</v>
      </c>
      <c r="AI531" s="98">
        <f t="shared" si="300"/>
        <v>1.5707963267948966</v>
      </c>
      <c r="AJ531" s="98" t="str">
        <f t="shared" ref="AJ531:AJ560" si="322">IMSUM(COMPLEX(1,0),IMDIV(COMPLEX(0,2*PI()*O531),COMPLEX(wp1_ea,0)))</f>
        <v>1+8.37567053022015i</v>
      </c>
      <c r="AK531" s="98">
        <f t="shared" si="301"/>
        <v>8.4351560051251155</v>
      </c>
      <c r="AL531" s="98">
        <f t="shared" si="302"/>
        <v>1.4519654069024708</v>
      </c>
      <c r="AM531" s="98" t="str">
        <f t="shared" ref="AM531:AM560" si="323">IMSUM(COMPLEX(1,0),IMDIV(COMPLEX(0,2*PI()*O531),COMPLEX(wz_ea,0)))</f>
        <v>1+4576.92323246848i</v>
      </c>
      <c r="AN531" s="98">
        <f t="shared" si="303"/>
        <v>4576.9233417121732</v>
      </c>
      <c r="AO531" s="98">
        <f t="shared" si="304"/>
        <v>1.5705778394108405</v>
      </c>
      <c r="AP531" s="168" t="str">
        <f t="shared" si="305"/>
        <v>-0.00501103373682473+0.042048810857611i</v>
      </c>
      <c r="AQ531" s="98">
        <f t="shared" si="306"/>
        <v>-27.463681325774271</v>
      </c>
      <c r="AR531" s="169">
        <f t="shared" si="307"/>
        <v>96.79599178050988</v>
      </c>
      <c r="AS531" s="168" t="str">
        <f t="shared" si="308"/>
        <v>-5.62280635204502E-06+2.24959585273487E-06i</v>
      </c>
      <c r="AT531" s="190">
        <f t="shared" si="309"/>
        <v>-104.35610543098204</v>
      </c>
      <c r="AU531" s="169">
        <f t="shared" si="310"/>
        <v>158.1944328787535</v>
      </c>
      <c r="AV531" s="225"/>
      <c r="AX531">
        <f t="shared" si="311"/>
        <v>0</v>
      </c>
      <c r="AY531">
        <f t="shared" si="312"/>
        <v>0</v>
      </c>
    </row>
    <row r="532" spans="14:51" x14ac:dyDescent="0.2">
      <c r="N532" s="170">
        <v>14</v>
      </c>
      <c r="O532" s="199">
        <f t="shared" si="314"/>
        <v>1380384.2646028849</v>
      </c>
      <c r="P532" s="189" t="str">
        <f t="shared" si="315"/>
        <v>771.276595744681</v>
      </c>
      <c r="Q532" s="160" t="str">
        <f t="shared" si="316"/>
        <v>1+76671.1775457945i</v>
      </c>
      <c r="R532" s="160">
        <f t="shared" ref="R532:R560" si="324">IMABS(Q532)</f>
        <v>76671.177552315858</v>
      </c>
      <c r="S532" s="160">
        <f t="shared" ref="S532:S560" si="325">IMARGUMENT(Q532)</f>
        <v>1.5707832840840377</v>
      </c>
      <c r="T532" s="160" t="str">
        <f t="shared" si="317"/>
        <v>1+1.44322216556789i</v>
      </c>
      <c r="U532" s="160">
        <f t="shared" ref="U532:U560" si="326">IMABS(T532)</f>
        <v>1.7558161120078806</v>
      </c>
      <c r="V532" s="160">
        <f t="shared" ref="V532:V560" si="327">IMARGUMENT(T532)</f>
        <v>0.96485541819200427</v>
      </c>
      <c r="W532" s="98" t="str">
        <f t="shared" si="318"/>
        <v>1-5.89778288813801i</v>
      </c>
      <c r="X532" s="160">
        <f t="shared" ref="X532:X560" si="328">IMABS(W532)</f>
        <v>5.9819597955530863</v>
      </c>
      <c r="Y532" s="160">
        <f t="shared" ref="Y532:Y560" si="329">IMARGUMENT(W532)</f>
        <v>-1.4028384677154448</v>
      </c>
      <c r="Z532" s="98" t="str">
        <f t="shared" si="319"/>
        <v>-761.1842871853-40.3810117825634i</v>
      </c>
      <c r="AA532" s="160">
        <f t="shared" ref="AA532:AA560" si="330">IMABS(Z532)</f>
        <v>762.25464588310433</v>
      </c>
      <c r="AB532" s="160">
        <f t="shared" ref="AB532:AB560" si="331">IMARGUMENT(Z532)</f>
        <v>-3.0885920931578523</v>
      </c>
      <c r="AC532" s="171" t="str">
        <f t="shared" ref="AC532:AC560" si="332">(IMDIV(IMPRODUCT(P532,T532,W532),IMPRODUCT(Q532,Z532)))</f>
        <v>0.0000653530113400259+0.00012223844592783i</v>
      </c>
      <c r="AD532" s="190">
        <f t="shared" ref="AD532:AD560" si="333">20*LOG(IMABS(AC532))</f>
        <v>-77.163990813759725</v>
      </c>
      <c r="AE532" s="169">
        <f t="shared" ref="AE532:AE560" si="334">(180/PI())*IMARGUMENT(AC532)</f>
        <v>61.869458631744955</v>
      </c>
      <c r="AF532" s="98" t="str">
        <f t="shared" si="320"/>
        <v>-0.0000119284294234592</v>
      </c>
      <c r="AG532" s="98" t="str">
        <f t="shared" si="321"/>
        <v>0.156403998267343i</v>
      </c>
      <c r="AH532" s="98">
        <f t="shared" ref="AH532:AH560" si="335">IMABS(AG532)</f>
        <v>0.156403998267343</v>
      </c>
      <c r="AI532" s="98">
        <f t="shared" ref="AI532:AI560" si="336">IMARGUMENT(AG532)</f>
        <v>1.5707963267948966</v>
      </c>
      <c r="AJ532" s="98" t="str">
        <f t="shared" si="322"/>
        <v>1+8.57076495922669i</v>
      </c>
      <c r="AK532" s="98">
        <f t="shared" ref="AK532:AK560" si="337">IMABS(AJ532)</f>
        <v>8.6289056076832882</v>
      </c>
      <c r="AL532" s="98">
        <f t="shared" ref="AL532:AL560" si="338">IMARGUMENT(AJ532)</f>
        <v>1.454645788026228</v>
      </c>
      <c r="AM532" s="98" t="str">
        <f t="shared" si="323"/>
        <v>1+4683.53346999196i</v>
      </c>
      <c r="AN532" s="98">
        <f t="shared" ref="AN532:AN560" si="339">IMABS(AM532)</f>
        <v>4683.5335767489632</v>
      </c>
      <c r="AO532" s="98">
        <f t="shared" ref="AO532:AO560" si="340">IMARGUMENT(AM532)</f>
        <v>1.5705828127907349</v>
      </c>
      <c r="AP532" s="168" t="str">
        <f t="shared" ref="AP532:AP560" si="341">IMPRODUCT(AF532,IMDIV(AM532,IMPRODUCT(AG532,AJ532)))</f>
        <v>-0.00478852907169231+0.0411176239545158i</v>
      </c>
      <c r="AQ532" s="98">
        <f t="shared" ref="AQ532:AQ560" si="342">20*LOG(IMABS(AP532))</f>
        <v>-27.660933317398062</v>
      </c>
      <c r="AR532" s="169">
        <f t="shared" ref="AR532:AR560" si="343">(180/PI())*IMARGUMENT(AP532)</f>
        <v>96.642702208309913</v>
      </c>
      <c r="AS532" s="168" t="str">
        <f t="shared" ref="AS532:AS560" si="344">IMPRODUCT(AC532,AP532)</f>
        <v>-5.33909924716928E-06+2.10181819257049E-06i</v>
      </c>
      <c r="AT532" s="190">
        <f t="shared" ref="AT532:AT560" si="345">20*LOG(IMABS(AS532))</f>
        <v>-104.82492413115779</v>
      </c>
      <c r="AU532" s="169">
        <f t="shared" ref="AU532:AU560" si="346">(180/PI())*IMARGUMENT(AS532)</f>
        <v>158.51216084005486</v>
      </c>
      <c r="AV532" s="225"/>
      <c r="AX532">
        <f t="shared" ref="AX532:AX559" si="347">SUM((AT533&lt;0)*(AT532&gt;0))*O532</f>
        <v>0</v>
      </c>
      <c r="AY532">
        <f t="shared" ref="AY532:AY559" si="348">IF(AX532&gt;0,AU532,0)</f>
        <v>0</v>
      </c>
    </row>
    <row r="533" spans="14:51" x14ac:dyDescent="0.2">
      <c r="N533" s="170">
        <v>15</v>
      </c>
      <c r="O533" s="199">
        <f t="shared" si="314"/>
        <v>1412537.5446227565</v>
      </c>
      <c r="P533" s="189" t="str">
        <f t="shared" si="315"/>
        <v>771.276595744681</v>
      </c>
      <c r="Q533" s="160" t="str">
        <f t="shared" si="316"/>
        <v>1+78457.0786925252i</v>
      </c>
      <c r="R533" s="160">
        <f t="shared" si="324"/>
        <v>78457.078698898113</v>
      </c>
      <c r="S533" s="160">
        <f t="shared" si="325"/>
        <v>1.5707835809723831</v>
      </c>
      <c r="T533" s="160" t="str">
        <f t="shared" si="317"/>
        <v>1+1.47683912832988i</v>
      </c>
      <c r="U533" s="160">
        <f t="shared" si="326"/>
        <v>1.7835508994604443</v>
      </c>
      <c r="V533" s="160">
        <f t="shared" si="327"/>
        <v>0.9755904238250942</v>
      </c>
      <c r="W533" s="98" t="str">
        <f t="shared" si="318"/>
        <v>1-6.03515989942499i</v>
      </c>
      <c r="X533" s="160">
        <f t="shared" si="328"/>
        <v>6.1174467722757866</v>
      </c>
      <c r="Y533" s="160">
        <f t="shared" si="329"/>
        <v>-1.4065925293170307</v>
      </c>
      <c r="Z533" s="98" t="str">
        <f t="shared" si="319"/>
        <v>-797.104925987555-41.3216063783037i</v>
      </c>
      <c r="AA533" s="160">
        <f t="shared" si="330"/>
        <v>798.17525530882574</v>
      </c>
      <c r="AB533" s="160">
        <f t="shared" si="331"/>
        <v>-3.0897994084779583</v>
      </c>
      <c r="AC533" s="171" t="str">
        <f t="shared" si="332"/>
        <v>0.0000623854350290318+0.000119021472544782i</v>
      </c>
      <c r="AD533" s="190">
        <f t="shared" si="333"/>
        <v>-77.433290663126243</v>
      </c>
      <c r="AE533" s="169">
        <f t="shared" si="334"/>
        <v>62.338594323701543</v>
      </c>
      <c r="AF533" s="98" t="str">
        <f t="shared" si="320"/>
        <v>-0.0000119284294234592</v>
      </c>
      <c r="AG533" s="98" t="str">
        <f t="shared" si="321"/>
        <v>0.160047115391663i</v>
      </c>
      <c r="AH533" s="98">
        <f t="shared" si="335"/>
        <v>0.160047115391663</v>
      </c>
      <c r="AI533" s="98">
        <f t="shared" si="336"/>
        <v>1.5707963267948966</v>
      </c>
      <c r="AJ533" s="98" t="str">
        <f t="shared" si="322"/>
        <v>1+8.77040372126213i</v>
      </c>
      <c r="AK533" s="98">
        <f t="shared" si="337"/>
        <v>8.827229544649251</v>
      </c>
      <c r="AL533" s="98">
        <f t="shared" si="338"/>
        <v>1.4572667771993002</v>
      </c>
      <c r="AM533" s="98" t="str">
        <f t="shared" si="323"/>
        <v>1+4792.62697895515i</v>
      </c>
      <c r="AN533" s="98">
        <f t="shared" si="339"/>
        <v>4792.6270832820665</v>
      </c>
      <c r="AO533" s="98">
        <f t="shared" si="340"/>
        <v>1.5705876729626917</v>
      </c>
      <c r="AP533" s="168" t="str">
        <f t="shared" si="341"/>
        <v>-0.00457577566697938+0.0402059306740779i</v>
      </c>
      <c r="AQ533" s="98">
        <f t="shared" si="342"/>
        <v>-27.85830736558356</v>
      </c>
      <c r="AR533" s="169">
        <f t="shared" si="343"/>
        <v>96.492809057884273</v>
      </c>
      <c r="AS533" s="168" t="str">
        <f t="shared" si="344"/>
        <v>-5.07083082944194E-06+1.96364891793098E-06i</v>
      </c>
      <c r="AT533" s="190">
        <f t="shared" si="345"/>
        <v>-105.2915980287098</v>
      </c>
      <c r="AU533" s="169">
        <f t="shared" si="346"/>
        <v>158.83140338158577</v>
      </c>
      <c r="AV533" s="225"/>
      <c r="AX533">
        <f t="shared" si="347"/>
        <v>0</v>
      </c>
      <c r="AY533">
        <f t="shared" si="348"/>
        <v>0</v>
      </c>
    </row>
    <row r="534" spans="14:51" x14ac:dyDescent="0.2">
      <c r="N534" s="170">
        <v>16</v>
      </c>
      <c r="O534" s="199">
        <f t="shared" si="314"/>
        <v>1445439.7707459298</v>
      </c>
      <c r="P534" s="189" t="str">
        <f t="shared" si="315"/>
        <v>771.276595744681</v>
      </c>
      <c r="Q534" s="160" t="str">
        <f t="shared" si="316"/>
        <v>1+80284.5788208808i</v>
      </c>
      <c r="R534" s="160">
        <f t="shared" si="324"/>
        <v>80284.578827108649</v>
      </c>
      <c r="S534" s="160">
        <f t="shared" si="325"/>
        <v>1.5707838711027247</v>
      </c>
      <c r="T534" s="160" t="str">
        <f t="shared" si="317"/>
        <v>1+1.51123913074599i</v>
      </c>
      <c r="U534" s="160">
        <f t="shared" si="326"/>
        <v>1.8121378839089191</v>
      </c>
      <c r="V534" s="160">
        <f t="shared" si="327"/>
        <v>0.98623405766325012</v>
      </c>
      <c r="W534" s="98" t="str">
        <f t="shared" si="318"/>
        <v>1-6.17573683237542i</v>
      </c>
      <c r="X534" s="160">
        <f t="shared" si="328"/>
        <v>6.2561749833870843</v>
      </c>
      <c r="Y534" s="160">
        <f t="shared" si="329"/>
        <v>-1.4102656563957039</v>
      </c>
      <c r="Z534" s="98" t="str">
        <f t="shared" si="319"/>
        <v>-834.71845234162-42.2841102367019i</v>
      </c>
      <c r="AA534" s="160">
        <f t="shared" si="330"/>
        <v>835.78875360829011</v>
      </c>
      <c r="AB534" s="160">
        <f t="shared" si="331"/>
        <v>-3.0909791835993414</v>
      </c>
      <c r="AC534" s="171" t="str">
        <f t="shared" si="332"/>
        <v>0.0000595537267431779+0.000115906656629651i</v>
      </c>
      <c r="AD534" s="190">
        <f t="shared" si="333"/>
        <v>-77.700367528525959</v>
      </c>
      <c r="AE534" s="169">
        <f t="shared" si="334"/>
        <v>62.805554454072897</v>
      </c>
      <c r="AF534" s="98" t="str">
        <f t="shared" si="320"/>
        <v>-0.0000119284294234592</v>
      </c>
      <c r="AG534" s="98" t="str">
        <f t="shared" si="321"/>
        <v>0.163775091615038i</v>
      </c>
      <c r="AH534" s="98">
        <f t="shared" si="335"/>
        <v>0.163775091615038</v>
      </c>
      <c r="AI534" s="98">
        <f t="shared" si="336"/>
        <v>1.5707963267948966</v>
      </c>
      <c r="AJ534" s="98" t="str">
        <f t="shared" si="322"/>
        <v>1+8.9746926674406i</v>
      </c>
      <c r="AK534" s="98">
        <f t="shared" si="337"/>
        <v>9.0302330244026408</v>
      </c>
      <c r="AL534" s="98">
        <f t="shared" si="338"/>
        <v>1.4598296199861918</v>
      </c>
      <c r="AM534" s="98" t="str">
        <f t="shared" si="323"/>
        <v>1+4904.26160218049i</v>
      </c>
      <c r="AN534" s="98">
        <f t="shared" si="339"/>
        <v>4904.2617041326366</v>
      </c>
      <c r="AO534" s="98">
        <f t="shared" si="340"/>
        <v>1.5705924225036376</v>
      </c>
      <c r="AP534" s="168" t="str">
        <f t="shared" si="341"/>
        <v>-0.00437235735759814+0.0393133977267146i</v>
      </c>
      <c r="AQ534" s="98">
        <f t="shared" si="342"/>
        <v>-28.055798117998112</v>
      </c>
      <c r="AR534" s="169">
        <f t="shared" si="343"/>
        <v>96.346241111290695</v>
      </c>
      <c r="AS534" s="168" t="str">
        <f t="shared" si="344"/>
        <v>-4.81707466655313E-06+1.83447402265338E-06i</v>
      </c>
      <c r="AT534" s="190">
        <f t="shared" si="345"/>
        <v>-105.75616564652407</v>
      </c>
      <c r="AU534" s="169">
        <f t="shared" si="346"/>
        <v>159.15179556536353</v>
      </c>
      <c r="AV534" s="225"/>
      <c r="AX534">
        <f t="shared" si="347"/>
        <v>0</v>
      </c>
      <c r="AY534">
        <f t="shared" si="348"/>
        <v>0</v>
      </c>
    </row>
    <row r="535" spans="14:51" x14ac:dyDescent="0.2">
      <c r="N535" s="170">
        <v>17</v>
      </c>
      <c r="O535" s="199">
        <f t="shared" si="314"/>
        <v>1479108.3881682095</v>
      </c>
      <c r="P535" s="189" t="str">
        <f t="shared" si="315"/>
        <v>771.276595744681</v>
      </c>
      <c r="Q535" s="160" t="str">
        <f t="shared" si="316"/>
        <v>1+82154.6468956191i</v>
      </c>
      <c r="R535" s="160">
        <f t="shared" si="324"/>
        <v>82154.646901705171</v>
      </c>
      <c r="S535" s="160">
        <f t="shared" si="325"/>
        <v>1.5707841546288934</v>
      </c>
      <c r="T535" s="160" t="str">
        <f t="shared" si="317"/>
        <v>1+1.54644041215283i</v>
      </c>
      <c r="U535" s="160">
        <f t="shared" si="326"/>
        <v>1.8415965758926178</v>
      </c>
      <c r="V535" s="160">
        <f t="shared" si="327"/>
        <v>0.99678231674795581</v>
      </c>
      <c r="W535" s="98" t="str">
        <f t="shared" si="318"/>
        <v>1-6.3195882227399i</v>
      </c>
      <c r="X535" s="160">
        <f t="shared" si="328"/>
        <v>6.3982181351523835</v>
      </c>
      <c r="Y535" s="160">
        <f t="shared" si="329"/>
        <v>-1.4138593998324573</v>
      </c>
      <c r="Z535" s="98" t="str">
        <f t="shared" si="319"/>
        <v>-874.104649579824-43.269033690044i</v>
      </c>
      <c r="AA535" s="160">
        <f t="shared" si="330"/>
        <v>875.17492405434984</v>
      </c>
      <c r="AB535" s="160">
        <f t="shared" si="331"/>
        <v>-3.0921320492998201</v>
      </c>
      <c r="AC535" s="171" t="str">
        <f t="shared" si="332"/>
        <v>0.0000568515686919609+0.000112889749434521i</v>
      </c>
      <c r="AD535" s="190">
        <f t="shared" si="333"/>
        <v>-77.965266094653671</v>
      </c>
      <c r="AE535" s="169">
        <f t="shared" si="334"/>
        <v>63.270056943388219</v>
      </c>
      <c r="AF535" s="98" t="str">
        <f t="shared" si="320"/>
        <v>-0.0000119284294234592</v>
      </c>
      <c r="AG535" s="98" t="str">
        <f t="shared" si="321"/>
        <v>0.167589903559807i</v>
      </c>
      <c r="AH535" s="98">
        <f t="shared" si="335"/>
        <v>0.16758990355980699</v>
      </c>
      <c r="AI535" s="98">
        <f t="shared" si="336"/>
        <v>1.5707963267948966</v>
      </c>
      <c r="AJ535" s="98" t="str">
        <f t="shared" si="322"/>
        <v>1+9.18374011446542i</v>
      </c>
      <c r="AK535" s="98">
        <f t="shared" si="337"/>
        <v>9.238023732922608</v>
      </c>
      <c r="AL535" s="98">
        <f t="shared" si="338"/>
        <v>1.4623355405017762</v>
      </c>
      <c r="AM535" s="98" t="str">
        <f t="shared" si="323"/>
        <v>1+5018.49652982287i</v>
      </c>
      <c r="AN535" s="98">
        <f t="shared" si="339"/>
        <v>5018.4966294543019</v>
      </c>
      <c r="AO535" s="98">
        <f t="shared" si="340"/>
        <v>1.5705970639318414</v>
      </c>
      <c r="AP535" s="168" t="str">
        <f t="shared" si="341"/>
        <v>-0.00417787476574908+0.0384396923804413i</v>
      </c>
      <c r="AQ535" s="98">
        <f t="shared" si="342"/>
        <v>-28.253400451015366</v>
      </c>
      <c r="AR535" s="169">
        <f t="shared" si="343"/>
        <v>96.202928376199409</v>
      </c>
      <c r="AS535" s="168" t="str">
        <f t="shared" si="344"/>
        <v>-4.57696597539948E-06+1.71371757639028E-06i</v>
      </c>
      <c r="AT535" s="190">
        <f t="shared" si="345"/>
        <v>-106.21866654566904</v>
      </c>
      <c r="AU535" s="169">
        <f t="shared" si="346"/>
        <v>159.47298531958768</v>
      </c>
      <c r="AV535" s="225"/>
      <c r="AX535">
        <f t="shared" si="347"/>
        <v>0</v>
      </c>
      <c r="AY535">
        <f t="shared" si="348"/>
        <v>0</v>
      </c>
    </row>
    <row r="536" spans="14:51" x14ac:dyDescent="0.2">
      <c r="N536" s="170">
        <v>18</v>
      </c>
      <c r="O536" s="199">
        <f t="shared" si="314"/>
        <v>1513561.2484362102</v>
      </c>
      <c r="P536" s="189" t="str">
        <f t="shared" si="315"/>
        <v>771.276595744681</v>
      </c>
      <c r="Q536" s="160" t="str">
        <f t="shared" si="316"/>
        <v>1+84068.2744515869i</v>
      </c>
      <c r="R536" s="160">
        <f t="shared" si="324"/>
        <v>84068.27445753444</v>
      </c>
      <c r="S536" s="160">
        <f t="shared" si="325"/>
        <v>1.5707844317012185</v>
      </c>
      <c r="T536" s="160" t="str">
        <f t="shared" si="317"/>
        <v>1+1.58246163673575i</v>
      </c>
      <c r="U536" s="160">
        <f t="shared" si="326"/>
        <v>1.8719468025935964</v>
      </c>
      <c r="V536" s="160">
        <f t="shared" si="327"/>
        <v>1.007231404455367</v>
      </c>
      <c r="W536" s="98" t="str">
        <f t="shared" si="318"/>
        <v>1-6.46679034242973i</v>
      </c>
      <c r="X536" s="160">
        <f t="shared" si="328"/>
        <v>6.5436516818166934</v>
      </c>
      <c r="Y536" s="160">
        <f t="shared" si="329"/>
        <v>-1.4173752935829742</v>
      </c>
      <c r="Z536" s="98" t="str">
        <f t="shared" si="319"/>
        <v>-915.347061107114-44.2768989577819i</v>
      </c>
      <c r="AA536" s="160">
        <f t="shared" si="330"/>
        <v>916.41730999515084</v>
      </c>
      <c r="AB536" s="160">
        <f t="shared" si="331"/>
        <v>-3.0932586217404334</v>
      </c>
      <c r="AC536" s="171" t="str">
        <f t="shared" si="332"/>
        <v>0.0000542729452565537+0.000109966726472684i</v>
      </c>
      <c r="AD536" s="190">
        <f t="shared" si="333"/>
        <v>-78.228031756106091</v>
      </c>
      <c r="AE536" s="169">
        <f t="shared" si="334"/>
        <v>63.731831666752065</v>
      </c>
      <c r="AF536" s="98" t="str">
        <f t="shared" si="320"/>
        <v>-0.0000119284294234592</v>
      </c>
      <c r="AG536" s="98" t="str">
        <f t="shared" si="321"/>
        <v>0.171493573889758i</v>
      </c>
      <c r="AH536" s="98">
        <f t="shared" si="335"/>
        <v>0.171493573889758</v>
      </c>
      <c r="AI536" s="98">
        <f t="shared" si="336"/>
        <v>1.5707963267948966</v>
      </c>
      <c r="AJ536" s="98" t="str">
        <f t="shared" si="322"/>
        <v>1+9.39765690206012i</v>
      </c>
      <c r="AK536" s="98">
        <f t="shared" si="337"/>
        <v>9.450711891113718</v>
      </c>
      <c r="AL536" s="98">
        <f t="shared" si="338"/>
        <v>1.4647857414597305</v>
      </c>
      <c r="AM536" s="98" t="str">
        <f t="shared" si="323"/>
        <v>1+5135.39233075303i</v>
      </c>
      <c r="AN536" s="98">
        <f t="shared" si="339"/>
        <v>5135.3924281165737</v>
      </c>
      <c r="AO536" s="98">
        <f t="shared" si="340"/>
        <v>1.570601599708249</v>
      </c>
      <c r="AP536" s="168" t="str">
        <f t="shared" si="341"/>
        <v>-0.003991944709358+0.037584482881146i</v>
      </c>
      <c r="AQ536" s="98">
        <f t="shared" si="342"/>
        <v>-28.451109460465393</v>
      </c>
      <c r="AR536" s="169">
        <f t="shared" si="343"/>
        <v>96.062802083194669</v>
      </c>
      <c r="AS536" s="168" t="str">
        <f t="shared" si="344"/>
        <v>-4.34969714528643E-06+1.60083948995627E-06i</v>
      </c>
      <c r="AT536" s="190">
        <f t="shared" si="345"/>
        <v>-106.67914121657148</v>
      </c>
      <c r="AU536" s="169">
        <f t="shared" si="346"/>
        <v>159.79463374994668</v>
      </c>
      <c r="AV536" s="225"/>
      <c r="AX536">
        <f t="shared" si="347"/>
        <v>0</v>
      </c>
      <c r="AY536">
        <f t="shared" si="348"/>
        <v>0</v>
      </c>
    </row>
    <row r="537" spans="14:51" x14ac:dyDescent="0.2">
      <c r="N537" s="170">
        <v>19</v>
      </c>
      <c r="O537" s="199">
        <f t="shared" si="314"/>
        <v>1548816.6189124861</v>
      </c>
      <c r="P537" s="189" t="str">
        <f t="shared" si="315"/>
        <v>771.276595744681</v>
      </c>
      <c r="Q537" s="160" t="str">
        <f t="shared" si="316"/>
        <v>1+86026.4761194441i</v>
      </c>
      <c r="R537" s="160">
        <f t="shared" si="324"/>
        <v>86026.476125256246</v>
      </c>
      <c r="S537" s="160">
        <f t="shared" si="325"/>
        <v>1.5707847024666077</v>
      </c>
      <c r="T537" s="160" t="str">
        <f t="shared" si="317"/>
        <v>1+1.61932190342483i</v>
      </c>
      <c r="U537" s="160">
        <f t="shared" si="326"/>
        <v>1.9032087186936211</v>
      </c>
      <c r="V537" s="160">
        <f t="shared" si="327"/>
        <v>1.0175777338325074</v>
      </c>
      <c r="W537" s="98" t="str">
        <f t="shared" si="318"/>
        <v>1-6.61742123995721i</v>
      </c>
      <c r="X537" s="160">
        <f t="shared" si="328"/>
        <v>6.6925528662115772</v>
      </c>
      <c r="Y537" s="160">
        <f t="shared" si="329"/>
        <v>-1.4208148539484027</v>
      </c>
      <c r="Z537" s="98" t="str">
        <f t="shared" si="319"/>
        <v>-958.533167607804-45.3082404234213i</v>
      </c>
      <c r="AA537" s="160">
        <f t="shared" si="330"/>
        <v>959.60339206076014</v>
      </c>
      <c r="AB537" s="160">
        <f t="shared" si="331"/>
        <v>-3.0943595028153208</v>
      </c>
      <c r="AC537" s="171" t="str">
        <f t="shared" si="332"/>
        <v>0.0000518121278231969+0.000107133773990737i</v>
      </c>
      <c r="AD537" s="190">
        <f t="shared" si="333"/>
        <v>-78.488710517219303</v>
      </c>
      <c r="AE537" s="169">
        <f t="shared" si="334"/>
        <v>64.190620706817725</v>
      </c>
      <c r="AF537" s="98" t="str">
        <f t="shared" si="320"/>
        <v>-0.0000119284294234592</v>
      </c>
      <c r="AG537" s="98" t="str">
        <f t="shared" si="321"/>
        <v>0.175488172382571i</v>
      </c>
      <c r="AH537" s="98">
        <f t="shared" si="335"/>
        <v>0.175488172382571</v>
      </c>
      <c r="AI537" s="98">
        <f t="shared" si="336"/>
        <v>1.5707963267948966</v>
      </c>
      <c r="AJ537" s="98" t="str">
        <f t="shared" si="322"/>
        <v>1+9.616556451737i</v>
      </c>
      <c r="AK537" s="98">
        <f t="shared" si="337"/>
        <v>9.6684103134612833</v>
      </c>
      <c r="AL537" s="98">
        <f t="shared" si="338"/>
        <v>1.4671814042470122</v>
      </c>
      <c r="AM537" s="98" t="str">
        <f t="shared" si="323"/>
        <v>1+5255.01098467192i</v>
      </c>
      <c r="AN537" s="98">
        <f t="shared" si="339"/>
        <v>5255.011079819199</v>
      </c>
      <c r="AO537" s="98">
        <f t="shared" si="340"/>
        <v>1.5706060322377879</v>
      </c>
      <c r="AP537" s="168" t="str">
        <f t="shared" si="341"/>
        <v>-0.00381419962358604+0.0367474388381823i</v>
      </c>
      <c r="AQ537" s="98">
        <f t="shared" si="342"/>
        <v>-28.648920452712932</v>
      </c>
      <c r="AR537" s="169">
        <f t="shared" si="343"/>
        <v>95.925794681582062</v>
      </c>
      <c r="AS537" s="168" t="str">
        <f t="shared" si="344"/>
        <v>-4.13451360566868E-06+1.49533339783019E-06i</v>
      </c>
      <c r="AT537" s="190">
        <f t="shared" si="345"/>
        <v>-107.13763096993222</v>
      </c>
      <c r="AU537" s="169">
        <f t="shared" si="346"/>
        <v>160.11641538839979</v>
      </c>
      <c r="AV537" s="225"/>
      <c r="AX537">
        <f t="shared" si="347"/>
        <v>0</v>
      </c>
      <c r="AY537">
        <f t="shared" si="348"/>
        <v>0</v>
      </c>
    </row>
    <row r="538" spans="14:51" x14ac:dyDescent="0.2">
      <c r="N538" s="170">
        <v>20</v>
      </c>
      <c r="O538" s="199">
        <f t="shared" si="314"/>
        <v>1584893.1924611153</v>
      </c>
      <c r="P538" s="189" t="str">
        <f t="shared" si="315"/>
        <v>771.276595744681</v>
      </c>
      <c r="Q538" s="160" t="str">
        <f t="shared" si="316"/>
        <v>1+88030.2901636346i</v>
      </c>
      <c r="R538" s="160">
        <f t="shared" si="324"/>
        <v>88030.290169314467</v>
      </c>
      <c r="S538" s="160">
        <f t="shared" si="325"/>
        <v>1.570784967068624</v>
      </c>
      <c r="T538" s="160" t="str">
        <f t="shared" si="317"/>
        <v>1+1.65704075602135i</v>
      </c>
      <c r="U538" s="160">
        <f t="shared" si="326"/>
        <v>1.9354028177916369</v>
      </c>
      <c r="V538" s="160">
        <f t="shared" si="327"/>
        <v>1.0278179299843286</v>
      </c>
      <c r="W538" s="98" t="str">
        <f t="shared" si="318"/>
        <v>1-6.77156078181802i</v>
      </c>
      <c r="X538" s="160">
        <f t="shared" si="328"/>
        <v>6.8450007612750392</v>
      </c>
      <c r="Y538" s="160">
        <f t="shared" si="329"/>
        <v>-1.4241795789255993</v>
      </c>
      <c r="Z538" s="98" t="str">
        <f t="shared" si="319"/>
        <v>-1003.75457260384-46.3636049178585i</v>
      </c>
      <c r="AA538" s="160">
        <f t="shared" si="330"/>
        <v>1004.8247737213173</v>
      </c>
      <c r="AB538" s="160">
        <f t="shared" si="331"/>
        <v>-3.0954352804925001</v>
      </c>
      <c r="AC538" s="171" t="str">
        <f t="shared" si="332"/>
        <v>0.0000494636604368268+0.000104387276300995i</v>
      </c>
      <c r="AD538" s="190">
        <f t="shared" si="333"/>
        <v>-78.747348891988892</v>
      </c>
      <c r="AE538" s="169">
        <f t="shared" si="334"/>
        <v>64.646178547305553</v>
      </c>
      <c r="AF538" s="98" t="str">
        <f t="shared" si="320"/>
        <v>-0.0000119284294234592</v>
      </c>
      <c r="AG538" s="98" t="str">
        <f t="shared" si="321"/>
        <v>0.179575817027242i</v>
      </c>
      <c r="AH538" s="98">
        <f t="shared" si="335"/>
        <v>0.17957581702724201</v>
      </c>
      <c r="AI538" s="98">
        <f t="shared" si="336"/>
        <v>1.5707963267948966</v>
      </c>
      <c r="AJ538" s="98" t="str">
        <f t="shared" si="322"/>
        <v>1+9.84055482693473i</v>
      </c>
      <c r="AK538" s="98">
        <f t="shared" si="337"/>
        <v>9.8912344680483848</v>
      </c>
      <c r="AL538" s="98">
        <f t="shared" si="338"/>
        <v>1.4695236890222019</v>
      </c>
      <c r="AM538" s="98" t="str">
        <f t="shared" si="323"/>
        <v>1+5377.41591497315i</v>
      </c>
      <c r="AN538" s="98">
        <f t="shared" si="339"/>
        <v>5377.4160079546127</v>
      </c>
      <c r="AO538" s="98">
        <f t="shared" si="340"/>
        <v>1.5706103638706437</v>
      </c>
      <c r="AP538" s="168" t="str">
        <f t="shared" si="341"/>
        <v>-0.0036442869959081+0.0359282315773594i</v>
      </c>
      <c r="AQ538" s="98">
        <f t="shared" si="342"/>
        <v>-28.846828936055694</v>
      </c>
      <c r="AR538" s="169">
        <f t="shared" si="343"/>
        <v>95.79183983382697</v>
      </c>
      <c r="AS538" s="168" t="str">
        <f t="shared" si="344"/>
        <v>-3.93071001117189E-06+0.0000013967246532762i</v>
      </c>
      <c r="AT538" s="190">
        <f t="shared" si="345"/>
        <v>-107.59417782804459</v>
      </c>
      <c r="AU538" s="169">
        <f t="shared" si="346"/>
        <v>160.43801838113254</v>
      </c>
      <c r="AV538" s="225"/>
      <c r="AX538">
        <f t="shared" si="347"/>
        <v>0</v>
      </c>
      <c r="AY538">
        <f t="shared" si="348"/>
        <v>0</v>
      </c>
    </row>
    <row r="539" spans="14:51" x14ac:dyDescent="0.2">
      <c r="N539" s="170">
        <v>21</v>
      </c>
      <c r="O539" s="199">
        <f t="shared" si="314"/>
        <v>1621810.0973589318</v>
      </c>
      <c r="P539" s="189" t="str">
        <f t="shared" si="315"/>
        <v>771.276595744681</v>
      </c>
      <c r="Q539" s="160" t="str">
        <f t="shared" si="316"/>
        <v>1+90080.7790328884i</v>
      </c>
      <c r="R539" s="160">
        <f t="shared" si="324"/>
        <v>90080.779038438966</v>
      </c>
      <c r="S539" s="160">
        <f t="shared" si="325"/>
        <v>1.5707852256475632</v>
      </c>
      <c r="T539" s="160" t="str">
        <f t="shared" si="317"/>
        <v>1+1.69563819356025i</v>
      </c>
      <c r="U539" s="160">
        <f t="shared" si="326"/>
        <v>1.968549944365209</v>
      </c>
      <c r="V539" s="160">
        <f t="shared" si="327"/>
        <v>1.0379488315404499</v>
      </c>
      <c r="W539" s="98" t="str">
        <f t="shared" si="318"/>
        <v>1-6.92929069483754i</v>
      </c>
      <c r="X539" s="160">
        <f t="shared" si="328"/>
        <v>7.0010763125081077</v>
      </c>
      <c r="Y539" s="160">
        <f t="shared" si="329"/>
        <v>-1.4274709476319893</v>
      </c>
      <c r="Z539" s="98" t="str">
        <f t="shared" si="319"/>
        <v>-1051.10719675815-47.443552009318i</v>
      </c>
      <c r="AA539" s="160">
        <f t="shared" si="330"/>
        <v>1052.1773755902741</v>
      </c>
      <c r="AB539" s="160">
        <f t="shared" si="331"/>
        <v>-3.0964865291458303</v>
      </c>
      <c r="AC539" s="171" t="str">
        <f t="shared" si="332"/>
        <v>0.0000472223462259404+0.000101723803918832i</v>
      </c>
      <c r="AD539" s="190">
        <f t="shared" si="333"/>
        <v>-79.003993804707704</v>
      </c>
      <c r="AE539" s="169">
        <f t="shared" si="334"/>
        <v>65.098272209009025</v>
      </c>
      <c r="AF539" s="98" t="str">
        <f t="shared" si="320"/>
        <v>-0.0000119284294234592</v>
      </c>
      <c r="AG539" s="98" t="str">
        <f t="shared" si="321"/>
        <v>0.183758675147068i</v>
      </c>
      <c r="AH539" s="98">
        <f t="shared" si="335"/>
        <v>0.18375867514706801</v>
      </c>
      <c r="AI539" s="98">
        <f t="shared" si="336"/>
        <v>1.5707963267948966</v>
      </c>
      <c r="AJ539" s="98" t="str">
        <f t="shared" si="322"/>
        <v>1+10.0697707945568i</v>
      </c>
      <c r="AK539" s="98">
        <f t="shared" si="337"/>
        <v>10.119302537967183</v>
      </c>
      <c r="AL539" s="98">
        <f t="shared" si="338"/>
        <v>1.4718137348356748</v>
      </c>
      <c r="AM539" s="98" t="str">
        <f t="shared" si="323"/>
        <v>1+5502.672022371i</v>
      </c>
      <c r="AN539" s="98">
        <f t="shared" si="339"/>
        <v>5502.6721132359453</v>
      </c>
      <c r="AO539" s="98">
        <f t="shared" si="340"/>
        <v>1.5706145969035046</v>
      </c>
      <c r="AP539" s="168" t="str">
        <f t="shared" si="341"/>
        <v>-0.00348186881514936+0.0351265344633036i</v>
      </c>
      <c r="AQ539" s="98">
        <f t="shared" si="342"/>
        <v>-29.044830612436861</v>
      </c>
      <c r="AR539" s="169">
        <f t="shared" si="343"/>
        <v>95.660872408740801</v>
      </c>
      <c r="AS539" s="168" t="str">
        <f t="shared" si="344"/>
        <v>-3.73762671879548E-06+0.0000013045684315202i</v>
      </c>
      <c r="AT539" s="190">
        <f t="shared" si="345"/>
        <v>-108.04882441714456</v>
      </c>
      <c r="AU539" s="169">
        <f t="shared" si="346"/>
        <v>160.75914461774985</v>
      </c>
      <c r="AV539" s="225"/>
      <c r="AX539">
        <f t="shared" si="347"/>
        <v>0</v>
      </c>
      <c r="AY539">
        <f t="shared" si="348"/>
        <v>0</v>
      </c>
    </row>
    <row r="540" spans="14:51" x14ac:dyDescent="0.2">
      <c r="N540" s="170">
        <v>22</v>
      </c>
      <c r="O540" s="199">
        <f t="shared" si="314"/>
        <v>1659586.9074375622</v>
      </c>
      <c r="P540" s="189" t="str">
        <f t="shared" si="315"/>
        <v>771.276595744681</v>
      </c>
      <c r="Q540" s="160" t="str">
        <f t="shared" si="316"/>
        <v>1+92179.0299235461i</v>
      </c>
      <c r="R540" s="160">
        <f t="shared" si="324"/>
        <v>92179.029928970325</v>
      </c>
      <c r="S540" s="160">
        <f t="shared" si="325"/>
        <v>1.5707854783405271</v>
      </c>
      <c r="T540" s="160" t="str">
        <f t="shared" si="317"/>
        <v>1+1.7351346809138i</v>
      </c>
      <c r="U540" s="160">
        <f t="shared" si="326"/>
        <v>2.0026713062581774</v>
      </c>
      <c r="V540" s="160">
        <f t="shared" si="327"/>
        <v>1.0479674912361781</v>
      </c>
      <c r="W540" s="98" t="str">
        <f t="shared" si="318"/>
        <v>1-7.09069460950351i</v>
      </c>
      <c r="X540" s="160">
        <f t="shared" si="328"/>
        <v>7.1608623813924916</v>
      </c>
      <c r="Y540" s="160">
        <f t="shared" si="329"/>
        <v>-1.4306904198003974</v>
      </c>
      <c r="Z540" s="98" t="str">
        <f t="shared" si="319"/>
        <v>-1100.69148133527-48.5486543000427i</v>
      </c>
      <c r="AA540" s="160">
        <f t="shared" si="330"/>
        <v>1101.761638884916</v>
      </c>
      <c r="AB540" s="160">
        <f t="shared" si="331"/>
        <v>-3.0975138098784276</v>
      </c>
      <c r="AC540" s="171" t="str">
        <f t="shared" si="332"/>
        <v>0.0000450832345529671+0.0000991401024531008i</v>
      </c>
      <c r="AD540" s="190">
        <f t="shared" si="333"/>
        <v>-79.258692491914587</v>
      </c>
      <c r="AE540" s="169">
        <f t="shared" si="334"/>
        <v>65.546681330554918</v>
      </c>
      <c r="AF540" s="98" t="str">
        <f t="shared" si="320"/>
        <v>-0.0000119284294234592</v>
      </c>
      <c r="AG540" s="98" t="str">
        <f t="shared" si="321"/>
        <v>0.18803896454879i</v>
      </c>
      <c r="AH540" s="98">
        <f t="shared" si="335"/>
        <v>0.18803896454878999</v>
      </c>
      <c r="AI540" s="98">
        <f t="shared" si="336"/>
        <v>1.5707963267948966</v>
      </c>
      <c r="AJ540" s="98" t="str">
        <f t="shared" si="322"/>
        <v>1+10.3043258879434i</v>
      </c>
      <c r="AK540" s="98">
        <f t="shared" si="337"/>
        <v>10.352735484157824</v>
      </c>
      <c r="AL540" s="98">
        <f t="shared" si="338"/>
        <v>1.4740526597696819</v>
      </c>
      <c r="AM540" s="98" t="str">
        <f t="shared" si="323"/>
        <v>1+5630.84571931163i</v>
      </c>
      <c r="AN540" s="98">
        <f t="shared" si="339"/>
        <v>5630.8458081082381</v>
      </c>
      <c r="AO540" s="98">
        <f t="shared" si="340"/>
        <v>1.5706187335807802</v>
      </c>
      <c r="AP540" s="168" t="str">
        <f t="shared" si="341"/>
        <v>-0.00332662103477772+0.034342023193093i</v>
      </c>
      <c r="AQ540" s="98">
        <f t="shared" si="342"/>
        <v>-29.242921369461111</v>
      </c>
      <c r="AR540" s="169">
        <f t="shared" si="343"/>
        <v>95.532828473524688</v>
      </c>
      <c r="AS540" s="168" t="str">
        <f t="shared" si="344"/>
        <v>-3.55464653418972E-06+1.21844793642714E-06i</v>
      </c>
      <c r="AT540" s="190">
        <f t="shared" si="345"/>
        <v>-108.50161386137572</v>
      </c>
      <c r="AU540" s="169">
        <f t="shared" si="346"/>
        <v>161.07950980407966</v>
      </c>
      <c r="AV540" s="225"/>
      <c r="AX540">
        <f t="shared" si="347"/>
        <v>0</v>
      </c>
      <c r="AY540">
        <f t="shared" si="348"/>
        <v>0</v>
      </c>
    </row>
    <row r="541" spans="14:51" x14ac:dyDescent="0.2">
      <c r="N541" s="170">
        <v>23</v>
      </c>
      <c r="O541" s="199">
        <f t="shared" si="314"/>
        <v>1698243.6524617488</v>
      </c>
      <c r="P541" s="189" t="str">
        <f t="shared" si="315"/>
        <v>771.276595744681</v>
      </c>
      <c r="Q541" s="160" t="str">
        <f t="shared" si="316"/>
        <v>1+94326.1553560032i</v>
      </c>
      <c r="R541" s="160">
        <f t="shared" si="324"/>
        <v>94326.155361303958</v>
      </c>
      <c r="S541" s="160">
        <f t="shared" si="325"/>
        <v>1.5707857252814967</v>
      </c>
      <c r="T541" s="160" t="str">
        <f t="shared" si="317"/>
        <v>1+1.77555115964241i</v>
      </c>
      <c r="U541" s="160">
        <f t="shared" si="326"/>
        <v>2.0377884876766545</v>
      </c>
      <c r="V541" s="160">
        <f t="shared" si="327"/>
        <v>1.0578711756477228</v>
      </c>
      <c r="W541" s="98" t="str">
        <f t="shared" si="318"/>
        <v>1-7.25585810430791i</v>
      </c>
      <c r="X541" s="160">
        <f t="shared" si="328"/>
        <v>7.3244437897939241</v>
      </c>
      <c r="Y541" s="160">
        <f t="shared" si="329"/>
        <v>-1.4338394353394015</v>
      </c>
      <c r="Z541" s="98" t="str">
        <f t="shared" si="319"/>
        <v>-1152.61260125066-49.6794977298949i</v>
      </c>
      <c r="AA541" s="160">
        <f t="shared" si="330"/>
        <v>1153.6827384755775</v>
      </c>
      <c r="AB541" s="160">
        <f t="shared" si="331"/>
        <v>-3.0985176708377908</v>
      </c>
      <c r="AC541" s="171" t="str">
        <f t="shared" si="332"/>
        <v>0.0000430416088474401+0.00009663308220112i</v>
      </c>
      <c r="AD541" s="190">
        <f t="shared" si="333"/>
        <v>-79.511492406201413</v>
      </c>
      <c r="AE541" s="169">
        <f t="shared" si="334"/>
        <v>65.99119819647396</v>
      </c>
      <c r="AF541" s="98" t="str">
        <f t="shared" si="320"/>
        <v>-0.0000119284294234592</v>
      </c>
      <c r="AG541" s="98" t="str">
        <f t="shared" si="321"/>
        <v>0.192418954698506i</v>
      </c>
      <c r="AH541" s="98">
        <f t="shared" si="335"/>
        <v>0.19241895469850601</v>
      </c>
      <c r="AI541" s="98">
        <f t="shared" si="336"/>
        <v>1.5707963267948966</v>
      </c>
      <c r="AJ541" s="98" t="str">
        <f t="shared" si="322"/>
        <v>1+10.5443444713097i</v>
      </c>
      <c r="AK541" s="98">
        <f t="shared" si="337"/>
        <v>10.591657109708537</v>
      </c>
      <c r="AL541" s="98">
        <f t="shared" si="338"/>
        <v>1.476241561096536</v>
      </c>
      <c r="AM541" s="98" t="str">
        <f t="shared" si="323"/>
        <v>1+5762.0049651857i</v>
      </c>
      <c r="AN541" s="98">
        <f t="shared" si="339"/>
        <v>5762.0050519610486</v>
      </c>
      <c r="AO541" s="98">
        <f t="shared" si="340"/>
        <v>1.5706227760957907</v>
      </c>
      <c r="AP541" s="168" t="str">
        <f t="shared" si="341"/>
        <v>-0.00317823305066343+0.0335743760629517i</v>
      </c>
      <c r="AQ541" s="98">
        <f t="shared" si="342"/>
        <v>-29.441097272709161</v>
      </c>
      <c r="AR541" s="169">
        <f t="shared" si="343"/>
        <v>95.407645284774119</v>
      </c>
      <c r="AS541" s="168" t="str">
        <f t="shared" si="344"/>
        <v>-3.38119170573519E-06+1.13797270615935E-06i</v>
      </c>
      <c r="AT541" s="190">
        <f t="shared" si="345"/>
        <v>-108.95258967891056</v>
      </c>
      <c r="AU541" s="169">
        <f t="shared" si="346"/>
        <v>161.39884348124804</v>
      </c>
      <c r="AV541" s="225"/>
      <c r="AX541">
        <f t="shared" si="347"/>
        <v>0</v>
      </c>
      <c r="AY541">
        <f t="shared" si="348"/>
        <v>0</v>
      </c>
    </row>
    <row r="542" spans="14:51" x14ac:dyDescent="0.2">
      <c r="N542" s="170">
        <v>24</v>
      </c>
      <c r="O542" s="199">
        <f t="shared" si="314"/>
        <v>1737800.8287493798</v>
      </c>
      <c r="P542" s="189" t="str">
        <f t="shared" si="315"/>
        <v>771.276595744681</v>
      </c>
      <c r="Q542" s="160" t="str">
        <f t="shared" si="316"/>
        <v>1+96523.2937645833i</v>
      </c>
      <c r="R542" s="160">
        <f t="shared" si="324"/>
        <v>96523.293769763404</v>
      </c>
      <c r="S542" s="160">
        <f t="shared" si="325"/>
        <v>1.5707859666014039</v>
      </c>
      <c r="T542" s="160" t="str">
        <f t="shared" si="317"/>
        <v>1+1.81690905909803i</v>
      </c>
      <c r="U542" s="160">
        <f t="shared" si="326"/>
        <v>2.073923462674669</v>
      </c>
      <c r="V542" s="160">
        <f t="shared" si="327"/>
        <v>1.0676573641257583</v>
      </c>
      <c r="W542" s="98" t="str">
        <f t="shared" si="318"/>
        <v>1-7.42486875112176i</v>
      </c>
      <c r="X542" s="160">
        <f t="shared" si="328"/>
        <v>7.4919073653766173</v>
      </c>
      <c r="Y542" s="160">
        <f t="shared" si="329"/>
        <v>-1.4369194139549659</v>
      </c>
      <c r="Z542" s="98" t="str">
        <f t="shared" si="319"/>
        <v>-1206.98068816081-50.8366818870288i</v>
      </c>
      <c r="AA542" s="160">
        <f t="shared" si="330"/>
        <v>1208.0508059756532</v>
      </c>
      <c r="AB542" s="160">
        <f t="shared" si="331"/>
        <v>-3.0994986475228914</v>
      </c>
      <c r="AC542" s="171" t="str">
        <f t="shared" si="332"/>
        <v>0.0000410929750820601+0.0000941998084027653i</v>
      </c>
      <c r="AD542" s="190">
        <f t="shared" si="333"/>
        <v>-79.762441122381233</v>
      </c>
      <c r="AE542" s="169">
        <f t="shared" si="334"/>
        <v>66.431627715367398</v>
      </c>
      <c r="AF542" s="98" t="str">
        <f t="shared" si="320"/>
        <v>-0.0000119284294234592</v>
      </c>
      <c r="AG542" s="98" t="str">
        <f t="shared" si="321"/>
        <v>0.196900967924969i</v>
      </c>
      <c r="AH542" s="98">
        <f t="shared" si="335"/>
        <v>0.196900967924969</v>
      </c>
      <c r="AI542" s="98">
        <f t="shared" si="336"/>
        <v>1.5707963267948966</v>
      </c>
      <c r="AJ542" s="98" t="str">
        <f t="shared" si="322"/>
        <v>1+10.7899538056855i</v>
      </c>
      <c r="AK542" s="98">
        <f t="shared" si="337"/>
        <v>10.836194125652558</v>
      </c>
      <c r="AL542" s="98">
        <f t="shared" si="338"/>
        <v>1.4783815154532323</v>
      </c>
      <c r="AM542" s="98" t="str">
        <f t="shared" si="323"/>
        <v>1+5896.21930236141i</v>
      </c>
      <c r="AN542" s="98">
        <f t="shared" si="339"/>
        <v>5896.2193871615118</v>
      </c>
      <c r="AO542" s="98">
        <f t="shared" si="340"/>
        <v>1.5706267265919307</v>
      </c>
      <c r="AP542" s="168" t="str">
        <f t="shared" si="341"/>
        <v>-0.00303640719344371+0.0328232742097244i</v>
      </c>
      <c r="AQ542" s="98">
        <f t="shared" si="342"/>
        <v>-29.639354558340145</v>
      </c>
      <c r="AR542" s="169">
        <f t="shared" si="343"/>
        <v>95.28526127854056</v>
      </c>
      <c r="AS542" s="168" t="str">
        <f t="shared" si="344"/>
        <v>-3.21672114684664E-06+1.06277701335665E-06i</v>
      </c>
      <c r="AT542" s="190">
        <f t="shared" si="345"/>
        <v>-109.40179568072138</v>
      </c>
      <c r="AU542" s="169">
        <f t="shared" si="346"/>
        <v>161.71688899390804</v>
      </c>
      <c r="AV542" s="225"/>
      <c r="AX542">
        <f t="shared" si="347"/>
        <v>0</v>
      </c>
      <c r="AY542">
        <f t="shared" si="348"/>
        <v>0</v>
      </c>
    </row>
    <row r="543" spans="14:51" x14ac:dyDescent="0.2">
      <c r="N543" s="170">
        <v>25</v>
      </c>
      <c r="O543" s="199">
        <f t="shared" si="314"/>
        <v>1778279.4100389241</v>
      </c>
      <c r="P543" s="189" t="str">
        <f t="shared" si="315"/>
        <v>771.276595744681</v>
      </c>
      <c r="Q543" s="160" t="str">
        <f t="shared" si="316"/>
        <v>1+98771.6101011542i</v>
      </c>
      <c r="R543" s="160">
        <f t="shared" si="324"/>
        <v>98771.610106216394</v>
      </c>
      <c r="S543" s="160">
        <f t="shared" si="325"/>
        <v>1.5707862024281991</v>
      </c>
      <c r="T543" s="160" t="str">
        <f t="shared" si="317"/>
        <v>1+1.85923030778643i</v>
      </c>
      <c r="U543" s="160">
        <f t="shared" si="326"/>
        <v>2.11109860911129</v>
      </c>
      <c r="V543" s="160">
        <f t="shared" si="327"/>
        <v>1.0773237469753079</v>
      </c>
      <c r="W543" s="98" t="str">
        <f t="shared" si="318"/>
        <v>1-7.59781616162721i</v>
      </c>
      <c r="X543" s="160">
        <f t="shared" si="328"/>
        <v>7.6633419880547962</v>
      </c>
      <c r="Y543" s="160">
        <f t="shared" si="329"/>
        <v>-1.4399317548293074</v>
      </c>
      <c r="Z543" s="98" t="str">
        <f t="shared" si="319"/>
        <v>-1263.91106406735-52.0208203258022i</v>
      </c>
      <c r="AA543" s="160">
        <f t="shared" si="330"/>
        <v>1264.981163345617</v>
      </c>
      <c r="AB543" s="160">
        <f t="shared" si="331"/>
        <v>-3.1004572630834701</v>
      </c>
      <c r="AC543" s="171" t="str">
        <f t="shared" si="332"/>
        <v>0.0000392330508543446+0.0000918374921111811i</v>
      </c>
      <c r="AD543" s="190">
        <f t="shared" si="333"/>
        <v>-80.011586246466493</v>
      </c>
      <c r="AE543" s="169">
        <f t="shared" si="334"/>
        <v>66.867787351166498</v>
      </c>
      <c r="AF543" s="98" t="str">
        <f t="shared" si="320"/>
        <v>-0.0000119284294234592</v>
      </c>
      <c r="AG543" s="98" t="str">
        <f t="shared" si="321"/>
        <v>0.201487380650918i</v>
      </c>
      <c r="AH543" s="98">
        <f t="shared" si="335"/>
        <v>0.20148738065091801</v>
      </c>
      <c r="AI543" s="98">
        <f t="shared" si="336"/>
        <v>1.5707963267948966</v>
      </c>
      <c r="AJ543" s="98" t="str">
        <f t="shared" si="322"/>
        <v>1+11.041284116391i</v>
      </c>
      <c r="AK543" s="98">
        <f t="shared" si="337"/>
        <v>11.086476218297145</v>
      </c>
      <c r="AL543" s="98">
        <f t="shared" si="338"/>
        <v>1.4804735790309189</v>
      </c>
      <c r="AM543" s="98" t="str">
        <f t="shared" si="323"/>
        <v>1+6033.55989305692i</v>
      </c>
      <c r="AN543" s="98">
        <f t="shared" si="339"/>
        <v>6033.5599759267361</v>
      </c>
      <c r="AO543" s="98">
        <f t="shared" si="340"/>
        <v>1.5706305871638051</v>
      </c>
      <c r="AP543" s="168" t="str">
        <f t="shared" si="341"/>
        <v>-0.00290085823556104+0.0320884018287506i</v>
      </c>
      <c r="AQ543" s="98">
        <f t="shared" si="342"/>
        <v>-29.837689625974896</v>
      </c>
      <c r="AR543" s="169">
        <f t="shared" si="343"/>
        <v>95.165616059541023</v>
      </c>
      <c r="AS543" s="168" t="str">
        <f t="shared" si="344"/>
        <v>-0.0000030607278684853+9.92518355458025E-07i</v>
      </c>
      <c r="AT543" s="190">
        <f t="shared" si="345"/>
        <v>-109.84927587244138</v>
      </c>
      <c r="AU543" s="169">
        <f t="shared" si="346"/>
        <v>162.03340341070748</v>
      </c>
      <c r="AV543" s="225"/>
      <c r="AX543">
        <f t="shared" si="347"/>
        <v>0</v>
      </c>
      <c r="AY543">
        <f t="shared" si="348"/>
        <v>0</v>
      </c>
    </row>
    <row r="544" spans="14:51" x14ac:dyDescent="0.2">
      <c r="N544" s="170">
        <v>26</v>
      </c>
      <c r="O544" s="199">
        <f t="shared" si="314"/>
        <v>1819700.8586099846</v>
      </c>
      <c r="P544" s="189" t="str">
        <f t="shared" si="315"/>
        <v>771.276595744681</v>
      </c>
      <c r="Q544" s="160" t="str">
        <f t="shared" si="316"/>
        <v>1+101072.296452798i</v>
      </c>
      <c r="R544" s="160">
        <f t="shared" si="324"/>
        <v>101072.29645774495</v>
      </c>
      <c r="S544" s="160">
        <f t="shared" si="325"/>
        <v>1.5707864328869212</v>
      </c>
      <c r="T544" s="160" t="str">
        <f t="shared" si="317"/>
        <v>1+1.90253734499384i</v>
      </c>
      <c r="U544" s="160">
        <f t="shared" si="326"/>
        <v>2.1493367230604448</v>
      </c>
      <c r="V544" s="160">
        <f t="shared" si="327"/>
        <v>1.0868682229325937</v>
      </c>
      <c r="W544" s="98" t="str">
        <f t="shared" si="318"/>
        <v>1-7.77479203483059i</v>
      </c>
      <c r="X544" s="160">
        <f t="shared" si="328"/>
        <v>7.8388386375065267</v>
      </c>
      <c r="Y544" s="160">
        <f t="shared" si="329"/>
        <v>-1.4428778363531223</v>
      </c>
      <c r="Z544" s="98" t="str">
        <f t="shared" si="319"/>
        <v>-1323.52448593036-53.2325408920897i</v>
      </c>
      <c r="AA544" s="160">
        <f t="shared" si="330"/>
        <v>1324.5945675062433</v>
      </c>
      <c r="AB544" s="160">
        <f t="shared" si="331"/>
        <v>-3.1013940286117565</v>
      </c>
      <c r="AC544" s="171" t="str">
        <f t="shared" si="332"/>
        <v>0.0000374577550389842+0.0000895434816403116i</v>
      </c>
      <c r="AD544" s="190">
        <f t="shared" si="333"/>
        <v>-80.258975327857172</v>
      </c>
      <c r="AE544" s="169">
        <f t="shared" si="334"/>
        <v>67.299507010618896</v>
      </c>
      <c r="AF544" s="98" t="str">
        <f t="shared" si="320"/>
        <v>-0.0000119284294234592</v>
      </c>
      <c r="AG544" s="98" t="str">
        <f t="shared" si="321"/>
        <v>0.206180624653089i</v>
      </c>
      <c r="AH544" s="98">
        <f t="shared" si="335"/>
        <v>0.20618062465308901</v>
      </c>
      <c r="AI544" s="98">
        <f t="shared" si="336"/>
        <v>1.5707963267948966</v>
      </c>
      <c r="AJ544" s="98" t="str">
        <f t="shared" si="322"/>
        <v>1+11.2984686620837i</v>
      </c>
      <c r="AK544" s="98">
        <f t="shared" si="337"/>
        <v>11.342636118120314</v>
      </c>
      <c r="AL544" s="98">
        <f t="shared" si="338"/>
        <v>1.4825187877777382</v>
      </c>
      <c r="AM544" s="98" t="str">
        <f t="shared" si="323"/>
        <v>1+6174.09955707137i</v>
      </c>
      <c r="AN544" s="98">
        <f t="shared" si="339"/>
        <v>6174.0996380548386</v>
      </c>
      <c r="AO544" s="98">
        <f t="shared" si="340"/>
        <v>1.5706343598583399</v>
      </c>
      <c r="AP544" s="168" t="str">
        <f t="shared" si="341"/>
        <v>-0.00277131291298451+0.031369446369679i</v>
      </c>
      <c r="AQ544" s="98">
        <f t="shared" si="342"/>
        <v>-30.036099031851894</v>
      </c>
      <c r="AR544" s="169">
        <f t="shared" si="343"/>
        <v>95.048650389599274</v>
      </c>
      <c r="AS544" s="168" t="str">
        <f t="shared" si="344"/>
        <v>-2.91273660530104E-06+9.26876030880601E-07i</v>
      </c>
      <c r="AT544" s="190">
        <f t="shared" si="345"/>
        <v>-110.29507435970906</v>
      </c>
      <c r="AU544" s="169">
        <f t="shared" si="346"/>
        <v>162.34815740021818</v>
      </c>
      <c r="AV544" s="225"/>
      <c r="AX544">
        <f t="shared" si="347"/>
        <v>0</v>
      </c>
      <c r="AY544">
        <f t="shared" si="348"/>
        <v>0</v>
      </c>
    </row>
    <row r="545" spans="14:51" x14ac:dyDescent="0.2">
      <c r="N545" s="170">
        <v>27</v>
      </c>
      <c r="O545" s="199">
        <f t="shared" si="314"/>
        <v>1862087.1366628683</v>
      </c>
      <c r="P545" s="189" t="str">
        <f t="shared" si="315"/>
        <v>771.276595744681</v>
      </c>
      <c r="Q545" s="160" t="str">
        <f t="shared" si="316"/>
        <v>1+103426.572673871i</v>
      </c>
      <c r="R545" s="160">
        <f t="shared" si="324"/>
        <v>103426.57267870533</v>
      </c>
      <c r="S545" s="160">
        <f t="shared" si="325"/>
        <v>1.5707866580997623</v>
      </c>
      <c r="T545" s="160" t="str">
        <f t="shared" si="317"/>
        <v>1+1.94685313268463i</v>
      </c>
      <c r="U545" s="160">
        <f t="shared" si="326"/>
        <v>2.1886610336559555</v>
      </c>
      <c r="V545" s="160">
        <f t="shared" si="327"/>
        <v>1.0962888959919179</v>
      </c>
      <c r="W545" s="98" t="str">
        <f t="shared" si="318"/>
        <v>1-7.95589020568236i</v>
      </c>
      <c r="X545" s="160">
        <f t="shared" si="328"/>
        <v>8.018490441777212</v>
      </c>
      <c r="Y545" s="160">
        <f t="shared" si="329"/>
        <v>-1.4457590159075198</v>
      </c>
      <c r="Z545" s="98" t="str">
        <f t="shared" si="319"/>
        <v>-1385.94740181012-54.472486056174i</v>
      </c>
      <c r="AA545" s="160">
        <f t="shared" si="330"/>
        <v>1387.0174664802755</v>
      </c>
      <c r="AB545" s="160">
        <f t="shared" si="331"/>
        <v>-3.1023094434268543</v>
      </c>
      <c r="AC545" s="171" t="str">
        <f t="shared" si="332"/>
        <v>0.0000357631979782417+0.0000873152545520412i</v>
      </c>
      <c r="AD545" s="190">
        <f t="shared" si="333"/>
        <v>-80.504655775085809</v>
      </c>
      <c r="AE545" s="169">
        <f t="shared" si="334"/>
        <v>67.726628890267946</v>
      </c>
      <c r="AF545" s="98" t="str">
        <f t="shared" si="320"/>
        <v>-0.0000119284294234592</v>
      </c>
      <c r="AG545" s="98" t="str">
        <f t="shared" si="321"/>
        <v>0.210983188351575i</v>
      </c>
      <c r="AH545" s="98">
        <f t="shared" si="335"/>
        <v>0.21098318835157501</v>
      </c>
      <c r="AI545" s="98">
        <f t="shared" si="336"/>
        <v>1.5707963267948966</v>
      </c>
      <c r="AJ545" s="98" t="str">
        <f t="shared" si="322"/>
        <v>1+11.5616438054139i</v>
      </c>
      <c r="AK545" s="98">
        <f t="shared" si="337"/>
        <v>11.604809670273164</v>
      </c>
      <c r="AL545" s="98">
        <f t="shared" si="338"/>
        <v>1.4845181576136706</v>
      </c>
      <c r="AM545" s="98" t="str">
        <f t="shared" si="323"/>
        <v>1+6317.91281039483i</v>
      </c>
      <c r="AN545" s="98">
        <f t="shared" si="339"/>
        <v>6317.9128895348895</v>
      </c>
      <c r="AO545" s="98">
        <f t="shared" si="340"/>
        <v>1.5706380466758669</v>
      </c>
      <c r="AP545" s="168" t="str">
        <f t="shared" si="341"/>
        <v>-0.0026475094615705+0.0306660987116835i</v>
      </c>
      <c r="AQ545" s="98">
        <f t="shared" si="342"/>
        <v>-30.234579482247156</v>
      </c>
      <c r="AR545" s="169">
        <f t="shared" si="343"/>
        <v>94.934306175398731</v>
      </c>
      <c r="AS545" s="168" t="str">
        <f t="shared" si="344"/>
        <v>-2.77230162015208E-06+8.65549796880274E-07i</v>
      </c>
      <c r="AT545" s="190">
        <f t="shared" si="345"/>
        <v>-110.73923525733298</v>
      </c>
      <c r="AU545" s="169">
        <f t="shared" si="346"/>
        <v>162.66093506566668</v>
      </c>
      <c r="AV545" s="225"/>
      <c r="AX545">
        <f t="shared" si="347"/>
        <v>0</v>
      </c>
      <c r="AY545">
        <f t="shared" si="348"/>
        <v>0</v>
      </c>
    </row>
    <row r="546" spans="14:51" x14ac:dyDescent="0.2">
      <c r="N546" s="170">
        <v>28</v>
      </c>
      <c r="O546" s="199">
        <f t="shared" si="314"/>
        <v>1905460.7179632513</v>
      </c>
      <c r="P546" s="189" t="str">
        <f t="shared" si="315"/>
        <v>771.276595744681</v>
      </c>
      <c r="Q546" s="160" t="str">
        <f t="shared" si="316"/>
        <v>1+105835.687032789i</v>
      </c>
      <c r="R546" s="160">
        <f t="shared" si="324"/>
        <v>105835.6870375133</v>
      </c>
      <c r="S546" s="160">
        <f t="shared" si="325"/>
        <v>1.5707868781861334</v>
      </c>
      <c r="T546" s="160" t="str">
        <f t="shared" si="317"/>
        <v>1+1.99220116767603i</v>
      </c>
      <c r="U546" s="160">
        <f t="shared" si="326"/>
        <v>2.2290952183542401</v>
      </c>
      <c r="V546" s="160">
        <f t="shared" si="327"/>
        <v>1.1055840716369167</v>
      </c>
      <c r="W546" s="98" t="str">
        <f t="shared" si="318"/>
        <v>1-8.14120669482992i</v>
      </c>
      <c r="X546" s="160">
        <f t="shared" si="328"/>
        <v>8.2023927270000616</v>
      </c>
      <c r="Y546" s="160">
        <f t="shared" si="329"/>
        <v>-1.4485766296921816</v>
      </c>
      <c r="Z546" s="98" t="str">
        <f t="shared" si="319"/>
        <v>-1451.31221908043-55.7413132533944i</v>
      </c>
      <c r="AA546" s="160">
        <f t="shared" si="330"/>
        <v>1452.3822676056654</v>
      </c>
      <c r="AB546" s="160">
        <f t="shared" si="331"/>
        <v>-3.103203995351989</v>
      </c>
      <c r="AC546" s="171" t="str">
        <f t="shared" si="332"/>
        <v>0.0000341456721798359+0.0000851504101481007i</v>
      </c>
      <c r="AD546" s="190">
        <f t="shared" si="333"/>
        <v>-80.748674775416077</v>
      </c>
      <c r="AE546" s="169">
        <f t="shared" si="334"/>
        <v>68.149007286245535</v>
      </c>
      <c r="AF546" s="98" t="str">
        <f t="shared" si="320"/>
        <v>-0.0000119284294234592</v>
      </c>
      <c r="AG546" s="98" t="str">
        <f t="shared" si="321"/>
        <v>0.215897618129217i</v>
      </c>
      <c r="AH546" s="98">
        <f t="shared" si="335"/>
        <v>0.21589761812921701</v>
      </c>
      <c r="AI546" s="98">
        <f t="shared" si="336"/>
        <v>1.5707963267948966</v>
      </c>
      <c r="AJ546" s="98" t="str">
        <f t="shared" si="322"/>
        <v>1+11.8309490853264i</v>
      </c>
      <c r="AK546" s="98">
        <f t="shared" si="337"/>
        <v>11.873135906725972</v>
      </c>
      <c r="AL546" s="98">
        <f t="shared" si="338"/>
        <v>1.4864726846560921</v>
      </c>
      <c r="AM546" s="98" t="str">
        <f t="shared" si="323"/>
        <v>1+6465.07590471789i</v>
      </c>
      <c r="AN546" s="98">
        <f t="shared" si="339"/>
        <v>6465.0759820565017</v>
      </c>
      <c r="AO546" s="98">
        <f t="shared" si="340"/>
        <v>1.5706416495711852</v>
      </c>
      <c r="AP546" s="168" t="str">
        <f t="shared" si="341"/>
        <v>-0.00252919716797157+0.0299780533194614i</v>
      </c>
      <c r="AQ546" s="98">
        <f t="shared" si="342"/>
        <v>-30.433127827150148</v>
      </c>
      <c r="AR546" s="169">
        <f t="shared" si="343"/>
        <v>94.822526455619538</v>
      </c>
      <c r="AS546" s="168" t="str">
        <f t="shared" si="344"/>
        <v>-0.0000026390046729695+8.08258605037776E-07i</v>
      </c>
      <c r="AT546" s="190">
        <f t="shared" si="345"/>
        <v>-111.18180260256622</v>
      </c>
      <c r="AU546" s="169">
        <f t="shared" si="346"/>
        <v>162.9715337418651</v>
      </c>
      <c r="AV546" s="225"/>
      <c r="AX546">
        <f t="shared" si="347"/>
        <v>0</v>
      </c>
      <c r="AY546">
        <f t="shared" si="348"/>
        <v>0</v>
      </c>
    </row>
    <row r="547" spans="14:51" x14ac:dyDescent="0.2">
      <c r="N547" s="170">
        <v>29</v>
      </c>
      <c r="O547" s="199">
        <f t="shared" si="314"/>
        <v>1949844.5997580495</v>
      </c>
      <c r="P547" s="189" t="str">
        <f t="shared" si="315"/>
        <v>771.276595744681</v>
      </c>
      <c r="Q547" s="160" t="str">
        <f t="shared" si="316"/>
        <v>1+108300.916873872i</v>
      </c>
      <c r="R547" s="160">
        <f t="shared" si="324"/>
        <v>108300.91687848876</v>
      </c>
      <c r="S547" s="160">
        <f t="shared" si="325"/>
        <v>1.5707870932627268</v>
      </c>
      <c r="T547" s="160" t="str">
        <f t="shared" si="317"/>
        <v>1+2.03860549409641i</v>
      </c>
      <c r="U547" s="160">
        <f t="shared" si="326"/>
        <v>2.2706634185982009</v>
      </c>
      <c r="V547" s="160">
        <f t="shared" si="327"/>
        <v>1.1147522525314322</v>
      </c>
      <c r="W547" s="98" t="str">
        <f t="shared" si="318"/>
        <v>1-8.33083975952856i</v>
      </c>
      <c r="X547" s="160">
        <f t="shared" si="328"/>
        <v>8.3906430682601361</v>
      </c>
      <c r="Y547" s="160">
        <f t="shared" si="329"/>
        <v>-1.451331992596429</v>
      </c>
      <c r="Z547" s="98" t="str">
        <f t="shared" si="319"/>
        <v>-1519.75758528224-57.0396952327245i</v>
      </c>
      <c r="AA547" s="160">
        <f t="shared" si="330"/>
        <v>1520.8276183891278</v>
      </c>
      <c r="AB547" s="160">
        <f t="shared" si="331"/>
        <v>-3.1040781609848311</v>
      </c>
      <c r="AC547" s="171" t="str">
        <f t="shared" si="332"/>
        <v>0.0000326016434936682+0.0000830466624341714i</v>
      </c>
      <c r="AD547" s="190">
        <f t="shared" si="333"/>
        <v>-80.991079218539298</v>
      </c>
      <c r="AE547" s="169">
        <f t="shared" si="334"/>
        <v>68.566508370249664</v>
      </c>
      <c r="AF547" s="98" t="str">
        <f t="shared" si="320"/>
        <v>-0.0000119284294234592</v>
      </c>
      <c r="AG547" s="98" t="str">
        <f t="shared" si="321"/>
        <v>0.220926519681734i</v>
      </c>
      <c r="AH547" s="98">
        <f t="shared" si="335"/>
        <v>0.22092651968173399</v>
      </c>
      <c r="AI547" s="98">
        <f t="shared" si="336"/>
        <v>1.5707963267948966</v>
      </c>
      <c r="AJ547" s="98" t="str">
        <f t="shared" si="322"/>
        <v>1+12.1065272910448i</v>
      </c>
      <c r="AK547" s="98">
        <f t="shared" si="337"/>
        <v>12.147757120094745</v>
      </c>
      <c r="AL547" s="98">
        <f t="shared" si="338"/>
        <v>1.4883833454548356</v>
      </c>
      <c r="AM547" s="98" t="str">
        <f t="shared" si="323"/>
        <v>1+6615.66686786093i</v>
      </c>
      <c r="AN547" s="98">
        <f t="shared" si="339"/>
        <v>6615.6669434391006</v>
      </c>
      <c r="AO547" s="98">
        <f t="shared" si="340"/>
        <v>1.5706451704545976</v>
      </c>
      <c r="AP547" s="168" t="str">
        <f t="shared" si="341"/>
        <v>-0.00241613593496224+0.0293050083813206i</v>
      </c>
      <c r="AQ547" s="98">
        <f t="shared" si="342"/>
        <v>-30.631741054187259</v>
      </c>
      <c r="AR547" s="169">
        <f t="shared" si="343"/>
        <v>94.713255387530126</v>
      </c>
      <c r="AS547" s="168" t="str">
        <f t="shared" si="344"/>
        <v>-2.51245314105798E-06+7.54739410440892E-07i</v>
      </c>
      <c r="AT547" s="190">
        <f t="shared" si="345"/>
        <v>-111.62282027272654</v>
      </c>
      <c r="AU547" s="169">
        <f t="shared" si="346"/>
        <v>163.27976375777982</v>
      </c>
      <c r="AV547" s="225"/>
      <c r="AX547">
        <f t="shared" si="347"/>
        <v>0</v>
      </c>
      <c r="AY547">
        <f t="shared" si="348"/>
        <v>0</v>
      </c>
    </row>
    <row r="548" spans="14:51" x14ac:dyDescent="0.2">
      <c r="N548" s="170">
        <v>30</v>
      </c>
      <c r="O548" s="199">
        <f t="shared" si="314"/>
        <v>1995262.31496888</v>
      </c>
      <c r="P548" s="189" t="str">
        <f t="shared" si="315"/>
        <v>771.276595744681</v>
      </c>
      <c r="Q548" s="160" t="str">
        <f t="shared" si="316"/>
        <v>1+110823.569294614i</v>
      </c>
      <c r="R548" s="160">
        <f t="shared" si="324"/>
        <v>110823.56929912567</v>
      </c>
      <c r="S548" s="160">
        <f t="shared" si="325"/>
        <v>1.5707873034435793</v>
      </c>
      <c r="T548" s="160" t="str">
        <f t="shared" si="317"/>
        <v>1+2.0860907161339i</v>
      </c>
      <c r="U548" s="160">
        <f t="shared" si="326"/>
        <v>2.3133902558669277</v>
      </c>
      <c r="V548" s="160">
        <f t="shared" si="327"/>
        <v>1.1237921337254693</v>
      </c>
      <c r="W548" s="98" t="str">
        <f t="shared" si="318"/>
        <v>1-8.52488994573947i</v>
      </c>
      <c r="X548" s="160">
        <f t="shared" si="328"/>
        <v>8.5833413416320514</v>
      </c>
      <c r="Y548" s="160">
        <f t="shared" si="329"/>
        <v>-1.4540263981100969</v>
      </c>
      <c r="Z548" s="98" t="str">
        <f t="shared" si="319"/>
        <v>-1591.42868221399-58.368320413477i</v>
      </c>
      <c r="AA548" s="160">
        <f t="shared" si="330"/>
        <v>1592.4987005964078</v>
      </c>
      <c r="AB548" s="160">
        <f t="shared" si="331"/>
        <v>-3.104932405961097</v>
      </c>
      <c r="AC548" s="171" t="str">
        <f t="shared" si="332"/>
        <v>0.0000311277427405484+0.0000810018335256884i</v>
      </c>
      <c r="AD548" s="190">
        <f t="shared" si="333"/>
        <v>-81.231915624566852</v>
      </c>
      <c r="AE548" s="169">
        <f t="shared" si="334"/>
        <v>68.979009935072185</v>
      </c>
      <c r="AF548" s="98" t="str">
        <f t="shared" si="320"/>
        <v>-0.0000119284294234592</v>
      </c>
      <c r="AG548" s="98" t="str">
        <f t="shared" si="321"/>
        <v>0.226072559399294i</v>
      </c>
      <c r="AH548" s="98">
        <f t="shared" si="335"/>
        <v>0.22607255939929399</v>
      </c>
      <c r="AI548" s="98">
        <f t="shared" si="336"/>
        <v>1.5707963267948966</v>
      </c>
      <c r="AJ548" s="98" t="str">
        <f t="shared" si="322"/>
        <v>1+12.3885245377819i</v>
      </c>
      <c r="AK548" s="98">
        <f t="shared" si="337"/>
        <v>12.428818939192258</v>
      </c>
      <c r="AL548" s="98">
        <f t="shared" si="338"/>
        <v>1.4902510972356684</v>
      </c>
      <c r="AM548" s="98" t="str">
        <f t="shared" si="323"/>
        <v>1+6769.76554514607i</v>
      </c>
      <c r="AN548" s="98">
        <f t="shared" si="339"/>
        <v>6769.7656190038706</v>
      </c>
      <c r="AO548" s="98">
        <f t="shared" si="340"/>
        <v>1.5706486111929223</v>
      </c>
      <c r="AP548" s="168" t="str">
        <f t="shared" si="341"/>
        <v>-0.00230809586101225+0.0286466659305861i</v>
      </c>
      <c r="AQ548" s="98">
        <f t="shared" si="342"/>
        <v>-30.830416282785865</v>
      </c>
      <c r="AR548" s="169">
        <f t="shared" si="343"/>
        <v>94.606438233094778</v>
      </c>
      <c r="AS548" s="168" t="str">
        <f t="shared" si="344"/>
        <v>-2.39227827895746E-06+7.04746050766672E-07i</v>
      </c>
      <c r="AT548" s="190">
        <f t="shared" si="345"/>
        <v>-112.06233190735273</v>
      </c>
      <c r="AU548" s="169">
        <f t="shared" si="346"/>
        <v>163.58544816816695</v>
      </c>
      <c r="AV548" s="225"/>
      <c r="AX548">
        <f t="shared" si="347"/>
        <v>0</v>
      </c>
      <c r="AY548">
        <f t="shared" si="348"/>
        <v>0</v>
      </c>
    </row>
    <row r="549" spans="14:51" x14ac:dyDescent="0.2">
      <c r="N549" s="170">
        <v>31</v>
      </c>
      <c r="O549" s="199">
        <f t="shared" si="314"/>
        <v>2041737.9446695296</v>
      </c>
      <c r="P549" s="189" t="str">
        <f t="shared" si="315"/>
        <v>771.276595744681</v>
      </c>
      <c r="Q549" s="160" t="str">
        <f t="shared" si="316"/>
        <v>1+113404.981838718i</v>
      </c>
      <c r="R549" s="160">
        <f t="shared" si="324"/>
        <v>113404.98184312695</v>
      </c>
      <c r="S549" s="160">
        <f t="shared" si="325"/>
        <v>1.5707875088401317</v>
      </c>
      <c r="T549" s="160" t="str">
        <f t="shared" si="317"/>
        <v>1+2.13468201108175i</v>
      </c>
      <c r="U549" s="160">
        <f t="shared" si="326"/>
        <v>2.3573008480964037</v>
      </c>
      <c r="V549" s="160">
        <f t="shared" si="327"/>
        <v>1.1327025974312452</v>
      </c>
      <c r="W549" s="98" t="str">
        <f t="shared" si="318"/>
        <v>1-8.72346014143983i</v>
      </c>
      <c r="X549" s="160">
        <f t="shared" si="328"/>
        <v>8.780589777417541</v>
      </c>
      <c r="Y549" s="160">
        <f t="shared" si="329"/>
        <v>-1.4566611182712192</v>
      </c>
      <c r="Z549" s="98" t="str">
        <f t="shared" si="319"/>
        <v>-1666.47753388133-59.7278932503085i</v>
      </c>
      <c r="AA549" s="160">
        <f t="shared" si="330"/>
        <v>1667.5475382019306</v>
      </c>
      <c r="AB549" s="160">
        <f t="shared" si="331"/>
        <v>-3.1057671852116044</v>
      </c>
      <c r="AC549" s="171" t="str">
        <f t="shared" si="332"/>
        <v>0.0000297207577677704+0.0000790138474668676i</v>
      </c>
      <c r="AD549" s="190">
        <f t="shared" si="333"/>
        <v>-81.47123007646411</v>
      </c>
      <c r="AE549" s="169">
        <f t="shared" si="334"/>
        <v>69.386401113010962</v>
      </c>
      <c r="AF549" s="98" t="str">
        <f t="shared" si="320"/>
        <v>-0.0000119284294234592</v>
      </c>
      <c r="AG549" s="98" t="str">
        <f t="shared" si="321"/>
        <v>0.231338465780272i</v>
      </c>
      <c r="AH549" s="98">
        <f t="shared" si="335"/>
        <v>0.23133846578027201</v>
      </c>
      <c r="AI549" s="98">
        <f t="shared" si="336"/>
        <v>1.5707963267948966</v>
      </c>
      <c r="AJ549" s="98" t="str">
        <f t="shared" si="322"/>
        <v>1+12.6770903442103i</v>
      </c>
      <c r="AK549" s="98">
        <f t="shared" si="337"/>
        <v>12.716470406337994</v>
      </c>
      <c r="AL549" s="98">
        <f t="shared" si="338"/>
        <v>1.4920768781511016</v>
      </c>
      <c r="AM549" s="98" t="str">
        <f t="shared" si="323"/>
        <v>1+6927.45364173165i</v>
      </c>
      <c r="AN549" s="98">
        <f t="shared" si="339"/>
        <v>6927.4537139082431</v>
      </c>
      <c r="AO549" s="98">
        <f t="shared" si="340"/>
        <v>1.570651973610484</v>
      </c>
      <c r="AP549" s="168" t="str">
        <f t="shared" si="341"/>
        <v>-0.00220485683391043+0.0280027319514951i</v>
      </c>
      <c r="AQ549" s="98">
        <f t="shared" si="342"/>
        <v>-31.029150758569514</v>
      </c>
      <c r="AR549" s="169">
        <f t="shared" si="343"/>
        <v>94.502021344660179</v>
      </c>
      <c r="AS549" s="168" t="str">
        <f t="shared" si="344"/>
        <v>-2.27813360694428E-06+6.58048191605311E-07i</v>
      </c>
      <c r="AT549" s="190">
        <f t="shared" si="345"/>
        <v>-112.50038083503361</v>
      </c>
      <c r="AU549" s="169">
        <f t="shared" si="346"/>
        <v>163.88842245767114</v>
      </c>
      <c r="AV549" s="225"/>
      <c r="AX549">
        <f t="shared" si="347"/>
        <v>0</v>
      </c>
      <c r="AY549">
        <f t="shared" si="348"/>
        <v>0</v>
      </c>
    </row>
    <row r="550" spans="14:51" x14ac:dyDescent="0.2">
      <c r="N550" s="170">
        <v>32</v>
      </c>
      <c r="O550" s="199">
        <f t="shared" si="314"/>
        <v>2089296.1308540432</v>
      </c>
      <c r="P550" s="189" t="str">
        <f t="shared" si="315"/>
        <v>771.276595744681</v>
      </c>
      <c r="Q550" s="160" t="str">
        <f t="shared" si="316"/>
        <v>1+116046.523205287i</v>
      </c>
      <c r="R550" s="160">
        <f t="shared" si="324"/>
        <v>116046.5232095956</v>
      </c>
      <c r="S550" s="160">
        <f t="shared" si="325"/>
        <v>1.5707877095612877</v>
      </c>
      <c r="T550" s="160" t="str">
        <f t="shared" si="317"/>
        <v>1+2.18440514268776i</v>
      </c>
      <c r="U550" s="160">
        <f t="shared" si="326"/>
        <v>2.4024208264583318</v>
      </c>
      <c r="V550" s="160">
        <f t="shared" si="327"/>
        <v>1.1414827074236245</v>
      </c>
      <c r="W550" s="98" t="str">
        <f t="shared" si="318"/>
        <v>1-8.92665563117591i</v>
      </c>
      <c r="X550" s="160">
        <f t="shared" si="328"/>
        <v>8.9824930146148514</v>
      </c>
      <c r="Y550" s="160">
        <f t="shared" si="329"/>
        <v>-1.4592374036477693</v>
      </c>
      <c r="Z550" s="98" t="str">
        <f t="shared" si="319"/>
        <v>-1745.06332896068-61.119134606734i</v>
      </c>
      <c r="AA550" s="160">
        <f t="shared" si="330"/>
        <v>1746.1333198522977</v>
      </c>
      <c r="AB550" s="160">
        <f t="shared" si="331"/>
        <v>-3.1065829432129872</v>
      </c>
      <c r="AC550" s="171" t="str">
        <f t="shared" si="332"/>
        <v>0.0000283776259079049+0.000077080724436244i</v>
      </c>
      <c r="AD550" s="190">
        <f t="shared" si="333"/>
        <v>-81.709068157034835</v>
      </c>
      <c r="AE550" s="169">
        <f t="shared" si="334"/>
        <v>69.788582070445443</v>
      </c>
      <c r="AF550" s="98" t="str">
        <f t="shared" si="320"/>
        <v>-0.0000119284294234592</v>
      </c>
      <c r="AG550" s="98" t="str">
        <f t="shared" si="321"/>
        <v>0.236727030877934i</v>
      </c>
      <c r="AH550" s="98">
        <f t="shared" si="335"/>
        <v>0.23672703087793401</v>
      </c>
      <c r="AI550" s="98">
        <f t="shared" si="336"/>
        <v>1.5707963267948966</v>
      </c>
      <c r="AJ550" s="98" t="str">
        <f t="shared" si="322"/>
        <v>1+12.9723777117405i</v>
      </c>
      <c r="AK550" s="98">
        <f t="shared" si="337"/>
        <v>13.010864056474562</v>
      </c>
      <c r="AL550" s="98">
        <f t="shared" si="338"/>
        <v>1.493861607537611</v>
      </c>
      <c r="AM550" s="98" t="str">
        <f t="shared" si="323"/>
        <v>1+7088.81476593383i</v>
      </c>
      <c r="AN550" s="98">
        <f t="shared" si="339"/>
        <v>7088.8148364674835</v>
      </c>
      <c r="AO550" s="98">
        <f t="shared" si="340"/>
        <v>1.5706552594900811</v>
      </c>
      <c r="AP550" s="168" t="str">
        <f t="shared" si="341"/>
        <v>-0.0021062081382114+0.0273729164706742i</v>
      </c>
      <c r="AQ550" s="98">
        <f t="shared" si="342"/>
        <v>-31.227941847977625</v>
      </c>
      <c r="AR550" s="169">
        <f t="shared" si="343"/>
        <v>94.399952150273108</v>
      </c>
      <c r="AS550" s="168" t="str">
        <f t="shared" si="344"/>
        <v>-2.16969341812271E-06+6.14430334506274E-07i</v>
      </c>
      <c r="AT550" s="190">
        <f t="shared" si="345"/>
        <v>-112.93701000501247</v>
      </c>
      <c r="AU550" s="169">
        <f t="shared" si="346"/>
        <v>164.18853422071854</v>
      </c>
      <c r="AV550" s="225"/>
      <c r="AX550">
        <f t="shared" si="347"/>
        <v>0</v>
      </c>
      <c r="AY550">
        <f t="shared" si="348"/>
        <v>0</v>
      </c>
    </row>
    <row r="551" spans="14:51" x14ac:dyDescent="0.2">
      <c r="N551" s="170">
        <v>33</v>
      </c>
      <c r="O551" s="199">
        <f t="shared" si="314"/>
        <v>2137962.0895022359</v>
      </c>
      <c r="P551" s="189" t="str">
        <f t="shared" si="315"/>
        <v>771.276595744681</v>
      </c>
      <c r="Q551" s="160" t="str">
        <f t="shared" si="316"/>
        <v>1+118749.593974516i</v>
      </c>
      <c r="R551" s="160">
        <f t="shared" si="324"/>
        <v>118749.59397872652</v>
      </c>
      <c r="S551" s="160">
        <f t="shared" si="325"/>
        <v>1.5707879057134722</v>
      </c>
      <c r="T551" s="160" t="str">
        <f t="shared" si="317"/>
        <v>1+2.23528647481442i</v>
      </c>
      <c r="U551" s="160">
        <f t="shared" si="326"/>
        <v>2.448776352484701</v>
      </c>
      <c r="V551" s="160">
        <f t="shared" si="327"/>
        <v>1.1501317031177616</v>
      </c>
      <c r="W551" s="98" t="str">
        <f t="shared" si="318"/>
        <v>1-9.13458415188582i</v>
      </c>
      <c r="X551" s="160">
        <f t="shared" si="328"/>
        <v>9.1891581566476273</v>
      </c>
      <c r="Y551" s="160">
        <f t="shared" si="329"/>
        <v>-1.4617564833507821</v>
      </c>
      <c r="Z551" s="98" t="str">
        <f t="shared" si="319"/>
        <v>-1827.35275845951-62.5427821373349i</v>
      </c>
      <c r="AA551" s="160">
        <f t="shared" si="330"/>
        <v>1828.4227365265006</v>
      </c>
      <c r="AB551" s="160">
        <f t="shared" si="331"/>
        <v>-3.1073801142322242</v>
      </c>
      <c r="AC551" s="171" t="str">
        <f t="shared" si="332"/>
        <v>0.0000270954268186713+0.000075200575313835i</v>
      </c>
      <c r="AD551" s="190">
        <f t="shared" si="333"/>
        <v>-81.94547489051304</v>
      </c>
      <c r="AE551" s="169">
        <f t="shared" si="334"/>
        <v>70.185463681766819</v>
      </c>
      <c r="AF551" s="98" t="str">
        <f t="shared" si="320"/>
        <v>-0.0000119284294234592</v>
      </c>
      <c r="AG551" s="98" t="str">
        <f t="shared" si="321"/>
        <v>0.24224111178082i</v>
      </c>
      <c r="AH551" s="98">
        <f t="shared" si="335"/>
        <v>0.24224111178082</v>
      </c>
      <c r="AI551" s="98">
        <f t="shared" si="336"/>
        <v>1.5707963267948966</v>
      </c>
      <c r="AJ551" s="98" t="str">
        <f t="shared" si="322"/>
        <v>1+13.2745432056431i</v>
      </c>
      <c r="AK551" s="98">
        <f t="shared" si="337"/>
        <v>13.312155998127629</v>
      </c>
      <c r="AL551" s="98">
        <f t="shared" si="338"/>
        <v>1.4956061861783347</v>
      </c>
      <c r="AM551" s="98" t="str">
        <f t="shared" si="323"/>
        <v>1+7253.9344735564i</v>
      </c>
      <c r="AN551" s="98">
        <f t="shared" si="339"/>
        <v>7253.9345424845096</v>
      </c>
      <c r="AO551" s="98">
        <f t="shared" si="340"/>
        <v>1.5706584705739299</v>
      </c>
      <c r="AP551" s="168" t="str">
        <f t="shared" si="341"/>
        <v>-0.00201194807625785+0.0267569336352356i</v>
      </c>
      <c r="AQ551" s="98">
        <f t="shared" si="342"/>
        <v>-31.426787033101228</v>
      </c>
      <c r="AR551" s="169">
        <f t="shared" si="343"/>
        <v>94.300179138683148</v>
      </c>
      <c r="AS551" s="168" t="str">
        <f t="shared" si="344"/>
        <v>-2.06665139486703E-06+5.73690884369417E-07i</v>
      </c>
      <c r="AT551" s="190">
        <f t="shared" si="345"/>
        <v>-113.37226192361427</v>
      </c>
      <c r="AU551" s="169">
        <f t="shared" si="346"/>
        <v>164.48564282044995</v>
      </c>
      <c r="AV551" s="225"/>
      <c r="AX551">
        <f t="shared" si="347"/>
        <v>0</v>
      </c>
      <c r="AY551">
        <f t="shared" si="348"/>
        <v>0</v>
      </c>
    </row>
    <row r="552" spans="14:51" x14ac:dyDescent="0.2">
      <c r="N552" s="170">
        <v>34</v>
      </c>
      <c r="O552" s="199">
        <f t="shared" si="314"/>
        <v>2187761.6239495561</v>
      </c>
      <c r="P552" s="189" t="str">
        <f t="shared" si="315"/>
        <v>771.276595744681</v>
      </c>
      <c r="Q552" s="160" t="str">
        <f t="shared" si="316"/>
        <v>1+121515.627350307i</v>
      </c>
      <c r="R552" s="160">
        <f t="shared" si="324"/>
        <v>121515.62735442168</v>
      </c>
      <c r="S552" s="160">
        <f t="shared" si="325"/>
        <v>1.570788097400688</v>
      </c>
      <c r="T552" s="160" t="str">
        <f t="shared" si="317"/>
        <v>1+2.28735298541755i</v>
      </c>
      <c r="U552" s="160">
        <f t="shared" si="326"/>
        <v>2.4963941355279977</v>
      </c>
      <c r="V552" s="160">
        <f t="shared" si="327"/>
        <v>1.1586489933752611</v>
      </c>
      <c r="W552" s="98" t="str">
        <f t="shared" si="318"/>
        <v>1-9.3473559500236i</v>
      </c>
      <c r="X552" s="160">
        <f t="shared" si="328"/>
        <v>9.4006948283859106</v>
      </c>
      <c r="Y552" s="160">
        <f t="shared" si="329"/>
        <v>-1.4642195650763994</v>
      </c>
      <c r="Z552" s="98" t="str">
        <f t="shared" si="319"/>
        <v>-1913.52036929056-63.9995906788768i</v>
      </c>
      <c r="AA552" s="160">
        <f t="shared" si="330"/>
        <v>1914.5903351100842</v>
      </c>
      <c r="AB552" s="160">
        <f t="shared" si="331"/>
        <v>-3.1081591225651772</v>
      </c>
      <c r="AC552" s="171" t="str">
        <f t="shared" si="332"/>
        <v>0.0000258713756830528+0.0000733715965865498i</v>
      </c>
      <c r="AD552" s="190">
        <f t="shared" si="333"/>
        <v>-82.180494688791356</v>
      </c>
      <c r="AE552" s="169">
        <f t="shared" si="334"/>
        <v>70.576967185750959</v>
      </c>
      <c r="AF552" s="98" t="str">
        <f t="shared" si="320"/>
        <v>-0.0000119284294234592</v>
      </c>
      <c r="AG552" s="98" t="str">
        <f t="shared" si="321"/>
        <v>0.247883632127612i</v>
      </c>
      <c r="AH552" s="98">
        <f t="shared" si="335"/>
        <v>0.247883632127612</v>
      </c>
      <c r="AI552" s="98">
        <f t="shared" si="336"/>
        <v>1.5707963267948966</v>
      </c>
      <c r="AJ552" s="98" t="str">
        <f t="shared" si="322"/>
        <v>1+13.5837470380627i</v>
      </c>
      <c r="AK552" s="98">
        <f t="shared" si="337"/>
        <v>13.620505996257156</v>
      </c>
      <c r="AL552" s="98">
        <f t="shared" si="338"/>
        <v>1.497311496570441</v>
      </c>
      <c r="AM552" s="98" t="str">
        <f t="shared" si="323"/>
        <v>1+7422.90031325406i</v>
      </c>
      <c r="AN552" s="98">
        <f t="shared" si="339"/>
        <v>7422.9003806131759</v>
      </c>
      <c r="AO552" s="98">
        <f t="shared" si="340"/>
        <v>1.5706616085645893</v>
      </c>
      <c r="AP552" s="168" t="str">
        <f t="shared" si="341"/>
        <v>-0.00192188360250977+0.0261545017784635i</v>
      </c>
      <c r="AQ552" s="98">
        <f t="shared" si="342"/>
        <v>-31.625683906727712</v>
      </c>
      <c r="AR552" s="169">
        <f t="shared" si="343"/>
        <v>94.202651844076584</v>
      </c>
      <c r="AS552" s="168" t="str">
        <f t="shared" si="344"/>
        <v>-1.96871932611125E-06+5.3564127294405E-07i</v>
      </c>
      <c r="AT552" s="190">
        <f t="shared" si="345"/>
        <v>-113.80617859551907</v>
      </c>
      <c r="AU552" s="169">
        <f t="shared" si="346"/>
        <v>164.77961902982753</v>
      </c>
      <c r="AV552" s="225"/>
      <c r="AX552">
        <f t="shared" si="347"/>
        <v>0</v>
      </c>
      <c r="AY552">
        <f t="shared" si="348"/>
        <v>0</v>
      </c>
    </row>
    <row r="553" spans="14:51" x14ac:dyDescent="0.2">
      <c r="N553" s="170">
        <v>35</v>
      </c>
      <c r="O553" s="199">
        <f t="shared" si="314"/>
        <v>2238721.1385683389</v>
      </c>
      <c r="P553" s="189" t="str">
        <f t="shared" si="315"/>
        <v>771.276595744681</v>
      </c>
      <c r="Q553" s="160" t="str">
        <f t="shared" si="316"/>
        <v>1+124346.089920169i</v>
      </c>
      <c r="R553" s="160">
        <f t="shared" si="324"/>
        <v>124346.08992419005</v>
      </c>
      <c r="S553" s="160">
        <f t="shared" si="325"/>
        <v>1.57078828472457</v>
      </c>
      <c r="T553" s="160" t="str">
        <f t="shared" si="317"/>
        <v>1+2.34063228085022i</v>
      </c>
      <c r="U553" s="160">
        <f t="shared" si="326"/>
        <v>2.5453014505472829</v>
      </c>
      <c r="V553" s="160">
        <f t="shared" si="327"/>
        <v>1.1670341500879113</v>
      </c>
      <c r="W553" s="98" t="str">
        <f t="shared" si="318"/>
        <v>1-9.56508384001292i</v>
      </c>
      <c r="X553" s="160">
        <f t="shared" si="328"/>
        <v>9.6172152344884285</v>
      </c>
      <c r="Y553" s="160">
        <f t="shared" si="329"/>
        <v>-1.4666278351744721</v>
      </c>
      <c r="Z553" s="98" t="str">
        <f t="shared" si="319"/>
        <v>-2003.74893450908-65.490332650531i</v>
      </c>
      <c r="AA553" s="160">
        <f t="shared" si="330"/>
        <v>2004.8188886323251</v>
      </c>
      <c r="AB553" s="160">
        <f t="shared" si="331"/>
        <v>-3.1089203827692828</v>
      </c>
      <c r="AC553" s="171" t="str">
        <f t="shared" si="332"/>
        <v>0.0000247028167501229+0.0000715920655700812i</v>
      </c>
      <c r="AD553" s="190">
        <f t="shared" si="333"/>
        <v>-82.414171302268358</v>
      </c>
      <c r="AE553" s="169">
        <f t="shared" si="334"/>
        <v>70.963023827333188</v>
      </c>
      <c r="AF553" s="98" t="str">
        <f t="shared" si="320"/>
        <v>-0.0000119284294234592</v>
      </c>
      <c r="AG553" s="98" t="str">
        <f t="shared" si="321"/>
        <v>0.253657583657285i</v>
      </c>
      <c r="AH553" s="98">
        <f t="shared" si="335"/>
        <v>0.25365758365728502</v>
      </c>
      <c r="AI553" s="98">
        <f t="shared" si="336"/>
        <v>1.5707963267948966</v>
      </c>
      <c r="AJ553" s="98" t="str">
        <f t="shared" si="322"/>
        <v>1+13.9001531529639i</v>
      </c>
      <c r="AK553" s="98">
        <f t="shared" si="337"/>
        <v>13.936077557040656</v>
      </c>
      <c r="AL553" s="98">
        <f t="shared" si="338"/>
        <v>1.4989784031963758</v>
      </c>
      <c r="AM553" s="98" t="str">
        <f t="shared" si="323"/>
        <v>1+7595.80187295145i</v>
      </c>
      <c r="AN553" s="98">
        <f t="shared" si="339"/>
        <v>7595.8019387772838</v>
      </c>
      <c r="AO553" s="98">
        <f t="shared" si="340"/>
        <v>1.5706646751258631</v>
      </c>
      <c r="AP553" s="168" t="str">
        <f t="shared" si="341"/>
        <v>-0.00183582997089707+0.0255653434740068i</v>
      </c>
      <c r="AQ553" s="98">
        <f t="shared" si="342"/>
        <v>-31.824630167587276</v>
      </c>
      <c r="AR553" s="169">
        <f t="shared" si="343"/>
        <v>94.107320830586772</v>
      </c>
      <c r="AS553" s="168" t="str">
        <f t="shared" si="344"/>
        <v>-0.0000018756259176682+5.00105135340357E-07i</v>
      </c>
      <c r="AT553" s="190">
        <f t="shared" si="345"/>
        <v>-114.23880146985562</v>
      </c>
      <c r="AU553" s="169">
        <f t="shared" si="346"/>
        <v>165.07034465792</v>
      </c>
      <c r="AV553" s="225"/>
      <c r="AX553">
        <f t="shared" si="347"/>
        <v>0</v>
      </c>
      <c r="AY553">
        <f t="shared" si="348"/>
        <v>0</v>
      </c>
    </row>
    <row r="554" spans="14:51" x14ac:dyDescent="0.2">
      <c r="N554" s="170">
        <v>36</v>
      </c>
      <c r="O554" s="199">
        <f t="shared" si="314"/>
        <v>2290867.6527677765</v>
      </c>
      <c r="P554" s="189" t="str">
        <f t="shared" si="315"/>
        <v>771.276595744681</v>
      </c>
      <c r="Q554" s="160" t="str">
        <f t="shared" si="316"/>
        <v>1+127242.482432822i</v>
      </c>
      <c r="R554" s="160">
        <f t="shared" si="324"/>
        <v>127242.4824367515</v>
      </c>
      <c r="S554" s="160">
        <f t="shared" si="325"/>
        <v>1.5707884677844399</v>
      </c>
      <c r="T554" s="160" t="str">
        <f t="shared" si="317"/>
        <v>1+2.39515261050017i</v>
      </c>
      <c r="U554" s="160">
        <f t="shared" si="326"/>
        <v>2.5955261562129901</v>
      </c>
      <c r="V554" s="160">
        <f t="shared" si="327"/>
        <v>1.1752869015859728</v>
      </c>
      <c r="W554" s="98" t="str">
        <f t="shared" si="318"/>
        <v>1-9.78788326406317i</v>
      </c>
      <c r="X554" s="160">
        <f t="shared" si="328"/>
        <v>9.8388342190997342</v>
      </c>
      <c r="Y554" s="160">
        <f t="shared" si="329"/>
        <v>-1.468982458741531</v>
      </c>
      <c r="Z554" s="98" t="str">
        <f t="shared" si="319"/>
        <v>-2098.22984099911-67.0157984634241i</v>
      </c>
      <c r="AA554" s="160">
        <f t="shared" si="330"/>
        <v>2099.2997839524587</v>
      </c>
      <c r="AB554" s="160">
        <f t="shared" si="331"/>
        <v>-3.1096642998905719</v>
      </c>
      <c r="AC554" s="171" t="str">
        <f t="shared" si="332"/>
        <v>0.0000235872171981905+0.0000698603359268574i</v>
      </c>
      <c r="AD554" s="190">
        <f t="shared" si="333"/>
        <v>-82.64654777527285</v>
      </c>
      <c r="AE554" s="169">
        <f t="shared" si="334"/>
        <v>71.343574487607327</v>
      </c>
      <c r="AF554" s="98" t="str">
        <f t="shared" si="320"/>
        <v>-0.0000119284294234592</v>
      </c>
      <c r="AG554" s="98" t="str">
        <f t="shared" si="321"/>
        <v>0.259566027795369i</v>
      </c>
      <c r="AH554" s="98">
        <f t="shared" si="335"/>
        <v>0.25956602779536903</v>
      </c>
      <c r="AI554" s="98">
        <f t="shared" si="336"/>
        <v>1.5707963267948966</v>
      </c>
      <c r="AJ554" s="98" t="str">
        <f t="shared" si="322"/>
        <v>1+14.2239293130573i</v>
      </c>
      <c r="AK554" s="98">
        <f t="shared" si="337"/>
        <v>14.259038014636566</v>
      </c>
      <c r="AL554" s="98">
        <f t="shared" si="338"/>
        <v>1.5006077527982895</v>
      </c>
      <c r="AM554" s="98" t="str">
        <f t="shared" si="323"/>
        <v>1+7772.7308273443i</v>
      </c>
      <c r="AN554" s="98">
        <f t="shared" si="339"/>
        <v>7772.7308916717566</v>
      </c>
      <c r="AO554" s="98">
        <f t="shared" si="340"/>
        <v>1.5706676718836825</v>
      </c>
      <c r="AP554" s="168" t="str">
        <f t="shared" si="341"/>
        <v>-0.00175361039489859+0.0249891855794397i</v>
      </c>
      <c r="AQ554" s="98">
        <f t="shared" si="342"/>
        <v>-32.023623615793262</v>
      </c>
      <c r="AR554" s="169">
        <f t="shared" si="343"/>
        <v>94.014137676621075</v>
      </c>
      <c r="AS554" s="168" t="str">
        <f t="shared" si="344"/>
        <v>-1.78711568838372E-06+4.6691753659569E-07i</v>
      </c>
      <c r="AT554" s="190">
        <f t="shared" si="345"/>
        <v>-114.67017139106611</v>
      </c>
      <c r="AU554" s="169">
        <f t="shared" si="346"/>
        <v>165.35771216422842</v>
      </c>
      <c r="AV554" s="225"/>
      <c r="AX554">
        <f t="shared" si="347"/>
        <v>0</v>
      </c>
      <c r="AY554">
        <f t="shared" si="348"/>
        <v>0</v>
      </c>
    </row>
    <row r="555" spans="14:51" x14ac:dyDescent="0.2">
      <c r="N555" s="170">
        <v>37</v>
      </c>
      <c r="O555" s="199">
        <f t="shared" si="314"/>
        <v>2344228.8153199251</v>
      </c>
      <c r="P555" s="189" t="str">
        <f t="shared" si="315"/>
        <v>771.276595744681</v>
      </c>
      <c r="Q555" s="160" t="str">
        <f t="shared" si="316"/>
        <v>1+130206.340593914i</v>
      </c>
      <c r="R555" s="160">
        <f t="shared" si="324"/>
        <v>130206.34059775405</v>
      </c>
      <c r="S555" s="160">
        <f t="shared" si="325"/>
        <v>1.5707886466773584</v>
      </c>
      <c r="T555" s="160" t="str">
        <f t="shared" si="317"/>
        <v>1+2.45094288176778i</v>
      </c>
      <c r="U555" s="160">
        <f t="shared" si="326"/>
        <v>2.6470967133235139</v>
      </c>
      <c r="V555" s="160">
        <f t="shared" si="327"/>
        <v>1.1834071259152452</v>
      </c>
      <c r="W555" s="98" t="str">
        <f t="shared" si="318"/>
        <v>1-10.0158723533779i</v>
      </c>
      <c r="X555" s="160">
        <f t="shared" si="328"/>
        <v>10.065669326932994</v>
      </c>
      <c r="Y555" s="160">
        <f t="shared" si="329"/>
        <v>-1.4712845797360412</v>
      </c>
      <c r="Z555" s="98" t="str">
        <f t="shared" si="319"/>
        <v>-2197.16349543052-68.5767969397213i</v>
      </c>
      <c r="AA555" s="160">
        <f t="shared" si="330"/>
        <v>2198.2334277166678</v>
      </c>
      <c r="AB555" s="160">
        <f t="shared" si="331"/>
        <v>-3.1103912696851634</v>
      </c>
      <c r="AC555" s="171" t="str">
        <f t="shared" si="332"/>
        <v>0.0000225221613029832+0.0000681748334609833i</v>
      </c>
      <c r="AD555" s="190">
        <f t="shared" si="333"/>
        <v>-82.877666405990723</v>
      </c>
      <c r="AE555" s="169">
        <f t="shared" si="334"/>
        <v>71.718569304714507</v>
      </c>
      <c r="AF555" s="98" t="str">
        <f t="shared" si="320"/>
        <v>-0.0000119284294234592</v>
      </c>
      <c r="AG555" s="98" t="str">
        <f t="shared" si="321"/>
        <v>0.265612097277153i</v>
      </c>
      <c r="AH555" s="98">
        <f t="shared" si="335"/>
        <v>0.26561209727715301</v>
      </c>
      <c r="AI555" s="98">
        <f t="shared" si="336"/>
        <v>1.5707963267948966</v>
      </c>
      <c r="AJ555" s="98" t="str">
        <f t="shared" si="322"/>
        <v>1+14.5552471887483i</v>
      </c>
      <c r="AK555" s="98">
        <f t="shared" si="337"/>
        <v>14.589558619970834</v>
      </c>
      <c r="AL555" s="98">
        <f t="shared" si="338"/>
        <v>1.5022003746549661</v>
      </c>
      <c r="AM555" s="98" t="str">
        <f t="shared" si="323"/>
        <v>1+7953.78098650602i</v>
      </c>
      <c r="AN555" s="98">
        <f t="shared" si="339"/>
        <v>7953.7810493692032</v>
      </c>
      <c r="AO555" s="98">
        <f t="shared" si="340"/>
        <v>1.5706706004269684</v>
      </c>
      <c r="AP555" s="168" t="str">
        <f t="shared" si="341"/>
        <v>-0.00167505572004057+0.0244257592699979i</v>
      </c>
      <c r="AQ555" s="98">
        <f t="shared" si="342"/>
        <v>-32.222662148469531</v>
      </c>
      <c r="AR555" s="169">
        <f t="shared" si="343"/>
        <v>93.923054959043597</v>
      </c>
      <c r="AS555" s="168" t="str">
        <f t="shared" si="344"/>
        <v>-1.70294794550841E-06+4.35924245475097E-07i</v>
      </c>
      <c r="AT555" s="190">
        <f t="shared" si="345"/>
        <v>-115.10032855446028</v>
      </c>
      <c r="AU555" s="169">
        <f t="shared" si="346"/>
        <v>165.64162426375808</v>
      </c>
      <c r="AV555" s="225"/>
      <c r="AX555">
        <f t="shared" si="347"/>
        <v>0</v>
      </c>
      <c r="AY555">
        <f t="shared" si="348"/>
        <v>0</v>
      </c>
    </row>
    <row r="556" spans="14:51" x14ac:dyDescent="0.2">
      <c r="N556" s="170">
        <v>38</v>
      </c>
      <c r="O556" s="199">
        <f t="shared" si="314"/>
        <v>2398832.9190194933</v>
      </c>
      <c r="P556" s="189" t="str">
        <f t="shared" si="315"/>
        <v>771.276595744681</v>
      </c>
      <c r="Q556" s="160" t="str">
        <f t="shared" si="316"/>
        <v>1+133239.235880272i</v>
      </c>
      <c r="R556" s="160">
        <f t="shared" si="324"/>
        <v>133239.23588402462</v>
      </c>
      <c r="S556" s="160">
        <f t="shared" si="325"/>
        <v>1.5707888214981769</v>
      </c>
      <c r="T556" s="160" t="str">
        <f t="shared" si="317"/>
        <v>1+2.50803267539336i</v>
      </c>
      <c r="U556" s="160">
        <f t="shared" si="326"/>
        <v>2.7000422035295619</v>
      </c>
      <c r="V556" s="160">
        <f t="shared" si="327"/>
        <v>1.191394844024688</v>
      </c>
      <c r="W556" s="98" t="str">
        <f t="shared" si="318"/>
        <v>1-10.2491719907901i</v>
      </c>
      <c r="X556" s="160">
        <f t="shared" si="328"/>
        <v>10.297840865773578</v>
      </c>
      <c r="Y556" s="160">
        <f t="shared" si="329"/>
        <v>-1.4735353211140105</v>
      </c>
      <c r="Z556" s="98" t="str">
        <f t="shared" si="319"/>
        <v>-2300.75974934864-70.1741557414769i</v>
      </c>
      <c r="AA556" s="160">
        <f t="shared" si="330"/>
        <v>2301.829671447661</v>
      </c>
      <c r="AB556" s="160">
        <f t="shared" si="331"/>
        <v>-3.1111016788353871</v>
      </c>
      <c r="AC556" s="171" t="str">
        <f t="shared" si="332"/>
        <v>0.0000215053448946022+0.0000665340521723502i</v>
      </c>
      <c r="AD556" s="190">
        <f t="shared" si="333"/>
        <v>-83.107568710793416</v>
      </c>
      <c r="AE556" s="169">
        <f t="shared" si="334"/>
        <v>72.087967288132972</v>
      </c>
      <c r="AF556" s="98" t="str">
        <f t="shared" si="320"/>
        <v>-0.0000119284294234592</v>
      </c>
      <c r="AG556" s="98" t="str">
        <f t="shared" si="321"/>
        <v>0.271798997808704i</v>
      </c>
      <c r="AH556" s="98">
        <f t="shared" si="335"/>
        <v>0.27179899780870398</v>
      </c>
      <c r="AI556" s="98">
        <f t="shared" si="336"/>
        <v>1.5707963267948966</v>
      </c>
      <c r="AJ556" s="98" t="str">
        <f t="shared" si="322"/>
        <v>1+14.8942824491603i</v>
      </c>
      <c r="AK556" s="98">
        <f t="shared" si="337"/>
        <v>14.927814631598443</v>
      </c>
      <c r="AL556" s="98">
        <f t="shared" si="338"/>
        <v>1.503757080860666</v>
      </c>
      <c r="AM556" s="98" t="str">
        <f t="shared" si="323"/>
        <v>1+8139.04834562749i</v>
      </c>
      <c r="AN556" s="98">
        <f t="shared" si="339"/>
        <v>8139.0484070597322</v>
      </c>
      <c r="AO556" s="98">
        <f t="shared" si="340"/>
        <v>1.5706734623084724</v>
      </c>
      <c r="AP556" s="168" t="str">
        <f t="shared" si="341"/>
        <v>-0.00160000410849807+0.0238748000632464i</v>
      </c>
      <c r="AQ556" s="98">
        <f t="shared" si="342"/>
        <v>-32.421743755558786</v>
      </c>
      <c r="AR556" s="169">
        <f t="shared" si="343"/>
        <v>93.834026237246803</v>
      </c>
      <c r="AS556" s="168" t="str">
        <f t="shared" si="344"/>
        <v>-0.0000016228958331985+4.06981052818999E-07i</v>
      </c>
      <c r="AT556" s="190">
        <f t="shared" si="345"/>
        <v>-115.52931246635218</v>
      </c>
      <c r="AU556" s="169">
        <f t="shared" si="346"/>
        <v>165.9219935253798</v>
      </c>
      <c r="AV556" s="225"/>
      <c r="AX556">
        <f t="shared" si="347"/>
        <v>0</v>
      </c>
      <c r="AY556">
        <f t="shared" si="348"/>
        <v>0</v>
      </c>
    </row>
    <row r="557" spans="14:51" x14ac:dyDescent="0.2">
      <c r="N557" s="170">
        <v>39</v>
      </c>
      <c r="O557" s="199">
        <f t="shared" si="314"/>
        <v>2454708.915685033</v>
      </c>
      <c r="P557" s="189" t="str">
        <f t="shared" si="315"/>
        <v>771.276595744681</v>
      </c>
      <c r="Q557" s="160" t="str">
        <f t="shared" si="316"/>
        <v>1+136342.776373125i</v>
      </c>
      <c r="R557" s="160">
        <f t="shared" si="324"/>
        <v>136342.77637679223</v>
      </c>
      <c r="S557" s="160">
        <f t="shared" si="325"/>
        <v>1.5707889923395879</v>
      </c>
      <c r="T557" s="160" t="str">
        <f t="shared" si="317"/>
        <v>1+2.56645226114117i</v>
      </c>
      <c r="U557" s="160">
        <f t="shared" si="326"/>
        <v>2.7543923483622708</v>
      </c>
      <c r="V557" s="160">
        <f t="shared" si="327"/>
        <v>1.1992502129033062</v>
      </c>
      <c r="W557" s="98" t="str">
        <f t="shared" si="318"/>
        <v>1-10.4879058748557i</v>
      </c>
      <c r="X557" s="160">
        <f t="shared" si="328"/>
        <v>10.535471970435529</v>
      </c>
      <c r="Y557" s="160">
        <f t="shared" si="329"/>
        <v>-1.4757357849831132</v>
      </c>
      <c r="Z557" s="98" t="str">
        <f t="shared" si="319"/>
        <v>-2409.23834429743-71.8087218094714i</v>
      </c>
      <c r="AA557" s="160">
        <f t="shared" si="330"/>
        <v>2410.3082566677926</v>
      </c>
      <c r="AB557" s="160">
        <f t="shared" si="331"/>
        <v>-3.1117959051606752</v>
      </c>
      <c r="AC557" s="171" t="str">
        <f t="shared" si="332"/>
        <v>0.0000205345700879442+0.0000649365505532245i</v>
      </c>
      <c r="AD557" s="190">
        <f t="shared" si="333"/>
        <v>-83.336295392847504</v>
      </c>
      <c r="AE557" s="169">
        <f t="shared" si="334"/>
        <v>72.451735928699691</v>
      </c>
      <c r="AF557" s="98" t="str">
        <f t="shared" si="320"/>
        <v>-0.0000119284294234592</v>
      </c>
      <c r="AG557" s="98" t="str">
        <f t="shared" si="321"/>
        <v>0.278130009766579i</v>
      </c>
      <c r="AH557" s="98">
        <f t="shared" si="335"/>
        <v>0.27813000976657898</v>
      </c>
      <c r="AI557" s="98">
        <f t="shared" si="336"/>
        <v>1.5707963267948966</v>
      </c>
      <c r="AJ557" s="98" t="str">
        <f t="shared" si="322"/>
        <v>1+15.2412148552759i</v>
      </c>
      <c r="AK557" s="98">
        <f t="shared" si="337"/>
        <v>15.273985408683707</v>
      </c>
      <c r="AL557" s="98">
        <f t="shared" si="338"/>
        <v>1.5052786666052969</v>
      </c>
      <c r="AM557" s="98" t="str">
        <f t="shared" si="323"/>
        <v>1+8328.63113591485i</v>
      </c>
      <c r="AN557" s="98">
        <f t="shared" si="339"/>
        <v>8328.6311959487248</v>
      </c>
      <c r="AO557" s="98">
        <f t="shared" si="340"/>
        <v>1.570676259045602</v>
      </c>
      <c r="AP557" s="168" t="str">
        <f t="shared" si="341"/>
        <v>-0.00152830073547917+0.0233360478353942i</v>
      </c>
      <c r="AQ557" s="98">
        <f t="shared" si="342"/>
        <v>-32.620866515803698</v>
      </c>
      <c r="AR557" s="169">
        <f t="shared" si="343"/>
        <v>93.747006037146164</v>
      </c>
      <c r="AS557" s="168" t="str">
        <f t="shared" si="344"/>
        <v>-1.54674544854369E-06+3.79953131881547E-07i</v>
      </c>
      <c r="AT557" s="190">
        <f t="shared" si="345"/>
        <v>-115.95716190865124</v>
      </c>
      <c r="AU557" s="169">
        <f t="shared" si="346"/>
        <v>166.19874196584584</v>
      </c>
      <c r="AV557" s="225"/>
      <c r="AX557">
        <f t="shared" si="347"/>
        <v>0</v>
      </c>
      <c r="AY557">
        <f t="shared" si="348"/>
        <v>0</v>
      </c>
    </row>
    <row r="558" spans="14:51" x14ac:dyDescent="0.2">
      <c r="N558" s="170">
        <v>40</v>
      </c>
      <c r="O558" s="199">
        <f t="shared" si="314"/>
        <v>2511886.431509587</v>
      </c>
      <c r="P558" s="189" t="str">
        <f t="shared" si="315"/>
        <v>771.276595744681</v>
      </c>
      <c r="Q558" s="160" t="str">
        <f t="shared" si="316"/>
        <v>1+139518.607610721i</v>
      </c>
      <c r="R558" s="160">
        <f t="shared" si="324"/>
        <v>139518.60761430475</v>
      </c>
      <c r="S558" s="160">
        <f t="shared" si="325"/>
        <v>1.5707891592921734</v>
      </c>
      <c r="T558" s="160" t="str">
        <f t="shared" si="317"/>
        <v>1+2.62623261384886i</v>
      </c>
      <c r="U558" s="160">
        <f t="shared" si="326"/>
        <v>2.810177528563528</v>
      </c>
      <c r="V558" s="160">
        <f t="shared" si="327"/>
        <v>1.2069735187022983</v>
      </c>
      <c r="W558" s="98" t="str">
        <f t="shared" si="318"/>
        <v>1-10.73220058544i</v>
      </c>
      <c r="X558" s="160">
        <f t="shared" si="328"/>
        <v>10.778688668206287</v>
      </c>
      <c r="Y558" s="160">
        <f t="shared" si="329"/>
        <v>-1.4778870527736199</v>
      </c>
      <c r="Z558" s="98" t="str">
        <f t="shared" si="319"/>
        <v>-2522.82937792079-73.4813618122705i</v>
      </c>
      <c r="AA558" s="160">
        <f t="shared" si="330"/>
        <v>2523.899281000331</v>
      </c>
      <c r="AB558" s="160">
        <f t="shared" si="331"/>
        <v>-3.1124743178233665</v>
      </c>
      <c r="AC558" s="171" t="str">
        <f t="shared" si="332"/>
        <v>0.0000196077402721717+0.0000633809481117423i</v>
      </c>
      <c r="AD558" s="190">
        <f t="shared" si="333"/>
        <v>-83.563886314861762</v>
      </c>
      <c r="AE558" s="169">
        <f t="shared" si="334"/>
        <v>72.809850806534214</v>
      </c>
      <c r="AF558" s="98" t="str">
        <f t="shared" si="320"/>
        <v>-0.0000119284294234592</v>
      </c>
      <c r="AG558" s="98" t="str">
        <f t="shared" si="321"/>
        <v>0.284608489937119i</v>
      </c>
      <c r="AH558" s="98">
        <f t="shared" si="335"/>
        <v>0.28460848993711901</v>
      </c>
      <c r="AI558" s="98">
        <f t="shared" si="336"/>
        <v>1.5707963267948966</v>
      </c>
      <c r="AJ558" s="98" t="str">
        <f t="shared" si="322"/>
        <v>1+15.5962283552492i</v>
      </c>
      <c r="AK558" s="98">
        <f t="shared" si="337"/>
        <v>15.628254506152606</v>
      </c>
      <c r="AL558" s="98">
        <f t="shared" si="338"/>
        <v>1.5067659104554125</v>
      </c>
      <c r="AM558" s="98" t="str">
        <f t="shared" si="323"/>
        <v>1+8522.629876673i</v>
      </c>
      <c r="AN558" s="98">
        <f t="shared" si="339"/>
        <v>8522.6299353403374</v>
      </c>
      <c r="AO558" s="98">
        <f t="shared" si="340"/>
        <v>1.5706789921212241</v>
      </c>
      <c r="AP558" s="168" t="str">
        <f t="shared" si="341"/>
        <v>-0.00145979749706532+0.0228092468299185i</v>
      </c>
      <c r="AQ558" s="98">
        <f t="shared" si="342"/>
        <v>-32.82002859289576</v>
      </c>
      <c r="AR558" s="169">
        <f t="shared" si="343"/>
        <v>93.661949835125952</v>
      </c>
      <c r="AS558" s="168" t="str">
        <f t="shared" si="344"/>
        <v>-1.47429501996741E-06+3.54714438229749E-07i</v>
      </c>
      <c r="AT558" s="190">
        <f t="shared" si="345"/>
        <v>-116.38391490775753</v>
      </c>
      <c r="AU558" s="169">
        <f t="shared" si="346"/>
        <v>166.4718006416602</v>
      </c>
      <c r="AV558" s="225"/>
      <c r="AX558">
        <f t="shared" si="347"/>
        <v>0</v>
      </c>
      <c r="AY558">
        <f t="shared" si="348"/>
        <v>0</v>
      </c>
    </row>
    <row r="559" spans="14:51" x14ac:dyDescent="0.2">
      <c r="N559" s="170">
        <v>41</v>
      </c>
      <c r="O559" s="199">
        <f t="shared" si="314"/>
        <v>2570395.782768866</v>
      </c>
      <c r="P559" s="189" t="str">
        <f t="shared" si="315"/>
        <v>771.276595744681</v>
      </c>
      <c r="Q559" s="160" t="str">
        <f t="shared" si="316"/>
        <v>1+142768.413460819i</v>
      </c>
      <c r="R559" s="160">
        <f t="shared" si="324"/>
        <v>142768.41346432114</v>
      </c>
      <c r="S559" s="160">
        <f t="shared" si="325"/>
        <v>1.5707893224444542</v>
      </c>
      <c r="T559" s="160" t="str">
        <f t="shared" si="317"/>
        <v>1+2.6874054298507i</v>
      </c>
      <c r="U559" s="160">
        <f t="shared" si="326"/>
        <v>2.8674288037178925</v>
      </c>
      <c r="V559" s="160">
        <f t="shared" si="327"/>
        <v>1.2145651698754409</v>
      </c>
      <c r="W559" s="98" t="str">
        <f t="shared" si="318"/>
        <v>1-10.9821856508322i</v>
      </c>
      <c r="X559" s="160">
        <f t="shared" si="328"/>
        <v>11.027619945815356</v>
      </c>
      <c r="Y559" s="160">
        <f t="shared" si="329"/>
        <v>-1.4799901854245443</v>
      </c>
      <c r="Z559" s="98" t="str">
        <f t="shared" si="319"/>
        <v>-2641.77379203039-75.1929626057429i</v>
      </c>
      <c r="AA559" s="160">
        <f t="shared" si="330"/>
        <v>2642.8436862372423</v>
      </c>
      <c r="AB559" s="160">
        <f t="shared" si="331"/>
        <v>-3.1131372775295509</v>
      </c>
      <c r="AC559" s="171" t="str">
        <f t="shared" si="332"/>
        <v>0.0000187228553456498+0.0000618659221077196i</v>
      </c>
      <c r="AD559" s="190">
        <f t="shared" si="333"/>
        <v>-83.790380475815908</v>
      </c>
      <c r="AE559" s="169">
        <f t="shared" si="334"/>
        <v>73.162295198851282</v>
      </c>
      <c r="AF559" s="98" t="str">
        <f t="shared" si="320"/>
        <v>-0.0000119284294234592</v>
      </c>
      <c r="AG559" s="98" t="str">
        <f t="shared" si="321"/>
        <v>0.29123787329626i</v>
      </c>
      <c r="AH559" s="98">
        <f t="shared" si="335"/>
        <v>0.29123787329626</v>
      </c>
      <c r="AI559" s="98">
        <f t="shared" si="336"/>
        <v>1.5707963267948966</v>
      </c>
      <c r="AJ559" s="98" t="str">
        <f t="shared" si="322"/>
        <v>1+15.9595111819369i</v>
      </c>
      <c r="AK559" s="98">
        <f t="shared" si="337"/>
        <v>15.990809772064983</v>
      </c>
      <c r="AL559" s="98">
        <f t="shared" si="338"/>
        <v>1.5082195746355513</v>
      </c>
      <c r="AM559" s="98" t="str">
        <f t="shared" si="323"/>
        <v>1+8721.14742860205i</v>
      </c>
      <c r="AN559" s="98">
        <f t="shared" si="339"/>
        <v>8721.1474859339542</v>
      </c>
      <c r="AO559" s="98">
        <f t="shared" si="340"/>
        <v>1.5706816629844516</v>
      </c>
      <c r="AP559" s="168" t="str">
        <f t="shared" si="341"/>
        <v>-0.00139435272918093+0.0222941456591252i</v>
      </c>
      <c r="AQ559" s="98">
        <f t="shared" si="342"/>
        <v>-33.019228231784439</v>
      </c>
      <c r="AR559" s="169">
        <f t="shared" si="343"/>
        <v>93.578814041965273</v>
      </c>
      <c r="AS559" s="168" t="str">
        <f t="shared" si="344"/>
        <v>-1.40535414325486E-06+3.31147146896454E-07i</v>
      </c>
      <c r="AT559" s="190">
        <f t="shared" si="345"/>
        <v>-116.80960870760035</v>
      </c>
      <c r="AU559" s="169">
        <f t="shared" si="346"/>
        <v>166.74110924081654</v>
      </c>
      <c r="AV559" s="225"/>
      <c r="AX559">
        <f t="shared" si="347"/>
        <v>0</v>
      </c>
      <c r="AY559">
        <f t="shared" si="348"/>
        <v>0</v>
      </c>
    </row>
    <row r="560" spans="14:51" ht="16" thickBot="1" x14ac:dyDescent="0.25">
      <c r="N560" s="170">
        <v>42</v>
      </c>
      <c r="O560" s="199">
        <f t="shared" si="314"/>
        <v>2630267.9918953842</v>
      </c>
      <c r="P560" s="189" t="str">
        <f t="shared" si="315"/>
        <v>771.276595744681</v>
      </c>
      <c r="Q560" s="160" t="str">
        <f t="shared" si="316"/>
        <v>1+146093.917013497i</v>
      </c>
      <c r="R560" s="160">
        <f t="shared" si="324"/>
        <v>146093.91701691947</v>
      </c>
      <c r="S560" s="160">
        <f t="shared" si="325"/>
        <v>1.5707894818829358</v>
      </c>
      <c r="T560" s="160" t="str">
        <f t="shared" si="317"/>
        <v>1+2.75000314378347i</v>
      </c>
      <c r="U560" s="160">
        <f t="shared" si="326"/>
        <v>2.9261779321871333</v>
      </c>
      <c r="V560" s="160">
        <f t="shared" si="327"/>
        <v>1.2220256903678126</v>
      </c>
      <c r="W560" s="98" t="str">
        <f t="shared" si="318"/>
        <v>1-11.2379936164228i</v>
      </c>
      <c r="X560" s="160">
        <f t="shared" si="328"/>
        <v>11.282397817962263</v>
      </c>
      <c r="Y560" s="160">
        <f t="shared" si="329"/>
        <v>-1.4820462235834932</v>
      </c>
      <c r="Z560" s="98" t="str">
        <f t="shared" si="319"/>
        <v>-2766.32388367575-76.9444317032854i</v>
      </c>
      <c r="AA560" s="160">
        <f t="shared" si="330"/>
        <v>2767.3937694092301</v>
      </c>
      <c r="AB560" s="160">
        <f t="shared" si="331"/>
        <v>-3.1137851367250988</v>
      </c>
      <c r="AC560" s="196" t="str">
        <f t="shared" si="332"/>
        <v>0.0000178780071835447+0.0000603902044871519i</v>
      </c>
      <c r="AD560" s="197">
        <f t="shared" si="333"/>
        <v>-84.015815991500361</v>
      </c>
      <c r="AE560" s="198">
        <f t="shared" si="334"/>
        <v>73.509059689480878</v>
      </c>
      <c r="AF560" s="98" t="str">
        <f t="shared" si="320"/>
        <v>-0.0000119284294234592</v>
      </c>
      <c r="AG560" s="98" t="str">
        <f t="shared" si="321"/>
        <v>0.298021674830814i</v>
      </c>
      <c r="AH560" s="98">
        <f t="shared" si="335"/>
        <v>0.29802167483081399</v>
      </c>
      <c r="AI560" s="98">
        <f t="shared" si="336"/>
        <v>1.5707963267948966</v>
      </c>
      <c r="AJ560" s="98" t="str">
        <f t="shared" si="322"/>
        <v>1+16.3312559527023i</v>
      </c>
      <c r="AK560" s="98">
        <f t="shared" si="337"/>
        <v>16.361843447260895</v>
      </c>
      <c r="AL560" s="98">
        <f t="shared" si="338"/>
        <v>1.5096404053094821</v>
      </c>
      <c r="AM560" s="98" t="str">
        <f t="shared" si="323"/>
        <v>1+8924.28904833578i</v>
      </c>
      <c r="AN560" s="98">
        <f t="shared" si="339"/>
        <v>8924.2891043626532</v>
      </c>
      <c r="AO560" s="98">
        <f t="shared" si="340"/>
        <v>1.570684273051411</v>
      </c>
      <c r="AP560" s="191" t="str">
        <f t="shared" si="341"/>
        <v>-0.00133183093736228+0.0217904972992277i</v>
      </c>
      <c r="AQ560" s="195">
        <f t="shared" si="342"/>
        <v>-33.21846375514135</v>
      </c>
      <c r="AR560" s="198">
        <f t="shared" si="343"/>
        <v>93.497555986767324</v>
      </c>
      <c r="AS560" s="191" t="str">
        <f t="shared" si="344"/>
        <v>-1.33974307084252E-06+3.09141124598981E-07i</v>
      </c>
      <c r="AT560" s="197">
        <f t="shared" si="345"/>
        <v>-117.23427974664175</v>
      </c>
      <c r="AU560" s="198">
        <f t="shared" si="346"/>
        <v>167.00661567624817</v>
      </c>
      <c r="AV560" s="225"/>
    </row>
    <row r="561" spans="14:30" x14ac:dyDescent="0.2">
      <c r="N561" s="170"/>
      <c r="P561" s="189"/>
      <c r="Q561" s="160"/>
      <c r="R561" s="160"/>
      <c r="S561" s="160"/>
      <c r="T561" s="160"/>
      <c r="U561" s="160"/>
      <c r="V561" s="160"/>
      <c r="X561" s="160"/>
      <c r="Y561" s="160"/>
      <c r="AA561" s="160"/>
      <c r="AB561" s="160"/>
      <c r="AC561" s="160"/>
      <c r="AD561" s="190"/>
    </row>
    <row r="562" spans="14:30" x14ac:dyDescent="0.2">
      <c r="N562" s="170"/>
      <c r="P562" s="189"/>
      <c r="Q562" s="160"/>
      <c r="R562" s="160"/>
      <c r="S562" s="160"/>
      <c r="T562" s="160"/>
      <c r="U562" s="160"/>
      <c r="V562" s="160"/>
      <c r="X562" s="160"/>
      <c r="Y562" s="160"/>
      <c r="AA562" s="160"/>
      <c r="AB562" s="160"/>
      <c r="AC562" s="160"/>
      <c r="AD562" s="190"/>
    </row>
    <row r="563" spans="14:30" x14ac:dyDescent="0.2">
      <c r="N563" s="170"/>
      <c r="P563" s="189"/>
      <c r="Q563" s="160"/>
      <c r="R563" s="160"/>
      <c r="S563" s="160"/>
      <c r="T563" s="160"/>
      <c r="U563" s="160"/>
      <c r="V563" s="160"/>
      <c r="X563" s="160"/>
      <c r="Y563" s="160"/>
      <c r="AA563" s="160"/>
      <c r="AB563" s="160"/>
      <c r="AC563" s="160"/>
      <c r="AD563" s="190"/>
    </row>
    <row r="564" spans="14:30" x14ac:dyDescent="0.2">
      <c r="N564" s="170"/>
      <c r="P564" s="189"/>
      <c r="Q564" s="160"/>
      <c r="R564" s="160"/>
      <c r="S564" s="160"/>
      <c r="T564" s="160"/>
      <c r="U564" s="160"/>
      <c r="V564" s="160"/>
      <c r="X564" s="160"/>
      <c r="Y564" s="160"/>
      <c r="AA564" s="160"/>
      <c r="AB564" s="160"/>
      <c r="AC564" s="160"/>
      <c r="AD564" s="190"/>
    </row>
    <row r="565" spans="14:30" x14ac:dyDescent="0.2">
      <c r="N565" s="170"/>
      <c r="P565" s="189"/>
      <c r="Q565" s="160"/>
      <c r="R565" s="160"/>
      <c r="S565" s="160"/>
      <c r="T565" s="160"/>
      <c r="U565" s="160"/>
      <c r="V565" s="160"/>
      <c r="X565" s="160"/>
      <c r="Y565" s="160"/>
      <c r="AA565" s="160"/>
      <c r="AB565" s="160"/>
      <c r="AC565" s="160"/>
      <c r="AD565" s="190"/>
    </row>
    <row r="566" spans="14:30" x14ac:dyDescent="0.2">
      <c r="N566" s="170"/>
      <c r="P566" s="189"/>
      <c r="Q566" s="160"/>
      <c r="R566" s="160"/>
      <c r="S566" s="160"/>
      <c r="T566" s="160"/>
      <c r="U566" s="160"/>
      <c r="V566" s="160"/>
      <c r="X566" s="160"/>
      <c r="Y566" s="160"/>
      <c r="AA566" s="160"/>
      <c r="AB566" s="160"/>
      <c r="AC566" s="160"/>
      <c r="AD566" s="190"/>
    </row>
    <row r="567" spans="14:30" x14ac:dyDescent="0.2">
      <c r="N567" s="170"/>
      <c r="P567" s="189"/>
      <c r="Q567" s="160"/>
      <c r="R567" s="160"/>
      <c r="S567" s="160"/>
      <c r="T567" s="160"/>
      <c r="U567" s="160"/>
      <c r="V567" s="160"/>
      <c r="X567" s="160"/>
      <c r="Y567" s="160"/>
      <c r="AA567" s="160"/>
      <c r="AB567" s="160"/>
      <c r="AC567" s="160"/>
      <c r="AD567" s="190"/>
    </row>
    <row r="568" spans="14:30" x14ac:dyDescent="0.2">
      <c r="N568" s="170"/>
      <c r="P568" s="189"/>
      <c r="Q568" s="160"/>
      <c r="R568" s="160"/>
      <c r="S568" s="160"/>
      <c r="T568" s="160"/>
      <c r="U568" s="160"/>
      <c r="V568" s="160"/>
      <c r="X568" s="160"/>
      <c r="Y568" s="160"/>
      <c r="AA568" s="160"/>
      <c r="AB568" s="160"/>
      <c r="AC568" s="160"/>
      <c r="AD568" s="190"/>
    </row>
    <row r="569" spans="14:30" x14ac:dyDescent="0.2">
      <c r="N569" s="170"/>
      <c r="P569" s="189"/>
      <c r="Q569" s="160"/>
      <c r="R569" s="160"/>
      <c r="S569" s="160"/>
      <c r="T569" s="160"/>
      <c r="U569" s="160"/>
      <c r="V569" s="160"/>
      <c r="X569" s="160"/>
      <c r="Y569" s="160"/>
      <c r="AA569" s="160"/>
      <c r="AB569" s="160"/>
      <c r="AC569" s="160"/>
      <c r="AD569" s="190"/>
    </row>
    <row r="570" spans="14:30" x14ac:dyDescent="0.2">
      <c r="N570" s="170"/>
      <c r="P570" s="189"/>
      <c r="Q570" s="160"/>
      <c r="R570" s="160"/>
      <c r="S570" s="160"/>
      <c r="T570" s="160"/>
      <c r="U570" s="160"/>
      <c r="V570" s="160"/>
      <c r="X570" s="160"/>
      <c r="Y570" s="160"/>
      <c r="AA570" s="160"/>
      <c r="AB570" s="160"/>
      <c r="AC570" s="160"/>
      <c r="AD570" s="190"/>
    </row>
    <row r="571" spans="14:30" x14ac:dyDescent="0.2">
      <c r="N571" s="170"/>
      <c r="P571" s="189"/>
      <c r="Q571" s="160"/>
      <c r="R571" s="160"/>
      <c r="S571" s="160"/>
      <c r="T571" s="160"/>
      <c r="U571" s="160"/>
      <c r="V571" s="160"/>
      <c r="X571" s="160"/>
      <c r="Y571" s="160"/>
      <c r="AA571" s="160"/>
      <c r="AB571" s="160"/>
      <c r="AC571" s="160"/>
      <c r="AD571" s="190"/>
    </row>
    <row r="572" spans="14:30" x14ac:dyDescent="0.2">
      <c r="N572" s="170"/>
      <c r="P572" s="189"/>
      <c r="Q572" s="160"/>
      <c r="R572" s="160"/>
      <c r="S572" s="160"/>
      <c r="T572" s="160"/>
      <c r="U572" s="160"/>
      <c r="V572" s="160"/>
      <c r="X572" s="160"/>
      <c r="Y572" s="160"/>
      <c r="AA572" s="160"/>
      <c r="AB572" s="160"/>
      <c r="AC572" s="160"/>
      <c r="AD572" s="190"/>
    </row>
    <row r="573" spans="14:30" x14ac:dyDescent="0.2">
      <c r="N573" s="170"/>
      <c r="P573" s="189"/>
      <c r="Q573" s="160"/>
      <c r="R573" s="160"/>
      <c r="S573" s="160"/>
      <c r="T573" s="160"/>
      <c r="U573" s="160"/>
      <c r="V573" s="160"/>
      <c r="X573" s="160"/>
      <c r="Y573" s="160"/>
      <c r="AA573" s="160"/>
      <c r="AB573" s="160"/>
      <c r="AC573" s="160"/>
      <c r="AD573" s="190"/>
    </row>
    <row r="574" spans="14:30" x14ac:dyDescent="0.2">
      <c r="N574" s="170"/>
      <c r="P574" s="189"/>
      <c r="Q574" s="160"/>
      <c r="R574" s="160"/>
      <c r="S574" s="160"/>
      <c r="T574" s="160"/>
      <c r="U574" s="160"/>
      <c r="V574" s="160"/>
      <c r="X574" s="160"/>
      <c r="Y574" s="160"/>
      <c r="AA574" s="160"/>
      <c r="AB574" s="160"/>
      <c r="AC574" s="160"/>
      <c r="AD574" s="190"/>
    </row>
    <row r="575" spans="14:30" x14ac:dyDescent="0.2">
      <c r="N575" s="170"/>
      <c r="P575" s="189"/>
      <c r="Q575" s="160"/>
      <c r="R575" s="160"/>
      <c r="S575" s="160"/>
      <c r="T575" s="160"/>
      <c r="U575" s="160"/>
      <c r="V575" s="160"/>
      <c r="X575" s="160"/>
      <c r="Y575" s="160"/>
      <c r="AA575" s="160"/>
      <c r="AB575" s="160"/>
      <c r="AC575" s="160"/>
      <c r="AD575" s="190"/>
    </row>
    <row r="576" spans="14:30" x14ac:dyDescent="0.2">
      <c r="N576" s="170"/>
      <c r="P576" s="189"/>
      <c r="Q576" s="160"/>
      <c r="R576" s="160"/>
      <c r="S576" s="160"/>
      <c r="T576" s="160"/>
      <c r="U576" s="160"/>
      <c r="V576" s="160"/>
      <c r="X576" s="160"/>
      <c r="Y576" s="160"/>
      <c r="AA576" s="160"/>
      <c r="AB576" s="160"/>
      <c r="AC576" s="160"/>
      <c r="AD576" s="190"/>
    </row>
    <row r="577" spans="14:30" x14ac:dyDescent="0.2">
      <c r="N577" s="170"/>
      <c r="P577" s="189"/>
      <c r="Q577" s="160"/>
      <c r="R577" s="160"/>
      <c r="S577" s="160"/>
      <c r="T577" s="160"/>
      <c r="U577" s="160"/>
      <c r="V577" s="160"/>
      <c r="X577" s="160"/>
      <c r="Y577" s="160"/>
      <c r="AA577" s="160"/>
      <c r="AB577" s="160"/>
      <c r="AC577" s="160"/>
      <c r="AD577" s="190"/>
    </row>
    <row r="578" spans="14:30" x14ac:dyDescent="0.2">
      <c r="N578" s="170"/>
      <c r="P578" s="189"/>
      <c r="Q578" s="160"/>
      <c r="R578" s="160"/>
      <c r="S578" s="160"/>
      <c r="T578" s="160"/>
      <c r="U578" s="160"/>
      <c r="V578" s="160"/>
      <c r="X578" s="160"/>
      <c r="Y578" s="160"/>
      <c r="AA578" s="160"/>
      <c r="AB578" s="160"/>
      <c r="AC578" s="160"/>
      <c r="AD578" s="190"/>
    </row>
    <row r="579" spans="14:30" x14ac:dyDescent="0.2">
      <c r="N579" s="170"/>
      <c r="P579" s="189"/>
      <c r="Q579" s="160"/>
      <c r="R579" s="160"/>
      <c r="S579" s="160"/>
      <c r="T579" s="160"/>
      <c r="U579" s="160"/>
      <c r="V579" s="160"/>
      <c r="X579" s="160"/>
      <c r="Y579" s="160"/>
      <c r="AA579" s="160"/>
      <c r="AB579" s="160"/>
      <c r="AC579" s="160"/>
      <c r="AD579" s="190"/>
    </row>
    <row r="580" spans="14:30" x14ac:dyDescent="0.2">
      <c r="N580" s="170"/>
      <c r="P580" s="189"/>
      <c r="Q580" s="160"/>
      <c r="R580" s="160"/>
      <c r="S580" s="160"/>
      <c r="T580" s="160"/>
      <c r="U580" s="160"/>
      <c r="V580" s="160"/>
      <c r="X580" s="160"/>
      <c r="Y580" s="160"/>
      <c r="AA580" s="160"/>
      <c r="AB580" s="160"/>
      <c r="AC580" s="160"/>
      <c r="AD580" s="190"/>
    </row>
    <row r="581" spans="14:30" x14ac:dyDescent="0.2">
      <c r="N581" s="170"/>
      <c r="P581" s="189"/>
      <c r="Q581" s="160"/>
      <c r="R581" s="160"/>
      <c r="S581" s="160"/>
      <c r="T581" s="160"/>
      <c r="U581" s="160"/>
      <c r="V581" s="160"/>
      <c r="X581" s="160"/>
      <c r="Y581" s="160"/>
      <c r="AA581" s="160"/>
      <c r="AB581" s="160"/>
      <c r="AC581" s="160"/>
      <c r="AD581" s="190"/>
    </row>
    <row r="582" spans="14:30" x14ac:dyDescent="0.2">
      <c r="N582" s="170"/>
      <c r="P582" s="189"/>
      <c r="Q582" s="160"/>
      <c r="R582" s="160"/>
      <c r="S582" s="160"/>
      <c r="T582" s="160"/>
      <c r="U582" s="160"/>
      <c r="V582" s="160"/>
      <c r="X582" s="160"/>
      <c r="Y582" s="160"/>
      <c r="AA582" s="160"/>
      <c r="AB582" s="160"/>
      <c r="AC582" s="160"/>
      <c r="AD582" s="190"/>
    </row>
    <row r="583" spans="14:30" x14ac:dyDescent="0.2">
      <c r="N583" s="170"/>
      <c r="P583" s="189"/>
      <c r="Q583" s="160"/>
      <c r="R583" s="160"/>
      <c r="S583" s="160"/>
      <c r="T583" s="160"/>
      <c r="U583" s="160"/>
      <c r="V583" s="160"/>
      <c r="X583" s="160"/>
      <c r="Y583" s="160"/>
      <c r="AA583" s="160"/>
      <c r="AB583" s="160"/>
      <c r="AC583" s="160"/>
      <c r="AD583" s="190"/>
    </row>
    <row r="584" spans="14:30" x14ac:dyDescent="0.2">
      <c r="N584" s="170"/>
      <c r="P584" s="189"/>
      <c r="Q584" s="160"/>
      <c r="R584" s="160"/>
      <c r="S584" s="160"/>
      <c r="T584" s="160"/>
      <c r="U584" s="160"/>
      <c r="V584" s="160"/>
      <c r="X584" s="160"/>
      <c r="Y584" s="160"/>
      <c r="AA584" s="160"/>
      <c r="AB584" s="160"/>
      <c r="AC584" s="160"/>
      <c r="AD584" s="190"/>
    </row>
    <row r="585" spans="14:30" x14ac:dyDescent="0.2">
      <c r="N585" s="170"/>
      <c r="P585" s="189"/>
      <c r="Q585" s="160"/>
      <c r="R585" s="160"/>
      <c r="S585" s="160"/>
      <c r="T585" s="160"/>
      <c r="U585" s="160"/>
      <c r="V585" s="160"/>
      <c r="X585" s="160"/>
      <c r="Y585" s="160"/>
      <c r="AA585" s="160"/>
      <c r="AB585" s="160"/>
      <c r="AC585" s="160"/>
      <c r="AD585" s="190"/>
    </row>
    <row r="586" spans="14:30" x14ac:dyDescent="0.2">
      <c r="N586" s="170"/>
      <c r="P586" s="189"/>
      <c r="Q586" s="160"/>
      <c r="R586" s="160"/>
      <c r="S586" s="160"/>
      <c r="T586" s="160"/>
      <c r="U586" s="160"/>
      <c r="V586" s="160"/>
      <c r="X586" s="160"/>
      <c r="Y586" s="160"/>
      <c r="AA586" s="160"/>
      <c r="AB586" s="160"/>
      <c r="AC586" s="160"/>
      <c r="AD586" s="190"/>
    </row>
    <row r="587" spans="14:30" x14ac:dyDescent="0.2">
      <c r="N587" s="170"/>
      <c r="P587" s="189"/>
      <c r="Q587" s="160"/>
      <c r="R587" s="160"/>
      <c r="S587" s="160"/>
      <c r="T587" s="160"/>
      <c r="U587" s="160"/>
      <c r="V587" s="160"/>
      <c r="X587" s="160"/>
      <c r="Y587" s="160"/>
      <c r="AA587" s="160"/>
      <c r="AB587" s="160"/>
      <c r="AC587" s="160"/>
      <c r="AD587" s="190"/>
    </row>
    <row r="588" spans="14:30" x14ac:dyDescent="0.2">
      <c r="N588" s="170"/>
      <c r="P588" s="189"/>
      <c r="Q588" s="160"/>
      <c r="R588" s="160"/>
      <c r="S588" s="160"/>
      <c r="T588" s="160"/>
      <c r="U588" s="160"/>
      <c r="V588" s="160"/>
      <c r="X588" s="160"/>
      <c r="Y588" s="160"/>
      <c r="AA588" s="160"/>
      <c r="AB588" s="160"/>
      <c r="AC588" s="160"/>
      <c r="AD588" s="190"/>
    </row>
    <row r="589" spans="14:30" x14ac:dyDescent="0.2">
      <c r="N589" s="170"/>
      <c r="P589" s="189"/>
      <c r="Q589" s="160"/>
      <c r="R589" s="160"/>
      <c r="S589" s="160"/>
      <c r="T589" s="160"/>
      <c r="U589" s="160"/>
      <c r="V589" s="160"/>
      <c r="X589" s="160"/>
      <c r="Y589" s="160"/>
      <c r="AA589" s="160"/>
      <c r="AB589" s="160"/>
      <c r="AC589" s="160"/>
      <c r="AD589" s="190"/>
    </row>
    <row r="590" spans="14:30" x14ac:dyDescent="0.2">
      <c r="N590" s="170"/>
      <c r="P590" s="189"/>
      <c r="Q590" s="160"/>
      <c r="R590" s="160"/>
      <c r="S590" s="160"/>
      <c r="T590" s="160"/>
      <c r="U590" s="160"/>
      <c r="V590" s="160"/>
      <c r="X590" s="160"/>
      <c r="Y590" s="160"/>
      <c r="AA590" s="160"/>
      <c r="AB590" s="160"/>
      <c r="AC590" s="160"/>
      <c r="AD590" s="190"/>
    </row>
    <row r="591" spans="14:30" x14ac:dyDescent="0.2">
      <c r="N591" s="170"/>
      <c r="P591" s="189"/>
      <c r="Q591" s="160"/>
      <c r="R591" s="160"/>
      <c r="S591" s="160"/>
      <c r="T591" s="160"/>
      <c r="U591" s="160"/>
      <c r="V591" s="160"/>
      <c r="X591" s="160"/>
      <c r="Y591" s="160"/>
      <c r="AA591" s="160"/>
      <c r="AB591" s="160"/>
      <c r="AC591" s="160"/>
      <c r="AD591" s="190"/>
    </row>
    <row r="592" spans="14:30" x14ac:dyDescent="0.2">
      <c r="N592" s="170"/>
      <c r="P592" s="189"/>
      <c r="Q592" s="160"/>
      <c r="R592" s="160"/>
      <c r="S592" s="160"/>
      <c r="T592" s="160"/>
      <c r="U592" s="160"/>
      <c r="V592" s="160"/>
      <c r="X592" s="160"/>
      <c r="Y592" s="160"/>
      <c r="AA592" s="160"/>
      <c r="AB592" s="160"/>
      <c r="AC592" s="160"/>
      <c r="AD592" s="190"/>
    </row>
    <row r="593" spans="14:30" x14ac:dyDescent="0.2">
      <c r="N593" s="170"/>
      <c r="P593" s="189"/>
      <c r="Q593" s="160"/>
      <c r="R593" s="160"/>
      <c r="S593" s="160"/>
      <c r="T593" s="160"/>
      <c r="U593" s="160"/>
      <c r="V593" s="160"/>
      <c r="X593" s="160"/>
      <c r="Y593" s="160"/>
      <c r="AA593" s="160"/>
      <c r="AB593" s="160"/>
      <c r="AC593" s="160"/>
      <c r="AD593" s="190"/>
    </row>
    <row r="594" spans="14:30" x14ac:dyDescent="0.2">
      <c r="N594" s="170"/>
      <c r="P594" s="189"/>
      <c r="Q594" s="160"/>
      <c r="R594" s="160"/>
      <c r="S594" s="160"/>
      <c r="T594" s="160"/>
      <c r="U594" s="160"/>
      <c r="V594" s="160"/>
      <c r="X594" s="160"/>
      <c r="Y594" s="160"/>
      <c r="AA594" s="160"/>
      <c r="AB594" s="160"/>
      <c r="AC594" s="160"/>
      <c r="AD594" s="190"/>
    </row>
    <row r="595" spans="14:30" x14ac:dyDescent="0.2">
      <c r="N595" s="170"/>
      <c r="P595" s="189"/>
      <c r="Q595" s="160"/>
      <c r="R595" s="160"/>
      <c r="S595" s="160"/>
      <c r="T595" s="160"/>
      <c r="U595" s="160"/>
      <c r="V595" s="160"/>
      <c r="X595" s="160"/>
      <c r="Y595" s="160"/>
      <c r="AA595" s="160"/>
      <c r="AB595" s="160"/>
      <c r="AC595" s="160"/>
      <c r="AD595" s="190"/>
    </row>
    <row r="596" spans="14:30" x14ac:dyDescent="0.2">
      <c r="N596" s="170"/>
      <c r="P596" s="189"/>
      <c r="Q596" s="160"/>
      <c r="R596" s="160"/>
      <c r="S596" s="160"/>
      <c r="T596" s="160"/>
      <c r="U596" s="160"/>
      <c r="V596" s="160"/>
      <c r="X596" s="160"/>
      <c r="Y596" s="160"/>
      <c r="AA596" s="160"/>
      <c r="AB596" s="160"/>
      <c r="AC596" s="160"/>
      <c r="AD596" s="190"/>
    </row>
    <row r="597" spans="14:30" x14ac:dyDescent="0.2">
      <c r="N597" s="170"/>
      <c r="P597" s="189"/>
      <c r="Q597" s="160"/>
      <c r="R597" s="160"/>
      <c r="S597" s="160"/>
      <c r="T597" s="160"/>
      <c r="U597" s="160"/>
      <c r="V597" s="160"/>
      <c r="X597" s="160"/>
      <c r="Y597" s="160"/>
      <c r="AA597" s="160"/>
      <c r="AB597" s="160"/>
      <c r="AC597" s="160"/>
      <c r="AD597" s="190"/>
    </row>
    <row r="598" spans="14:30" x14ac:dyDescent="0.2">
      <c r="N598" s="170"/>
      <c r="P598" s="189"/>
      <c r="Q598" s="160"/>
      <c r="R598" s="160"/>
      <c r="S598" s="160"/>
      <c r="T598" s="160"/>
      <c r="U598" s="160"/>
      <c r="V598" s="160"/>
      <c r="X598" s="160"/>
      <c r="Y598" s="160"/>
      <c r="AA598" s="160"/>
      <c r="AB598" s="160"/>
      <c r="AC598" s="160"/>
      <c r="AD598" s="190"/>
    </row>
    <row r="599" spans="14:30" x14ac:dyDescent="0.2">
      <c r="N599" s="170"/>
      <c r="P599" s="189"/>
      <c r="Q599" s="160"/>
      <c r="R599" s="160"/>
      <c r="S599" s="160"/>
      <c r="T599" s="160"/>
      <c r="U599" s="160"/>
      <c r="V599" s="160"/>
      <c r="X599" s="160"/>
      <c r="Y599" s="160"/>
      <c r="AA599" s="160"/>
      <c r="AB599" s="160"/>
      <c r="AC599" s="160"/>
      <c r="AD599" s="190"/>
    </row>
    <row r="600" spans="14:30" x14ac:dyDescent="0.2">
      <c r="N600" s="170"/>
      <c r="P600" s="189"/>
      <c r="Q600" s="160"/>
      <c r="R600" s="160"/>
      <c r="S600" s="160"/>
      <c r="T600" s="160"/>
      <c r="U600" s="160"/>
      <c r="V600" s="160"/>
      <c r="X600" s="160"/>
      <c r="Y600" s="160"/>
      <c r="AA600" s="160"/>
      <c r="AB600" s="160"/>
      <c r="AC600" s="160"/>
      <c r="AD600" s="190"/>
    </row>
    <row r="601" spans="14:30" x14ac:dyDescent="0.2">
      <c r="N601" s="170"/>
      <c r="P601" s="189"/>
      <c r="Q601" s="160"/>
      <c r="R601" s="160"/>
      <c r="S601" s="160"/>
      <c r="T601" s="160"/>
      <c r="U601" s="160"/>
      <c r="V601" s="160"/>
      <c r="X601" s="160"/>
      <c r="Y601" s="160"/>
      <c r="AA601" s="160"/>
      <c r="AB601" s="160"/>
      <c r="AC601" s="160"/>
      <c r="AD601" s="190"/>
    </row>
    <row r="602" spans="14:30" x14ac:dyDescent="0.2">
      <c r="N602" s="170"/>
      <c r="P602" s="189"/>
      <c r="Q602" s="160"/>
      <c r="R602" s="160"/>
      <c r="S602" s="160"/>
      <c r="T602" s="160"/>
      <c r="U602" s="160"/>
      <c r="V602" s="160"/>
      <c r="X602" s="160"/>
      <c r="Y602" s="160"/>
      <c r="AA602" s="160"/>
      <c r="AB602" s="160"/>
      <c r="AC602" s="160"/>
      <c r="AD602" s="190"/>
    </row>
    <row r="603" spans="14:30" x14ac:dyDescent="0.2">
      <c r="N603" s="170"/>
      <c r="P603" s="189"/>
      <c r="Q603" s="160"/>
      <c r="R603" s="160"/>
      <c r="S603" s="160"/>
      <c r="T603" s="160"/>
      <c r="U603" s="160"/>
      <c r="V603" s="160"/>
      <c r="X603" s="160"/>
      <c r="Y603" s="160"/>
      <c r="AA603" s="160"/>
      <c r="AB603" s="160"/>
      <c r="AC603" s="160"/>
      <c r="AD603" s="190"/>
    </row>
    <row r="604" spans="14:30" x14ac:dyDescent="0.2">
      <c r="N604" s="170"/>
      <c r="P604" s="189"/>
      <c r="Q604" s="160"/>
      <c r="R604" s="160"/>
      <c r="S604" s="160"/>
      <c r="T604" s="160"/>
      <c r="U604" s="160"/>
      <c r="V604" s="160"/>
      <c r="X604" s="160"/>
      <c r="Y604" s="160"/>
      <c r="AA604" s="160"/>
      <c r="AB604" s="160"/>
      <c r="AC604" s="160"/>
      <c r="AD604" s="190"/>
    </row>
    <row r="605" spans="14:30" x14ac:dyDescent="0.2">
      <c r="N605" s="170"/>
      <c r="P605" s="189"/>
      <c r="Q605" s="160"/>
      <c r="R605" s="160"/>
      <c r="S605" s="160"/>
      <c r="T605" s="160"/>
      <c r="U605" s="160"/>
      <c r="V605" s="160"/>
      <c r="X605" s="160"/>
      <c r="Y605" s="160"/>
      <c r="AA605" s="160"/>
      <c r="AB605" s="160"/>
      <c r="AC605" s="160"/>
      <c r="AD605" s="190"/>
    </row>
    <row r="606" spans="14:30" x14ac:dyDescent="0.2">
      <c r="N606" s="170"/>
      <c r="P606" s="189"/>
      <c r="Q606" s="160"/>
      <c r="R606" s="160"/>
      <c r="S606" s="160"/>
      <c r="T606" s="160"/>
      <c r="U606" s="160"/>
      <c r="V606" s="160"/>
      <c r="X606" s="160"/>
      <c r="Y606" s="160"/>
      <c r="AA606" s="160"/>
      <c r="AB606" s="160"/>
      <c r="AC606" s="160"/>
      <c r="AD606" s="190"/>
    </row>
    <row r="607" spans="14:30" x14ac:dyDescent="0.2">
      <c r="N607" s="170"/>
      <c r="P607" s="189"/>
      <c r="Q607" s="160"/>
      <c r="R607" s="160"/>
      <c r="S607" s="160"/>
      <c r="T607" s="160"/>
      <c r="U607" s="160"/>
      <c r="V607" s="160"/>
      <c r="X607" s="160"/>
      <c r="Y607" s="160"/>
      <c r="AA607" s="160"/>
      <c r="AB607" s="160"/>
      <c r="AC607" s="160"/>
      <c r="AD607" s="190"/>
    </row>
    <row r="608" spans="14:30" x14ac:dyDescent="0.2">
      <c r="N608" s="170"/>
      <c r="P608" s="189"/>
      <c r="Q608" s="160"/>
      <c r="R608" s="160"/>
      <c r="S608" s="160"/>
      <c r="T608" s="160"/>
      <c r="U608" s="160"/>
      <c r="V608" s="160"/>
      <c r="X608" s="160"/>
      <c r="Y608" s="160"/>
      <c r="AA608" s="160"/>
      <c r="AB608" s="160"/>
      <c r="AC608" s="160"/>
      <c r="AD608" s="190"/>
    </row>
    <row r="609" spans="14:30" x14ac:dyDescent="0.2">
      <c r="N609" s="170"/>
      <c r="P609" s="189"/>
      <c r="Q609" s="160"/>
      <c r="R609" s="160"/>
      <c r="S609" s="160"/>
      <c r="T609" s="160"/>
      <c r="U609" s="160"/>
      <c r="V609" s="160"/>
      <c r="X609" s="160"/>
      <c r="Y609" s="160"/>
      <c r="AA609" s="160"/>
      <c r="AB609" s="160"/>
      <c r="AC609" s="160"/>
      <c r="AD609" s="190"/>
    </row>
    <row r="610" spans="14:30" x14ac:dyDescent="0.2">
      <c r="N610" s="170"/>
      <c r="P610" s="189"/>
      <c r="Q610" s="160"/>
      <c r="R610" s="160"/>
      <c r="S610" s="160"/>
      <c r="T610" s="160"/>
      <c r="U610" s="160"/>
      <c r="V610" s="160"/>
      <c r="X610" s="160"/>
      <c r="Y610" s="160"/>
      <c r="AA610" s="160"/>
      <c r="AB610" s="160"/>
      <c r="AC610" s="160"/>
      <c r="AD610" s="190"/>
    </row>
    <row r="611" spans="14:30" x14ac:dyDescent="0.2">
      <c r="N611" s="170"/>
      <c r="P611" s="189"/>
      <c r="Q611" s="160"/>
      <c r="R611" s="160"/>
      <c r="S611" s="160"/>
      <c r="T611" s="160"/>
      <c r="U611" s="160"/>
      <c r="V611" s="160"/>
      <c r="X611" s="160"/>
      <c r="Y611" s="160"/>
      <c r="AA611" s="160"/>
      <c r="AB611" s="160"/>
      <c r="AC611" s="160"/>
      <c r="AD611" s="190"/>
    </row>
    <row r="612" spans="14:30" x14ac:dyDescent="0.2">
      <c r="N612" s="170"/>
      <c r="P612" s="189"/>
      <c r="Q612" s="160"/>
      <c r="R612" s="160"/>
      <c r="S612" s="160"/>
      <c r="T612" s="160"/>
      <c r="U612" s="160"/>
      <c r="V612" s="160"/>
      <c r="X612" s="160"/>
      <c r="Y612" s="160"/>
      <c r="AA612" s="160"/>
      <c r="AB612" s="160"/>
      <c r="AC612" s="160"/>
      <c r="AD612" s="190"/>
    </row>
    <row r="613" spans="14:30" x14ac:dyDescent="0.2">
      <c r="N613" s="170"/>
      <c r="P613" s="189"/>
      <c r="Q613" s="160"/>
      <c r="R613" s="160"/>
      <c r="S613" s="160"/>
      <c r="T613" s="160"/>
      <c r="U613" s="160"/>
      <c r="V613" s="160"/>
      <c r="X613" s="160"/>
      <c r="Y613" s="160"/>
      <c r="AA613" s="160"/>
      <c r="AB613" s="160"/>
      <c r="AC613" s="160"/>
      <c r="AD613" s="190"/>
    </row>
    <row r="614" spans="14:30" x14ac:dyDescent="0.2">
      <c r="N614" s="170"/>
      <c r="P614" s="189"/>
      <c r="Q614" s="160"/>
      <c r="R614" s="160"/>
      <c r="S614" s="160"/>
      <c r="T614" s="160"/>
      <c r="U614" s="160"/>
      <c r="V614" s="160"/>
      <c r="X614" s="160"/>
      <c r="Y614" s="160"/>
      <c r="AA614" s="160"/>
      <c r="AB614" s="160"/>
      <c r="AC614" s="160"/>
      <c r="AD614" s="190"/>
    </row>
    <row r="615" spans="14:30" x14ac:dyDescent="0.2">
      <c r="N615" s="170"/>
      <c r="P615" s="189"/>
      <c r="Q615" s="160"/>
      <c r="R615" s="160"/>
      <c r="S615" s="160"/>
      <c r="T615" s="160"/>
      <c r="U615" s="160"/>
      <c r="V615" s="160"/>
      <c r="X615" s="160"/>
      <c r="Y615" s="160"/>
      <c r="AA615" s="160"/>
      <c r="AB615" s="160"/>
      <c r="AC615" s="160"/>
      <c r="AD615" s="190"/>
    </row>
    <row r="616" spans="14:30" x14ac:dyDescent="0.2">
      <c r="N616" s="170"/>
      <c r="P616" s="189"/>
      <c r="Q616" s="160"/>
      <c r="R616" s="160"/>
      <c r="S616" s="160"/>
      <c r="T616" s="160"/>
      <c r="U616" s="160"/>
      <c r="V616" s="160"/>
      <c r="X616" s="160"/>
      <c r="Y616" s="160"/>
      <c r="AA616" s="160"/>
      <c r="AB616" s="160"/>
      <c r="AC616" s="160"/>
      <c r="AD616" s="190"/>
    </row>
    <row r="617" spans="14:30" x14ac:dyDescent="0.2">
      <c r="N617" s="170"/>
      <c r="P617" s="189"/>
      <c r="Q617" s="160"/>
      <c r="R617" s="160"/>
      <c r="S617" s="160"/>
      <c r="T617" s="160"/>
      <c r="U617" s="160"/>
      <c r="V617" s="160"/>
      <c r="X617" s="160"/>
      <c r="Y617" s="160"/>
      <c r="AA617" s="160"/>
      <c r="AB617" s="160"/>
      <c r="AC617" s="160"/>
      <c r="AD617" s="190"/>
    </row>
    <row r="618" spans="14:30" x14ac:dyDescent="0.2">
      <c r="N618" s="170"/>
      <c r="P618" s="189"/>
      <c r="Q618" s="160"/>
      <c r="R618" s="160"/>
      <c r="S618" s="160"/>
      <c r="T618" s="160"/>
      <c r="U618" s="160"/>
      <c r="V618" s="160"/>
      <c r="X618" s="160"/>
      <c r="Y618" s="160"/>
      <c r="AA618" s="160"/>
      <c r="AB618" s="160"/>
      <c r="AC618" s="160"/>
      <c r="AD618" s="190"/>
    </row>
    <row r="619" spans="14:30" x14ac:dyDescent="0.2">
      <c r="N619" s="170"/>
      <c r="P619" s="189"/>
      <c r="Q619" s="160"/>
      <c r="R619" s="160"/>
      <c r="S619" s="160"/>
      <c r="T619" s="160"/>
      <c r="U619" s="160"/>
      <c r="V619" s="160"/>
      <c r="X619" s="160"/>
      <c r="Y619" s="160"/>
      <c r="AA619" s="160"/>
      <c r="AB619" s="160"/>
      <c r="AC619" s="160"/>
      <c r="AD619" s="190"/>
    </row>
    <row r="620" spans="14:30" x14ac:dyDescent="0.2">
      <c r="N620" s="170"/>
      <c r="P620" s="189"/>
      <c r="Q620" s="160"/>
      <c r="R620" s="160"/>
      <c r="S620" s="160"/>
      <c r="T620" s="160"/>
      <c r="U620" s="160"/>
      <c r="V620" s="160"/>
      <c r="X620" s="160"/>
      <c r="Y620" s="160"/>
      <c r="AA620" s="160"/>
      <c r="AB620" s="160"/>
      <c r="AC620" s="160"/>
      <c r="AD620" s="190"/>
    </row>
    <row r="621" spans="14:30" x14ac:dyDescent="0.2">
      <c r="N621" s="170"/>
      <c r="P621" s="189"/>
      <c r="Q621" s="160"/>
      <c r="R621" s="160"/>
      <c r="S621" s="160"/>
      <c r="T621" s="160"/>
      <c r="U621" s="160"/>
      <c r="V621" s="160"/>
      <c r="X621" s="160"/>
      <c r="Y621" s="160"/>
      <c r="AA621" s="160"/>
      <c r="AB621" s="160"/>
      <c r="AC621" s="160"/>
      <c r="AD621" s="190"/>
    </row>
    <row r="622" spans="14:30" x14ac:dyDescent="0.2">
      <c r="N622" s="170"/>
      <c r="P622" s="189"/>
      <c r="Q622" s="160"/>
      <c r="R622" s="160"/>
      <c r="S622" s="160"/>
      <c r="T622" s="160"/>
      <c r="U622" s="160"/>
      <c r="V622" s="160"/>
      <c r="X622" s="160"/>
      <c r="Y622" s="160"/>
      <c r="AA622" s="160"/>
      <c r="AB622" s="160"/>
      <c r="AC622" s="160"/>
      <c r="AD622" s="190"/>
    </row>
    <row r="623" spans="14:30" x14ac:dyDescent="0.2">
      <c r="N623" s="170"/>
      <c r="P623" s="189"/>
      <c r="Q623" s="160"/>
      <c r="R623" s="160"/>
      <c r="S623" s="160"/>
      <c r="T623" s="160"/>
      <c r="U623" s="160"/>
      <c r="V623" s="160"/>
      <c r="X623" s="160"/>
      <c r="Y623" s="160"/>
      <c r="AA623" s="160"/>
      <c r="AB623" s="160"/>
      <c r="AC623" s="160"/>
      <c r="AD623" s="190"/>
    </row>
    <row r="624" spans="14:30" x14ac:dyDescent="0.2">
      <c r="N624" s="170"/>
      <c r="P624" s="189"/>
      <c r="Q624" s="160"/>
      <c r="R624" s="160"/>
      <c r="S624" s="160"/>
      <c r="T624" s="160"/>
      <c r="U624" s="160"/>
      <c r="V624" s="160"/>
      <c r="X624" s="160"/>
      <c r="Y624" s="160"/>
      <c r="AA624" s="160"/>
      <c r="AB624" s="160"/>
      <c r="AC624" s="160"/>
      <c r="AD624" s="190"/>
    </row>
    <row r="625" spans="14:30" x14ac:dyDescent="0.2">
      <c r="N625" s="170"/>
      <c r="P625" s="189"/>
      <c r="Q625" s="160"/>
      <c r="R625" s="160"/>
      <c r="S625" s="160"/>
      <c r="T625" s="160"/>
      <c r="U625" s="160"/>
      <c r="V625" s="160"/>
      <c r="X625" s="160"/>
      <c r="Y625" s="160"/>
      <c r="AA625" s="160"/>
      <c r="AB625" s="160"/>
      <c r="AC625" s="160"/>
      <c r="AD625" s="190"/>
    </row>
    <row r="626" spans="14:30" x14ac:dyDescent="0.2">
      <c r="N626" s="170"/>
      <c r="P626" s="189"/>
      <c r="Q626" s="160"/>
      <c r="R626" s="160"/>
      <c r="S626" s="160"/>
      <c r="T626" s="160"/>
      <c r="U626" s="160"/>
      <c r="V626" s="160"/>
      <c r="X626" s="160"/>
      <c r="Y626" s="160"/>
      <c r="AA626" s="160"/>
      <c r="AB626" s="160"/>
      <c r="AC626" s="160"/>
      <c r="AD626" s="190"/>
    </row>
    <row r="627" spans="14:30" x14ac:dyDescent="0.2">
      <c r="N627" s="170"/>
      <c r="P627" s="189"/>
      <c r="Q627" s="160"/>
      <c r="R627" s="160"/>
      <c r="S627" s="160"/>
      <c r="T627" s="160"/>
      <c r="U627" s="160"/>
      <c r="V627" s="160"/>
      <c r="X627" s="160"/>
      <c r="Y627" s="160"/>
      <c r="AA627" s="160"/>
      <c r="AB627" s="160"/>
      <c r="AC627" s="160"/>
      <c r="AD627" s="190"/>
    </row>
    <row r="628" spans="14:30" x14ac:dyDescent="0.2">
      <c r="N628" s="170"/>
      <c r="P628" s="189"/>
      <c r="Q628" s="160"/>
      <c r="R628" s="160"/>
      <c r="S628" s="160"/>
      <c r="T628" s="160"/>
      <c r="U628" s="160"/>
      <c r="V628" s="160"/>
      <c r="X628" s="160"/>
      <c r="Y628" s="160"/>
      <c r="AA628" s="160"/>
      <c r="AB628" s="160"/>
      <c r="AC628" s="160"/>
      <c r="AD628" s="190"/>
    </row>
    <row r="629" spans="14:30" x14ac:dyDescent="0.2">
      <c r="N629" s="170"/>
      <c r="P629" s="189"/>
      <c r="Q629" s="160"/>
      <c r="R629" s="160"/>
      <c r="S629" s="160"/>
      <c r="T629" s="160"/>
      <c r="U629" s="160"/>
      <c r="V629" s="160"/>
      <c r="X629" s="160"/>
      <c r="Y629" s="160"/>
      <c r="AA629" s="160"/>
      <c r="AB629" s="160"/>
      <c r="AC629" s="160"/>
      <c r="AD629" s="190"/>
    </row>
    <row r="630" spans="14:30" x14ac:dyDescent="0.2">
      <c r="N630" s="170"/>
      <c r="P630" s="189"/>
      <c r="Q630" s="160"/>
      <c r="R630" s="160"/>
      <c r="S630" s="160"/>
      <c r="T630" s="160"/>
      <c r="U630" s="160"/>
      <c r="V630" s="160"/>
      <c r="X630" s="160"/>
      <c r="Y630" s="160"/>
      <c r="AA630" s="160"/>
      <c r="AB630" s="160"/>
      <c r="AC630" s="160"/>
      <c r="AD630" s="190"/>
    </row>
    <row r="631" spans="14:30" x14ac:dyDescent="0.2">
      <c r="N631" s="170"/>
      <c r="P631" s="189"/>
      <c r="Q631" s="160"/>
      <c r="R631" s="160"/>
      <c r="S631" s="160"/>
      <c r="T631" s="160"/>
      <c r="U631" s="160"/>
      <c r="V631" s="160"/>
      <c r="X631" s="160"/>
      <c r="Y631" s="160"/>
      <c r="AA631" s="160"/>
      <c r="AB631" s="160"/>
      <c r="AC631" s="160"/>
      <c r="AD631" s="190"/>
    </row>
    <row r="632" spans="14:30" x14ac:dyDescent="0.2">
      <c r="N632" s="170"/>
      <c r="P632" s="189"/>
      <c r="Q632" s="160"/>
      <c r="R632" s="160"/>
      <c r="S632" s="160"/>
      <c r="T632" s="160"/>
      <c r="U632" s="160"/>
      <c r="V632" s="160"/>
      <c r="X632" s="160"/>
      <c r="Y632" s="160"/>
      <c r="AA632" s="160"/>
      <c r="AB632" s="160"/>
      <c r="AC632" s="160"/>
      <c r="AD632" s="190"/>
    </row>
    <row r="633" spans="14:30" x14ac:dyDescent="0.2">
      <c r="N633" s="170"/>
      <c r="P633" s="189"/>
      <c r="Q633" s="160"/>
      <c r="R633" s="160"/>
      <c r="S633" s="160"/>
      <c r="T633" s="160"/>
      <c r="U633" s="160"/>
      <c r="V633" s="160"/>
      <c r="X633" s="160"/>
      <c r="Y633" s="160"/>
      <c r="AA633" s="160"/>
      <c r="AB633" s="160"/>
      <c r="AC633" s="160"/>
      <c r="AD633" s="190"/>
    </row>
    <row r="634" spans="14:30" x14ac:dyDescent="0.2">
      <c r="N634" s="170"/>
      <c r="P634" s="189"/>
      <c r="Q634" s="160"/>
      <c r="R634" s="160"/>
      <c r="S634" s="160"/>
      <c r="T634" s="160"/>
      <c r="U634" s="160"/>
      <c r="V634" s="160"/>
      <c r="X634" s="160"/>
      <c r="Y634" s="160"/>
      <c r="AA634" s="160"/>
      <c r="AB634" s="160"/>
      <c r="AC634" s="160"/>
      <c r="AD634" s="190"/>
    </row>
    <row r="635" spans="14:30" x14ac:dyDescent="0.2">
      <c r="N635" s="170"/>
      <c r="P635" s="189"/>
      <c r="Q635" s="160"/>
      <c r="R635" s="160"/>
      <c r="S635" s="160"/>
      <c r="T635" s="160"/>
      <c r="U635" s="160"/>
      <c r="V635" s="160"/>
      <c r="X635" s="160"/>
      <c r="Y635" s="160"/>
      <c r="AA635" s="160"/>
      <c r="AB635" s="160"/>
      <c r="AC635" s="160"/>
      <c r="AD635" s="190"/>
    </row>
    <row r="636" spans="14:30" x14ac:dyDescent="0.2">
      <c r="N636" s="170"/>
      <c r="P636" s="189"/>
      <c r="Q636" s="160"/>
      <c r="R636" s="160"/>
      <c r="S636" s="160"/>
      <c r="T636" s="160"/>
      <c r="U636" s="160"/>
      <c r="V636" s="160"/>
      <c r="X636" s="160"/>
      <c r="Y636" s="160"/>
      <c r="AA636" s="160"/>
      <c r="AB636" s="160"/>
      <c r="AC636" s="160"/>
      <c r="AD636" s="190"/>
    </row>
    <row r="637" spans="14:30" x14ac:dyDescent="0.2">
      <c r="N637" s="170"/>
      <c r="P637" s="189"/>
      <c r="Q637" s="160"/>
      <c r="R637" s="160"/>
      <c r="S637" s="160"/>
      <c r="T637" s="160"/>
      <c r="U637" s="160"/>
      <c r="V637" s="160"/>
      <c r="X637" s="160"/>
      <c r="Y637" s="160"/>
      <c r="AA637" s="160"/>
      <c r="AB637" s="160"/>
      <c r="AC637" s="160"/>
      <c r="AD637" s="190"/>
    </row>
    <row r="638" spans="14:30" x14ac:dyDescent="0.2">
      <c r="N638" s="170"/>
      <c r="P638" s="189"/>
      <c r="Q638" s="160"/>
      <c r="R638" s="160"/>
      <c r="S638" s="160"/>
      <c r="T638" s="160"/>
      <c r="U638" s="160"/>
      <c r="V638" s="160"/>
      <c r="X638" s="160"/>
      <c r="Y638" s="160"/>
      <c r="AA638" s="160"/>
      <c r="AB638" s="160"/>
      <c r="AC638" s="160"/>
      <c r="AD638" s="190"/>
    </row>
    <row r="639" spans="14:30" x14ac:dyDescent="0.2">
      <c r="N639" s="170"/>
      <c r="P639" s="189"/>
      <c r="Q639" s="160"/>
      <c r="R639" s="160"/>
      <c r="S639" s="160"/>
      <c r="T639" s="160"/>
      <c r="U639" s="160"/>
      <c r="V639" s="160"/>
      <c r="X639" s="160"/>
      <c r="Y639" s="160"/>
      <c r="AA639" s="160"/>
      <c r="AB639" s="160"/>
      <c r="AC639" s="160"/>
      <c r="AD639" s="190"/>
    </row>
    <row r="640" spans="14:30" x14ac:dyDescent="0.2">
      <c r="N640" s="170"/>
      <c r="P640" s="189"/>
      <c r="Q640" s="160"/>
      <c r="R640" s="160"/>
      <c r="S640" s="160"/>
      <c r="T640" s="160"/>
      <c r="U640" s="160"/>
      <c r="V640" s="160"/>
      <c r="X640" s="160"/>
      <c r="Y640" s="160"/>
      <c r="AA640" s="160"/>
      <c r="AB640" s="160"/>
      <c r="AC640" s="160"/>
      <c r="AD640" s="190"/>
    </row>
    <row r="641" spans="14:30" x14ac:dyDescent="0.2">
      <c r="N641" s="170"/>
      <c r="P641" s="189"/>
      <c r="Q641" s="160"/>
      <c r="R641" s="160"/>
      <c r="S641" s="160"/>
      <c r="T641" s="160"/>
      <c r="U641" s="160"/>
      <c r="V641" s="160"/>
      <c r="X641" s="160"/>
      <c r="Y641" s="160"/>
      <c r="AA641" s="160"/>
      <c r="AB641" s="160"/>
      <c r="AC641" s="160"/>
      <c r="AD641" s="190"/>
    </row>
    <row r="642" spans="14:30" x14ac:dyDescent="0.2">
      <c r="N642" s="170"/>
      <c r="P642" s="189"/>
      <c r="Q642" s="160"/>
      <c r="R642" s="160"/>
      <c r="S642" s="160"/>
      <c r="T642" s="160"/>
      <c r="U642" s="160"/>
      <c r="V642" s="160"/>
      <c r="X642" s="160"/>
      <c r="Y642" s="160"/>
      <c r="AA642" s="160"/>
      <c r="AB642" s="160"/>
      <c r="AC642" s="160"/>
      <c r="AD642" s="190"/>
    </row>
    <row r="643" spans="14:30" x14ac:dyDescent="0.2">
      <c r="N643" s="170"/>
      <c r="P643" s="189"/>
      <c r="Q643" s="160"/>
      <c r="R643" s="160"/>
      <c r="S643" s="160"/>
      <c r="T643" s="160"/>
      <c r="U643" s="160"/>
      <c r="V643" s="160"/>
      <c r="X643" s="160"/>
      <c r="Y643" s="160"/>
      <c r="AA643" s="160"/>
      <c r="AB643" s="160"/>
      <c r="AC643" s="160"/>
      <c r="AD643" s="190"/>
    </row>
    <row r="644" spans="14:30" x14ac:dyDescent="0.2">
      <c r="N644" s="170"/>
      <c r="P644" s="189"/>
      <c r="Q644" s="160"/>
      <c r="R644" s="160"/>
      <c r="S644" s="160"/>
      <c r="T644" s="160"/>
      <c r="U644" s="160"/>
      <c r="V644" s="160"/>
      <c r="X644" s="160"/>
      <c r="Y644" s="160"/>
      <c r="AA644" s="160"/>
      <c r="AB644" s="160"/>
      <c r="AC644" s="160"/>
      <c r="AD644" s="190"/>
    </row>
    <row r="645" spans="14:30" x14ac:dyDescent="0.2">
      <c r="N645" s="170"/>
      <c r="P645" s="189"/>
      <c r="Q645" s="160"/>
      <c r="R645" s="160"/>
      <c r="S645" s="160"/>
      <c r="T645" s="160"/>
      <c r="U645" s="160"/>
      <c r="V645" s="160"/>
      <c r="X645" s="160"/>
      <c r="Y645" s="160"/>
      <c r="AA645" s="160"/>
      <c r="AB645" s="160"/>
      <c r="AC645" s="160"/>
      <c r="AD645" s="190"/>
    </row>
    <row r="646" spans="14:30" x14ac:dyDescent="0.2">
      <c r="N646" s="170"/>
      <c r="P646" s="189"/>
      <c r="Q646" s="160"/>
      <c r="R646" s="160"/>
      <c r="S646" s="160"/>
      <c r="T646" s="160"/>
      <c r="U646" s="160"/>
      <c r="V646" s="160"/>
      <c r="X646" s="160"/>
      <c r="Y646" s="160"/>
      <c r="AA646" s="160"/>
      <c r="AB646" s="160"/>
      <c r="AC646" s="160"/>
      <c r="AD646" s="190"/>
    </row>
    <row r="647" spans="14:30" x14ac:dyDescent="0.2">
      <c r="N647" s="170"/>
      <c r="P647" s="189"/>
      <c r="Q647" s="160"/>
      <c r="R647" s="160"/>
      <c r="S647" s="160"/>
      <c r="T647" s="160"/>
      <c r="U647" s="160"/>
      <c r="V647" s="160"/>
      <c r="X647" s="160"/>
      <c r="Y647" s="160"/>
      <c r="AA647" s="160"/>
      <c r="AB647" s="160"/>
      <c r="AC647" s="160"/>
      <c r="AD647" s="190"/>
    </row>
    <row r="648" spans="14:30" x14ac:dyDescent="0.2">
      <c r="N648" s="170"/>
      <c r="P648" s="189"/>
      <c r="Q648" s="160"/>
      <c r="R648" s="160"/>
      <c r="S648" s="160"/>
      <c r="T648" s="160"/>
      <c r="U648" s="160"/>
      <c r="V648" s="160"/>
      <c r="X648" s="160"/>
      <c r="Y648" s="160"/>
      <c r="AA648" s="160"/>
      <c r="AB648" s="160"/>
      <c r="AC648" s="160"/>
      <c r="AD648" s="190"/>
    </row>
    <row r="649" spans="14:30" x14ac:dyDescent="0.2">
      <c r="N649" s="170"/>
      <c r="P649" s="189"/>
      <c r="Q649" s="160"/>
      <c r="R649" s="160"/>
      <c r="S649" s="160"/>
      <c r="T649" s="160"/>
      <c r="U649" s="160"/>
      <c r="V649" s="160"/>
      <c r="X649" s="160"/>
      <c r="Y649" s="160"/>
      <c r="AA649" s="160"/>
      <c r="AB649" s="160"/>
      <c r="AC649" s="160"/>
      <c r="AD649" s="190"/>
    </row>
    <row r="650" spans="14:30" x14ac:dyDescent="0.2">
      <c r="N650" s="170"/>
      <c r="P650" s="189"/>
      <c r="Q650" s="160"/>
      <c r="R650" s="160"/>
      <c r="S650" s="160"/>
      <c r="T650" s="160"/>
      <c r="U650" s="160"/>
      <c r="V650" s="160"/>
      <c r="X650" s="160"/>
      <c r="Y650" s="160"/>
      <c r="AA650" s="160"/>
      <c r="AB650" s="160"/>
      <c r="AC650" s="160"/>
      <c r="AD650" s="190"/>
    </row>
    <row r="651" spans="14:30" x14ac:dyDescent="0.2">
      <c r="N651" s="170"/>
      <c r="P651" s="189"/>
      <c r="Q651" s="160"/>
      <c r="R651" s="160"/>
      <c r="S651" s="160"/>
      <c r="T651" s="160"/>
      <c r="U651" s="160"/>
      <c r="V651" s="160"/>
      <c r="X651" s="160"/>
      <c r="Y651" s="160"/>
      <c r="AA651" s="160"/>
      <c r="AB651" s="160"/>
      <c r="AC651" s="160"/>
      <c r="AD651" s="190"/>
    </row>
    <row r="652" spans="14:30" x14ac:dyDescent="0.2">
      <c r="N652" s="170"/>
      <c r="P652" s="189"/>
      <c r="Q652" s="160"/>
      <c r="R652" s="160"/>
      <c r="S652" s="160"/>
      <c r="T652" s="160"/>
      <c r="U652" s="160"/>
      <c r="V652" s="160"/>
      <c r="X652" s="160"/>
      <c r="Y652" s="160"/>
      <c r="AA652" s="160"/>
      <c r="AB652" s="160"/>
      <c r="AC652" s="160"/>
      <c r="AD652" s="190"/>
    </row>
    <row r="653" spans="14:30" x14ac:dyDescent="0.2">
      <c r="N653" s="170"/>
      <c r="P653" s="189"/>
      <c r="Q653" s="160"/>
      <c r="R653" s="160"/>
      <c r="S653" s="160"/>
      <c r="T653" s="160"/>
      <c r="U653" s="160"/>
      <c r="V653" s="160"/>
      <c r="X653" s="160"/>
      <c r="Y653" s="160"/>
      <c r="AA653" s="160"/>
      <c r="AB653" s="160"/>
      <c r="AC653" s="160"/>
      <c r="AD653" s="190"/>
    </row>
    <row r="654" spans="14:30" x14ac:dyDescent="0.2">
      <c r="N654" s="170"/>
      <c r="P654" s="189"/>
      <c r="Q654" s="160"/>
      <c r="R654" s="160"/>
      <c r="S654" s="160"/>
      <c r="T654" s="160"/>
      <c r="U654" s="160"/>
      <c r="V654" s="160"/>
      <c r="X654" s="160"/>
      <c r="Y654" s="160"/>
      <c r="AA654" s="160"/>
      <c r="AB654" s="160"/>
      <c r="AC654" s="160"/>
      <c r="AD654" s="190"/>
    </row>
    <row r="655" spans="14:30" x14ac:dyDescent="0.2">
      <c r="N655" s="170"/>
      <c r="P655" s="189"/>
      <c r="Q655" s="160"/>
      <c r="R655" s="160"/>
      <c r="S655" s="160"/>
      <c r="T655" s="160"/>
      <c r="U655" s="160"/>
      <c r="V655" s="160"/>
      <c r="X655" s="160"/>
      <c r="Y655" s="160"/>
      <c r="AA655" s="160"/>
      <c r="AB655" s="160"/>
      <c r="AC655" s="160"/>
      <c r="AD655" s="190"/>
    </row>
    <row r="656" spans="14:30" x14ac:dyDescent="0.2">
      <c r="N656" s="170"/>
      <c r="P656" s="189"/>
      <c r="Q656" s="160"/>
      <c r="R656" s="160"/>
      <c r="S656" s="160"/>
      <c r="T656" s="160"/>
      <c r="U656" s="160"/>
      <c r="V656" s="160"/>
      <c r="X656" s="160"/>
      <c r="Y656" s="160"/>
      <c r="AA656" s="160"/>
      <c r="AB656" s="160"/>
      <c r="AC656" s="160"/>
      <c r="AD656" s="190"/>
    </row>
    <row r="657" spans="14:30" x14ac:dyDescent="0.2">
      <c r="N657" s="170"/>
      <c r="P657" s="189"/>
      <c r="Q657" s="160"/>
      <c r="R657" s="160"/>
      <c r="S657" s="160"/>
      <c r="T657" s="160"/>
      <c r="U657" s="160"/>
      <c r="V657" s="160"/>
      <c r="X657" s="160"/>
      <c r="Y657" s="160"/>
      <c r="AA657" s="160"/>
      <c r="AB657" s="160"/>
      <c r="AC657" s="160"/>
      <c r="AD657" s="190"/>
    </row>
    <row r="658" spans="14:30" x14ac:dyDescent="0.2">
      <c r="N658" s="170"/>
      <c r="P658" s="189"/>
      <c r="Q658" s="160"/>
      <c r="R658" s="160"/>
      <c r="S658" s="160"/>
      <c r="T658" s="160"/>
      <c r="U658" s="160"/>
      <c r="V658" s="160"/>
      <c r="X658" s="160"/>
      <c r="Y658" s="160"/>
      <c r="AA658" s="160"/>
      <c r="AB658" s="160"/>
      <c r="AC658" s="160"/>
      <c r="AD658" s="190"/>
    </row>
    <row r="659" spans="14:30" x14ac:dyDescent="0.2">
      <c r="N659" s="170"/>
      <c r="P659" s="189"/>
      <c r="Q659" s="160"/>
      <c r="R659" s="160"/>
      <c r="S659" s="160"/>
      <c r="T659" s="160"/>
      <c r="U659" s="160"/>
      <c r="V659" s="160"/>
      <c r="X659" s="160"/>
      <c r="Y659" s="160"/>
      <c r="AA659" s="160"/>
      <c r="AB659" s="160"/>
      <c r="AC659" s="160"/>
      <c r="AD659" s="190"/>
    </row>
    <row r="660" spans="14:30" x14ac:dyDescent="0.2">
      <c r="N660" s="170"/>
      <c r="P660" s="189"/>
      <c r="Q660" s="160"/>
      <c r="R660" s="160"/>
      <c r="S660" s="160"/>
      <c r="T660" s="160"/>
      <c r="U660" s="160"/>
      <c r="V660" s="160"/>
      <c r="X660" s="160"/>
      <c r="Y660" s="160"/>
      <c r="AA660" s="160"/>
      <c r="AB660" s="160"/>
      <c r="AC660" s="160"/>
      <c r="AD660" s="190"/>
    </row>
    <row r="661" spans="14:30" x14ac:dyDescent="0.2">
      <c r="N661" s="170"/>
      <c r="P661" s="189"/>
      <c r="Q661" s="160"/>
      <c r="R661" s="160"/>
      <c r="S661" s="160"/>
      <c r="T661" s="160"/>
      <c r="U661" s="160"/>
      <c r="V661" s="160"/>
      <c r="X661" s="160"/>
      <c r="Y661" s="160"/>
      <c r="AA661" s="160"/>
      <c r="AB661" s="160"/>
      <c r="AC661" s="160"/>
      <c r="AD661" s="190"/>
    </row>
    <row r="662" spans="14:30" x14ac:dyDescent="0.2">
      <c r="N662" s="170"/>
      <c r="P662" s="189"/>
      <c r="Q662" s="160"/>
      <c r="R662" s="160"/>
      <c r="S662" s="160"/>
      <c r="T662" s="160"/>
      <c r="U662" s="160"/>
      <c r="V662" s="160"/>
      <c r="X662" s="160"/>
      <c r="Y662" s="160"/>
      <c r="AA662" s="160"/>
      <c r="AB662" s="160"/>
      <c r="AC662" s="160"/>
      <c r="AD662" s="190"/>
    </row>
    <row r="663" spans="14:30" x14ac:dyDescent="0.2">
      <c r="N663" s="170"/>
      <c r="P663" s="189"/>
      <c r="Q663" s="160"/>
      <c r="R663" s="160"/>
      <c r="S663" s="160"/>
      <c r="T663" s="160"/>
      <c r="U663" s="160"/>
      <c r="V663" s="160"/>
      <c r="X663" s="160"/>
      <c r="Y663" s="160"/>
      <c r="AA663" s="160"/>
      <c r="AB663" s="160"/>
      <c r="AC663" s="160"/>
      <c r="AD663" s="190"/>
    </row>
    <row r="664" spans="14:30" x14ac:dyDescent="0.2">
      <c r="N664" s="170"/>
      <c r="P664" s="189"/>
      <c r="Q664" s="160"/>
      <c r="R664" s="160"/>
      <c r="S664" s="160"/>
      <c r="T664" s="160"/>
      <c r="U664" s="160"/>
      <c r="V664" s="160"/>
      <c r="X664" s="160"/>
      <c r="Y664" s="160"/>
      <c r="AA664" s="160"/>
      <c r="AB664" s="160"/>
      <c r="AC664" s="160"/>
      <c r="AD664" s="190"/>
    </row>
    <row r="665" spans="14:30" x14ac:dyDescent="0.2">
      <c r="N665" s="170"/>
      <c r="P665" s="189"/>
      <c r="Q665" s="160"/>
      <c r="R665" s="160"/>
      <c r="S665" s="160"/>
      <c r="T665" s="160"/>
      <c r="U665" s="160"/>
      <c r="V665" s="160"/>
      <c r="X665" s="160"/>
      <c r="Y665" s="160"/>
      <c r="AA665" s="160"/>
      <c r="AB665" s="160"/>
      <c r="AC665" s="160"/>
      <c r="AD665" s="190"/>
    </row>
    <row r="666" spans="14:30" x14ac:dyDescent="0.2">
      <c r="N666" s="170"/>
      <c r="P666" s="189"/>
      <c r="Q666" s="160"/>
      <c r="R666" s="160"/>
      <c r="S666" s="160"/>
      <c r="T666" s="160"/>
      <c r="U666" s="160"/>
      <c r="V666" s="160"/>
      <c r="X666" s="160"/>
      <c r="Y666" s="160"/>
      <c r="AA666" s="160"/>
      <c r="AB666" s="160"/>
      <c r="AC666" s="160"/>
      <c r="AD666" s="190"/>
    </row>
    <row r="667" spans="14:30" x14ac:dyDescent="0.2">
      <c r="N667" s="170"/>
      <c r="P667" s="189"/>
      <c r="Q667" s="160"/>
      <c r="R667" s="160"/>
      <c r="S667" s="160"/>
      <c r="T667" s="160"/>
      <c r="U667" s="160"/>
      <c r="V667" s="160"/>
      <c r="X667" s="160"/>
      <c r="Y667" s="160"/>
      <c r="AA667" s="160"/>
      <c r="AB667" s="160"/>
      <c r="AC667" s="160"/>
      <c r="AD667" s="190"/>
    </row>
    <row r="668" spans="14:30" x14ac:dyDescent="0.2">
      <c r="N668" s="170"/>
      <c r="P668" s="189"/>
      <c r="Q668" s="160"/>
      <c r="R668" s="160"/>
      <c r="S668" s="160"/>
      <c r="T668" s="160"/>
      <c r="U668" s="160"/>
      <c r="V668" s="160"/>
      <c r="X668" s="160"/>
      <c r="Y668" s="160"/>
      <c r="AA668" s="160"/>
      <c r="AB668" s="160"/>
      <c r="AC668" s="160"/>
      <c r="AD668" s="190"/>
    </row>
    <row r="669" spans="14:30" x14ac:dyDescent="0.2">
      <c r="N669" s="170"/>
      <c r="P669" s="189"/>
      <c r="Q669" s="160"/>
      <c r="R669" s="160"/>
      <c r="S669" s="160"/>
      <c r="T669" s="160"/>
      <c r="U669" s="160"/>
      <c r="V669" s="160"/>
      <c r="X669" s="160"/>
      <c r="Y669" s="160"/>
      <c r="AA669" s="160"/>
      <c r="AB669" s="160"/>
      <c r="AC669" s="160"/>
      <c r="AD669" s="190"/>
    </row>
    <row r="670" spans="14:30" x14ac:dyDescent="0.2">
      <c r="N670" s="170"/>
      <c r="P670" s="189"/>
      <c r="Q670" s="160"/>
      <c r="R670" s="160"/>
      <c r="S670" s="160"/>
      <c r="T670" s="160"/>
      <c r="U670" s="160"/>
      <c r="V670" s="160"/>
      <c r="X670" s="160"/>
      <c r="Y670" s="160"/>
      <c r="AA670" s="160"/>
      <c r="AB670" s="160"/>
      <c r="AC670" s="160"/>
      <c r="AD670" s="190"/>
    </row>
    <row r="671" spans="14:30" x14ac:dyDescent="0.2">
      <c r="N671" s="170"/>
      <c r="P671" s="189"/>
      <c r="Q671" s="160"/>
      <c r="R671" s="160"/>
      <c r="S671" s="160"/>
      <c r="T671" s="160"/>
      <c r="U671" s="160"/>
      <c r="V671" s="160"/>
      <c r="X671" s="160"/>
      <c r="Y671" s="160"/>
      <c r="AA671" s="160"/>
      <c r="AB671" s="160"/>
      <c r="AC671" s="160"/>
      <c r="AD671" s="190"/>
    </row>
    <row r="672" spans="14:30" x14ac:dyDescent="0.2">
      <c r="N672" s="170"/>
      <c r="P672" s="189"/>
      <c r="Q672" s="160"/>
      <c r="R672" s="160"/>
      <c r="S672" s="160"/>
      <c r="T672" s="160"/>
      <c r="U672" s="160"/>
      <c r="V672" s="160"/>
      <c r="X672" s="160"/>
      <c r="Y672" s="160"/>
      <c r="AA672" s="160"/>
      <c r="AB672" s="160"/>
      <c r="AC672" s="160"/>
      <c r="AD672" s="190"/>
    </row>
    <row r="673" spans="14:30" x14ac:dyDescent="0.2">
      <c r="N673" s="170"/>
      <c r="P673" s="189"/>
      <c r="Q673" s="160"/>
      <c r="R673" s="160"/>
      <c r="S673" s="160"/>
      <c r="T673" s="160"/>
      <c r="U673" s="160"/>
      <c r="V673" s="160"/>
      <c r="X673" s="160"/>
      <c r="Y673" s="160"/>
      <c r="AA673" s="160"/>
      <c r="AB673" s="160"/>
      <c r="AC673" s="160"/>
      <c r="AD673" s="190"/>
    </row>
    <row r="674" spans="14:30" x14ac:dyDescent="0.2">
      <c r="N674" s="170"/>
      <c r="P674" s="189"/>
      <c r="Q674" s="160"/>
      <c r="R674" s="160"/>
      <c r="S674" s="160"/>
      <c r="T674" s="160"/>
      <c r="U674" s="160"/>
      <c r="V674" s="160"/>
      <c r="X674" s="160"/>
      <c r="Y674" s="160"/>
      <c r="AA674" s="160"/>
      <c r="AB674" s="160"/>
      <c r="AC674" s="160"/>
      <c r="AD674" s="190"/>
    </row>
    <row r="675" spans="14:30" x14ac:dyDescent="0.2">
      <c r="N675" s="170"/>
      <c r="P675" s="189"/>
      <c r="Q675" s="160"/>
      <c r="R675" s="160"/>
      <c r="S675" s="160"/>
      <c r="T675" s="160"/>
      <c r="U675" s="160"/>
      <c r="V675" s="160"/>
      <c r="X675" s="160"/>
      <c r="Y675" s="160"/>
      <c r="AA675" s="160"/>
      <c r="AB675" s="160"/>
      <c r="AC675" s="160"/>
      <c r="AD675" s="190"/>
    </row>
    <row r="676" spans="14:30" x14ac:dyDescent="0.2">
      <c r="N676" s="170"/>
      <c r="P676" s="189"/>
      <c r="Q676" s="160"/>
      <c r="R676" s="160"/>
      <c r="S676" s="160"/>
      <c r="T676" s="160"/>
      <c r="U676" s="160"/>
      <c r="V676" s="160"/>
      <c r="X676" s="160"/>
      <c r="Y676" s="160"/>
      <c r="AA676" s="160"/>
      <c r="AB676" s="160"/>
      <c r="AC676" s="160"/>
      <c r="AD676" s="190"/>
    </row>
    <row r="677" spans="14:30" x14ac:dyDescent="0.2">
      <c r="N677" s="170"/>
      <c r="P677" s="189"/>
      <c r="Q677" s="160"/>
      <c r="R677" s="160"/>
      <c r="S677" s="160"/>
      <c r="T677" s="160"/>
      <c r="U677" s="160"/>
      <c r="V677" s="160"/>
      <c r="X677" s="160"/>
      <c r="Y677" s="160"/>
      <c r="AA677" s="160"/>
      <c r="AB677" s="160"/>
      <c r="AC677" s="160"/>
      <c r="AD677" s="190"/>
    </row>
    <row r="678" spans="14:30" x14ac:dyDescent="0.2">
      <c r="N678" s="170"/>
      <c r="P678" s="189"/>
      <c r="Q678" s="160"/>
      <c r="R678" s="160"/>
      <c r="S678" s="160"/>
      <c r="T678" s="160"/>
      <c r="U678" s="160"/>
      <c r="V678" s="160"/>
      <c r="X678" s="160"/>
      <c r="Y678" s="160"/>
      <c r="AA678" s="160"/>
      <c r="AB678" s="160"/>
      <c r="AC678" s="160"/>
      <c r="AD678" s="190"/>
    </row>
    <row r="679" spans="14:30" x14ac:dyDescent="0.2">
      <c r="N679" s="170"/>
      <c r="P679" s="189"/>
      <c r="Q679" s="160"/>
      <c r="R679" s="160"/>
      <c r="S679" s="160"/>
      <c r="T679" s="160"/>
      <c r="U679" s="160"/>
      <c r="V679" s="160"/>
      <c r="X679" s="160"/>
      <c r="Y679" s="160"/>
      <c r="AA679" s="160"/>
      <c r="AB679" s="160"/>
      <c r="AC679" s="160"/>
      <c r="AD679" s="190"/>
    </row>
    <row r="680" spans="14:30" x14ac:dyDescent="0.2">
      <c r="N680" s="170"/>
      <c r="P680" s="189"/>
      <c r="Q680" s="160"/>
      <c r="R680" s="160"/>
      <c r="S680" s="160"/>
      <c r="T680" s="160"/>
      <c r="U680" s="160"/>
      <c r="V680" s="160"/>
      <c r="X680" s="160"/>
      <c r="Y680" s="160"/>
      <c r="AA680" s="160"/>
      <c r="AB680" s="160"/>
      <c r="AC680" s="160"/>
      <c r="AD680" s="190"/>
    </row>
    <row r="681" spans="14:30" x14ac:dyDescent="0.2">
      <c r="N681" s="170"/>
      <c r="P681" s="189"/>
      <c r="Q681" s="160"/>
      <c r="R681" s="160"/>
      <c r="S681" s="160"/>
      <c r="T681" s="160"/>
      <c r="U681" s="160"/>
      <c r="V681" s="160"/>
      <c r="X681" s="160"/>
      <c r="Y681" s="160"/>
      <c r="AA681" s="160"/>
      <c r="AB681" s="160"/>
      <c r="AC681" s="160"/>
      <c r="AD681" s="190"/>
    </row>
    <row r="682" spans="14:30" x14ac:dyDescent="0.2">
      <c r="N682" s="170"/>
      <c r="P682" s="189"/>
      <c r="Q682" s="160"/>
      <c r="R682" s="160"/>
      <c r="S682" s="160"/>
      <c r="T682" s="160"/>
      <c r="U682" s="160"/>
      <c r="V682" s="160"/>
      <c r="X682" s="160"/>
      <c r="Y682" s="160"/>
      <c r="AA682" s="160"/>
      <c r="AB682" s="160"/>
      <c r="AC682" s="160"/>
      <c r="AD682" s="190"/>
    </row>
    <row r="683" spans="14:30" x14ac:dyDescent="0.2">
      <c r="N683" s="170"/>
      <c r="P683" s="189"/>
      <c r="Q683" s="160"/>
      <c r="R683" s="160"/>
      <c r="S683" s="160"/>
      <c r="T683" s="160"/>
      <c r="U683" s="160"/>
      <c r="V683" s="160"/>
      <c r="X683" s="160"/>
      <c r="Y683" s="160"/>
      <c r="AA683" s="160"/>
      <c r="AB683" s="160"/>
      <c r="AC683" s="160"/>
      <c r="AD683" s="190"/>
    </row>
    <row r="684" spans="14:30" x14ac:dyDescent="0.2">
      <c r="N684" s="170"/>
      <c r="P684" s="189"/>
      <c r="Q684" s="160"/>
      <c r="R684" s="160"/>
      <c r="S684" s="160"/>
      <c r="T684" s="160"/>
      <c r="U684" s="160"/>
      <c r="V684" s="160"/>
      <c r="X684" s="160"/>
      <c r="Y684" s="160"/>
      <c r="AA684" s="160"/>
      <c r="AB684" s="160"/>
      <c r="AC684" s="160"/>
      <c r="AD684" s="190"/>
    </row>
    <row r="685" spans="14:30" x14ac:dyDescent="0.2">
      <c r="N685" s="170"/>
      <c r="P685" s="189"/>
      <c r="Q685" s="160"/>
      <c r="R685" s="160"/>
      <c r="S685" s="160"/>
      <c r="T685" s="160"/>
      <c r="U685" s="160"/>
      <c r="V685" s="160"/>
      <c r="X685" s="160"/>
      <c r="Y685" s="160"/>
      <c r="AA685" s="160"/>
      <c r="AB685" s="160"/>
      <c r="AC685" s="160"/>
      <c r="AD685" s="190"/>
    </row>
    <row r="686" spans="14:30" x14ac:dyDescent="0.2">
      <c r="N686" s="170"/>
      <c r="P686" s="189"/>
      <c r="Q686" s="160"/>
      <c r="R686" s="160"/>
      <c r="S686" s="160"/>
      <c r="T686" s="160"/>
      <c r="U686" s="160"/>
      <c r="V686" s="160"/>
      <c r="X686" s="160"/>
      <c r="Y686" s="160"/>
      <c r="AA686" s="160"/>
      <c r="AB686" s="160"/>
      <c r="AC686" s="160"/>
      <c r="AD686" s="190"/>
    </row>
    <row r="687" spans="14:30" x14ac:dyDescent="0.2">
      <c r="N687" s="170"/>
      <c r="P687" s="189"/>
      <c r="Q687" s="160"/>
      <c r="R687" s="160"/>
      <c r="S687" s="160"/>
      <c r="T687" s="160"/>
      <c r="U687" s="160"/>
      <c r="V687" s="160"/>
      <c r="X687" s="160"/>
      <c r="Y687" s="160"/>
      <c r="AA687" s="160"/>
      <c r="AB687" s="160"/>
      <c r="AC687" s="160"/>
      <c r="AD687" s="190"/>
    </row>
    <row r="688" spans="14:30" x14ac:dyDescent="0.2">
      <c r="N688" s="170"/>
      <c r="P688" s="189"/>
      <c r="Q688" s="160"/>
      <c r="R688" s="160"/>
      <c r="S688" s="160"/>
      <c r="T688" s="160"/>
      <c r="U688" s="160"/>
      <c r="V688" s="160"/>
      <c r="X688" s="160"/>
      <c r="Y688" s="160"/>
      <c r="AA688" s="160"/>
      <c r="AB688" s="160"/>
      <c r="AC688" s="160"/>
      <c r="AD688" s="190"/>
    </row>
    <row r="689" spans="14:30" x14ac:dyDescent="0.2">
      <c r="N689" s="170"/>
      <c r="P689" s="189"/>
      <c r="Q689" s="160"/>
      <c r="R689" s="160"/>
      <c r="S689" s="160"/>
      <c r="T689" s="160"/>
      <c r="U689" s="160"/>
      <c r="V689" s="160"/>
      <c r="X689" s="160"/>
      <c r="Y689" s="160"/>
      <c r="AA689" s="160"/>
      <c r="AB689" s="160"/>
      <c r="AC689" s="160"/>
      <c r="AD689" s="190"/>
    </row>
    <row r="690" spans="14:30" x14ac:dyDescent="0.2">
      <c r="N690" s="170"/>
      <c r="P690" s="189"/>
      <c r="Q690" s="160"/>
      <c r="R690" s="160"/>
      <c r="S690" s="160"/>
      <c r="T690" s="160"/>
      <c r="U690" s="160"/>
      <c r="V690" s="160"/>
      <c r="X690" s="160"/>
      <c r="Y690" s="160"/>
      <c r="AA690" s="160"/>
      <c r="AB690" s="160"/>
      <c r="AC690" s="160"/>
      <c r="AD690" s="190"/>
    </row>
    <row r="691" spans="14:30" x14ac:dyDescent="0.2">
      <c r="N691" s="170"/>
      <c r="P691" s="189"/>
      <c r="Q691" s="160"/>
      <c r="R691" s="160"/>
      <c r="S691" s="160"/>
      <c r="T691" s="160"/>
      <c r="U691" s="160"/>
      <c r="V691" s="160"/>
      <c r="X691" s="160"/>
      <c r="Y691" s="160"/>
      <c r="AA691" s="160"/>
      <c r="AB691" s="160"/>
      <c r="AC691" s="160"/>
      <c r="AD691" s="190"/>
    </row>
    <row r="692" spans="14:30" x14ac:dyDescent="0.2">
      <c r="N692" s="170"/>
      <c r="P692" s="189"/>
      <c r="Q692" s="160"/>
      <c r="R692" s="160"/>
      <c r="S692" s="160"/>
      <c r="T692" s="160"/>
      <c r="U692" s="160"/>
      <c r="V692" s="160"/>
      <c r="X692" s="160"/>
      <c r="Y692" s="160"/>
      <c r="AA692" s="160"/>
      <c r="AB692" s="160"/>
      <c r="AC692" s="160"/>
      <c r="AD692" s="190"/>
    </row>
    <row r="693" spans="14:30" x14ac:dyDescent="0.2">
      <c r="N693" s="170"/>
      <c r="P693" s="189"/>
      <c r="Q693" s="160"/>
      <c r="R693" s="160"/>
      <c r="S693" s="160"/>
      <c r="T693" s="160"/>
      <c r="U693" s="160"/>
      <c r="V693" s="160"/>
      <c r="X693" s="160"/>
      <c r="Y693" s="160"/>
      <c r="AA693" s="160"/>
      <c r="AB693" s="160"/>
      <c r="AC693" s="160"/>
      <c r="AD693" s="190"/>
    </row>
    <row r="694" spans="14:30" x14ac:dyDescent="0.2">
      <c r="N694" s="170"/>
      <c r="P694" s="189"/>
      <c r="Q694" s="160"/>
      <c r="R694" s="160"/>
      <c r="S694" s="160"/>
      <c r="T694" s="160"/>
      <c r="U694" s="160"/>
      <c r="V694" s="160"/>
      <c r="X694" s="160"/>
      <c r="Y694" s="160"/>
      <c r="AA694" s="160"/>
      <c r="AB694" s="160"/>
      <c r="AC694" s="160"/>
      <c r="AD694" s="190"/>
    </row>
    <row r="695" spans="14:30" x14ac:dyDescent="0.2">
      <c r="N695" s="170"/>
      <c r="P695" s="189"/>
      <c r="Q695" s="160"/>
      <c r="R695" s="160"/>
      <c r="S695" s="160"/>
      <c r="T695" s="160"/>
      <c r="U695" s="160"/>
      <c r="V695" s="160"/>
      <c r="X695" s="160"/>
      <c r="Y695" s="160"/>
      <c r="AA695" s="160"/>
      <c r="AB695" s="160"/>
      <c r="AC695" s="160"/>
      <c r="AD695" s="190"/>
    </row>
    <row r="696" spans="14:30" x14ac:dyDescent="0.2">
      <c r="N696" s="170"/>
      <c r="P696" s="189"/>
      <c r="Q696" s="160"/>
      <c r="R696" s="160"/>
      <c r="S696" s="160"/>
      <c r="T696" s="160"/>
      <c r="U696" s="160"/>
      <c r="V696" s="160"/>
      <c r="X696" s="160"/>
      <c r="Y696" s="160"/>
      <c r="AA696" s="160"/>
      <c r="AB696" s="160"/>
      <c r="AC696" s="160"/>
      <c r="AD696" s="190"/>
    </row>
    <row r="697" spans="14:30" x14ac:dyDescent="0.2">
      <c r="N697" s="170"/>
      <c r="P697" s="189"/>
      <c r="Q697" s="160"/>
      <c r="R697" s="160"/>
      <c r="S697" s="160"/>
      <c r="T697" s="160"/>
      <c r="U697" s="160"/>
      <c r="V697" s="160"/>
      <c r="X697" s="160"/>
      <c r="Y697" s="160"/>
      <c r="AA697" s="160"/>
      <c r="AB697" s="160"/>
      <c r="AC697" s="160"/>
      <c r="AD697" s="190"/>
    </row>
    <row r="698" spans="14:30" x14ac:dyDescent="0.2">
      <c r="N698" s="170"/>
      <c r="P698" s="189"/>
      <c r="Q698" s="160"/>
      <c r="R698" s="160"/>
      <c r="S698" s="160"/>
      <c r="T698" s="160"/>
      <c r="U698" s="160"/>
      <c r="V698" s="160"/>
      <c r="X698" s="160"/>
      <c r="Y698" s="160"/>
      <c r="AA698" s="160"/>
      <c r="AB698" s="160"/>
      <c r="AC698" s="160"/>
      <c r="AD698" s="190"/>
    </row>
    <row r="699" spans="14:30" x14ac:dyDescent="0.2">
      <c r="N699" s="170"/>
      <c r="P699" s="189"/>
      <c r="Q699" s="160"/>
      <c r="R699" s="160"/>
      <c r="S699" s="160"/>
      <c r="T699" s="160"/>
      <c r="U699" s="160"/>
      <c r="V699" s="160"/>
      <c r="X699" s="160"/>
      <c r="Y699" s="160"/>
      <c r="AA699" s="160"/>
      <c r="AB699" s="160"/>
      <c r="AC699" s="160"/>
      <c r="AD699" s="190"/>
    </row>
    <row r="700" spans="14:30" x14ac:dyDescent="0.2">
      <c r="N700" s="170"/>
      <c r="P700" s="189"/>
      <c r="Q700" s="160"/>
      <c r="R700" s="160"/>
      <c r="S700" s="160"/>
      <c r="T700" s="160"/>
      <c r="U700" s="160"/>
      <c r="V700" s="160"/>
      <c r="X700" s="160"/>
      <c r="Y700" s="160"/>
      <c r="AA700" s="160"/>
      <c r="AB700" s="160"/>
      <c r="AC700" s="160"/>
      <c r="AD700" s="190"/>
    </row>
    <row r="701" spans="14:30" x14ac:dyDescent="0.2">
      <c r="N701" s="170"/>
      <c r="P701" s="189"/>
      <c r="Q701" s="160"/>
      <c r="R701" s="160"/>
      <c r="S701" s="160"/>
      <c r="T701" s="160"/>
      <c r="U701" s="160"/>
      <c r="V701" s="160"/>
      <c r="X701" s="160"/>
      <c r="Y701" s="160"/>
      <c r="AA701" s="160"/>
      <c r="AB701" s="160"/>
      <c r="AC701" s="160"/>
      <c r="AD701" s="190"/>
    </row>
    <row r="702" spans="14:30" x14ac:dyDescent="0.2">
      <c r="N702" s="170"/>
      <c r="P702" s="189"/>
      <c r="Q702" s="160"/>
      <c r="R702" s="160"/>
      <c r="S702" s="160"/>
      <c r="T702" s="160"/>
      <c r="U702" s="160"/>
      <c r="V702" s="160"/>
      <c r="X702" s="160"/>
      <c r="Y702" s="160"/>
      <c r="AA702" s="160"/>
      <c r="AB702" s="160"/>
      <c r="AC702" s="160"/>
      <c r="AD702" s="190"/>
    </row>
    <row r="703" spans="14:30" x14ac:dyDescent="0.2">
      <c r="N703" s="170"/>
      <c r="P703" s="189"/>
      <c r="Q703" s="160"/>
      <c r="R703" s="160"/>
      <c r="S703" s="160"/>
      <c r="T703" s="160"/>
      <c r="U703" s="160"/>
      <c r="V703" s="160"/>
      <c r="X703" s="160"/>
      <c r="Y703" s="160"/>
      <c r="AA703" s="160"/>
      <c r="AB703" s="160"/>
      <c r="AC703" s="160"/>
      <c r="AD703" s="190"/>
    </row>
    <row r="704" spans="14:30" x14ac:dyDescent="0.2">
      <c r="N704" s="170"/>
      <c r="P704" s="189"/>
      <c r="Q704" s="160"/>
      <c r="R704" s="160"/>
      <c r="S704" s="160"/>
      <c r="T704" s="160"/>
      <c r="U704" s="160"/>
      <c r="V704" s="160"/>
      <c r="X704" s="160"/>
      <c r="Y704" s="160"/>
      <c r="AA704" s="160"/>
      <c r="AB704" s="160"/>
      <c r="AC704" s="160"/>
      <c r="AD704" s="190"/>
    </row>
    <row r="705" spans="14:30" x14ac:dyDescent="0.2">
      <c r="N705" s="170"/>
      <c r="P705" s="189"/>
      <c r="Q705" s="160"/>
      <c r="R705" s="160"/>
      <c r="S705" s="160"/>
      <c r="T705" s="160"/>
      <c r="U705" s="160"/>
      <c r="V705" s="160"/>
      <c r="X705" s="160"/>
      <c r="Y705" s="160"/>
      <c r="AA705" s="160"/>
      <c r="AB705" s="160"/>
      <c r="AC705" s="160"/>
      <c r="AD705" s="190"/>
    </row>
    <row r="706" spans="14:30" x14ac:dyDescent="0.2">
      <c r="N706" s="170"/>
      <c r="P706" s="189"/>
      <c r="Q706" s="160"/>
      <c r="R706" s="160"/>
      <c r="S706" s="160"/>
      <c r="T706" s="160"/>
      <c r="U706" s="160"/>
      <c r="V706" s="160"/>
      <c r="X706" s="160"/>
      <c r="Y706" s="160"/>
      <c r="AA706" s="160"/>
      <c r="AB706" s="160"/>
      <c r="AC706" s="160"/>
      <c r="AD706" s="190"/>
    </row>
    <row r="707" spans="14:30" x14ac:dyDescent="0.2">
      <c r="N707" s="170"/>
      <c r="P707" s="189"/>
      <c r="Q707" s="160"/>
      <c r="R707" s="160"/>
      <c r="S707" s="160"/>
      <c r="T707" s="160"/>
      <c r="U707" s="160"/>
      <c r="V707" s="160"/>
      <c r="X707" s="160"/>
      <c r="Y707" s="160"/>
      <c r="AA707" s="160"/>
      <c r="AB707" s="160"/>
      <c r="AC707" s="160"/>
      <c r="AD707" s="190"/>
    </row>
    <row r="708" spans="14:30" x14ac:dyDescent="0.2">
      <c r="N708" s="170"/>
      <c r="P708" s="189"/>
      <c r="Q708" s="160"/>
      <c r="R708" s="160"/>
      <c r="S708" s="160"/>
      <c r="T708" s="160"/>
      <c r="U708" s="160"/>
      <c r="V708" s="160"/>
      <c r="X708" s="160"/>
      <c r="Y708" s="160"/>
      <c r="AA708" s="160"/>
      <c r="AB708" s="160"/>
      <c r="AC708" s="160"/>
      <c r="AD708" s="190"/>
    </row>
  </sheetData>
  <mergeCells count="29">
    <mergeCell ref="A1:M1"/>
    <mergeCell ref="E6:K6"/>
    <mergeCell ref="Q17:S17"/>
    <mergeCell ref="T17:V17"/>
    <mergeCell ref="W17:Y17"/>
    <mergeCell ref="P16:AE16"/>
    <mergeCell ref="Z17:AB17"/>
    <mergeCell ref="N1:X1"/>
    <mergeCell ref="P4:AE4"/>
    <mergeCell ref="AF4:AR4"/>
    <mergeCell ref="AS4:AU4"/>
    <mergeCell ref="Q5:S5"/>
    <mergeCell ref="T5:V5"/>
    <mergeCell ref="W5:Y5"/>
    <mergeCell ref="Z5:AB5"/>
    <mergeCell ref="AC5:AE5"/>
    <mergeCell ref="AG5:AI5"/>
    <mergeCell ref="AJ5:AL5"/>
    <mergeCell ref="AM5:AO5"/>
    <mergeCell ref="AP5:AR5"/>
    <mergeCell ref="AS5:AU5"/>
    <mergeCell ref="AP17:AR17"/>
    <mergeCell ref="AC17:AE17"/>
    <mergeCell ref="AS16:AU16"/>
    <mergeCell ref="AS17:AU17"/>
    <mergeCell ref="AG17:AI17"/>
    <mergeCell ref="AJ17:AL17"/>
    <mergeCell ref="AM17:AO17"/>
    <mergeCell ref="AF16:AR16"/>
  </mergeCells>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I53"/>
  <sheetViews>
    <sheetView zoomScale="70" zoomScaleNormal="70" workbookViewId="0">
      <selection activeCell="B51" sqref="B51"/>
    </sheetView>
  </sheetViews>
  <sheetFormatPr baseColWidth="10" defaultColWidth="8.83203125" defaultRowHeight="15" x14ac:dyDescent="0.2"/>
  <cols>
    <col min="1" max="1" width="26.6640625" customWidth="1"/>
    <col min="2" max="2" width="25.5" customWidth="1"/>
    <col min="3" max="3" width="10.1640625" customWidth="1"/>
  </cols>
  <sheetData>
    <row r="1" spans="1:9" ht="28" x14ac:dyDescent="0.3">
      <c r="A1" s="229" t="s">
        <v>80</v>
      </c>
      <c r="B1" s="229"/>
      <c r="C1" s="229"/>
      <c r="D1" s="229"/>
      <c r="E1" s="229"/>
      <c r="F1" s="229"/>
      <c r="G1" s="229"/>
      <c r="H1" s="229"/>
      <c r="I1" s="229"/>
    </row>
    <row r="2" spans="1:9" x14ac:dyDescent="0.2">
      <c r="A2" s="5"/>
      <c r="B2" s="5" t="s">
        <v>16</v>
      </c>
      <c r="C2" s="6"/>
      <c r="D2" s="4"/>
      <c r="E2" s="5"/>
      <c r="F2" s="5"/>
      <c r="G2" s="5"/>
      <c r="H2" s="5"/>
      <c r="I2" s="5"/>
    </row>
    <row r="3" spans="1:9" x14ac:dyDescent="0.2">
      <c r="A3" s="5"/>
      <c r="B3" s="5" t="s">
        <v>17</v>
      </c>
      <c r="C3" s="7"/>
      <c r="D3" s="4"/>
      <c r="E3" s="5"/>
      <c r="F3" s="5"/>
      <c r="G3" s="5"/>
      <c r="H3" s="5"/>
      <c r="I3" s="5"/>
    </row>
    <row r="4" spans="1:9" x14ac:dyDescent="0.2">
      <c r="A4" s="5"/>
      <c r="B4" s="5" t="s">
        <v>18</v>
      </c>
      <c r="C4" s="8"/>
      <c r="D4" s="4"/>
      <c r="E4" s="5"/>
      <c r="F4" s="5"/>
      <c r="G4" s="5"/>
      <c r="H4" s="5"/>
      <c r="I4" s="5"/>
    </row>
    <row r="5" spans="1:9" x14ac:dyDescent="0.2">
      <c r="A5" s="9" t="s">
        <v>19</v>
      </c>
      <c r="B5" s="9" t="s">
        <v>20</v>
      </c>
      <c r="C5" s="9" t="s">
        <v>21</v>
      </c>
      <c r="D5" s="4"/>
      <c r="E5" s="230" t="s">
        <v>22</v>
      </c>
      <c r="F5" s="230"/>
      <c r="G5" s="230"/>
      <c r="H5" s="230"/>
      <c r="I5" s="9"/>
    </row>
    <row r="6" spans="1:9" x14ac:dyDescent="0.2">
      <c r="A6" s="9"/>
      <c r="B6" s="9"/>
      <c r="C6" s="9"/>
      <c r="D6" s="4"/>
      <c r="E6" s="5"/>
      <c r="F6" s="5"/>
      <c r="G6" s="5"/>
      <c r="H6" s="5"/>
      <c r="I6" s="9"/>
    </row>
    <row r="7" spans="1:9" x14ac:dyDescent="0.2">
      <c r="A7" s="9" t="s">
        <v>58</v>
      </c>
      <c r="B7" s="9"/>
      <c r="C7" s="9"/>
      <c r="D7" s="4"/>
      <c r="E7" s="5"/>
      <c r="F7" s="5"/>
      <c r="G7" s="5"/>
      <c r="H7" s="5"/>
      <c r="I7" s="9"/>
    </row>
    <row r="8" spans="1:9" x14ac:dyDescent="0.2">
      <c r="A8" s="9"/>
      <c r="B8" s="9"/>
      <c r="C8" s="9"/>
      <c r="D8" s="4"/>
      <c r="E8" s="5"/>
      <c r="F8" s="5"/>
      <c r="G8" s="5"/>
      <c r="H8" s="5"/>
      <c r="I8" s="9"/>
    </row>
    <row r="9" spans="1:9" x14ac:dyDescent="0.2">
      <c r="A9" t="s">
        <v>47</v>
      </c>
      <c r="B9" s="12">
        <v>0.8</v>
      </c>
      <c r="D9" t="s">
        <v>50</v>
      </c>
    </row>
    <row r="10" spans="1:9" x14ac:dyDescent="0.2">
      <c r="A10" t="s">
        <v>51</v>
      </c>
      <c r="B10" s="13">
        <f>(1-B9)/(2.2*10^6)</f>
        <v>9.0909090909090888E-8</v>
      </c>
      <c r="C10" t="s">
        <v>54</v>
      </c>
      <c r="D10" t="s">
        <v>57</v>
      </c>
    </row>
    <row r="11" spans="1:9" x14ac:dyDescent="0.2">
      <c r="A11" t="s">
        <v>48</v>
      </c>
      <c r="B11" s="12">
        <v>0.85</v>
      </c>
      <c r="D11" t="s">
        <v>50</v>
      </c>
    </row>
    <row r="12" spans="1:9" x14ac:dyDescent="0.2">
      <c r="A12" t="s">
        <v>52</v>
      </c>
      <c r="B12" s="13">
        <f>(1-B11)/(2.2*10^6)</f>
        <v>6.8181818181818186E-8</v>
      </c>
      <c r="C12" t="s">
        <v>54</v>
      </c>
      <c r="D12" t="s">
        <v>56</v>
      </c>
    </row>
    <row r="13" spans="1:9" x14ac:dyDescent="0.2">
      <c r="A13" t="s">
        <v>49</v>
      </c>
      <c r="B13" s="12">
        <v>0.9</v>
      </c>
      <c r="D13" t="s">
        <v>50</v>
      </c>
    </row>
    <row r="14" spans="1:9" x14ac:dyDescent="0.2">
      <c r="A14" t="s">
        <v>53</v>
      </c>
      <c r="B14" s="13">
        <f>(1-B13)/(2.2*10^6)</f>
        <v>4.5454545454545444E-8</v>
      </c>
      <c r="C14" t="s">
        <v>54</v>
      </c>
      <c r="D14" t="s">
        <v>55</v>
      </c>
    </row>
    <row r="16" spans="1:9" x14ac:dyDescent="0.2">
      <c r="A16" t="s">
        <v>59</v>
      </c>
      <c r="B16" s="12">
        <v>0.9</v>
      </c>
      <c r="D16" t="s">
        <v>65</v>
      </c>
    </row>
    <row r="17" spans="1:4" x14ac:dyDescent="0.2">
      <c r="A17" t="s">
        <v>60</v>
      </c>
      <c r="B17" s="12">
        <v>0.93</v>
      </c>
      <c r="D17" t="s">
        <v>62</v>
      </c>
    </row>
    <row r="18" spans="1:4" x14ac:dyDescent="0.2">
      <c r="A18" t="s">
        <v>61</v>
      </c>
      <c r="B18" s="12">
        <v>0.96</v>
      </c>
      <c r="D18" t="s">
        <v>66</v>
      </c>
    </row>
    <row r="19" spans="1:4" x14ac:dyDescent="0.2">
      <c r="B19">
        <f>IF(((1-D_limit_nom)/Constants!B12)&lt;Fsw,2,1)</f>
        <v>1</v>
      </c>
      <c r="D19" t="s">
        <v>72</v>
      </c>
    </row>
    <row r="20" spans="1:4" x14ac:dyDescent="0.2">
      <c r="A20" t="s">
        <v>78</v>
      </c>
      <c r="B20" s="1">
        <f>CHOOSE(B19,D_limit_nom,(1-Constants!B12*Fsw))</f>
        <v>0.93</v>
      </c>
      <c r="D20" t="s">
        <v>79</v>
      </c>
    </row>
    <row r="22" spans="1:4" x14ac:dyDescent="0.2">
      <c r="A22" t="s">
        <v>88</v>
      </c>
      <c r="B22" s="12">
        <f>50*10^-9</f>
        <v>5.0000000000000004E-8</v>
      </c>
      <c r="C22" t="s">
        <v>54</v>
      </c>
      <c r="D22" t="s">
        <v>89</v>
      </c>
    </row>
    <row r="23" spans="1:4" x14ac:dyDescent="0.2">
      <c r="B23" s="12"/>
    </row>
    <row r="24" spans="1:4" ht="16" x14ac:dyDescent="0.2">
      <c r="A24" s="29" t="s">
        <v>171</v>
      </c>
    </row>
    <row r="25" spans="1:4" x14ac:dyDescent="0.2">
      <c r="A25" t="s">
        <v>144</v>
      </c>
      <c r="B25" s="12">
        <f>30*10^-6</f>
        <v>2.9999999999999997E-5</v>
      </c>
      <c r="C25" t="s">
        <v>11</v>
      </c>
      <c r="D25" t="s">
        <v>145</v>
      </c>
    </row>
    <row r="26" spans="1:4" x14ac:dyDescent="0.2">
      <c r="A26" t="s">
        <v>146</v>
      </c>
      <c r="B26" s="12">
        <v>1333</v>
      </c>
      <c r="C26" s="2" t="s">
        <v>36</v>
      </c>
      <c r="D26" t="s">
        <v>147</v>
      </c>
    </row>
    <row r="27" spans="1:4" x14ac:dyDescent="0.2">
      <c r="A27" t="s">
        <v>150</v>
      </c>
      <c r="B27" s="12">
        <f>0.1</f>
        <v>0.1</v>
      </c>
      <c r="C27" s="2" t="s">
        <v>10</v>
      </c>
      <c r="D27" t="s">
        <v>151</v>
      </c>
    </row>
    <row r="28" spans="1:4" x14ac:dyDescent="0.2">
      <c r="A28" t="s">
        <v>520</v>
      </c>
      <c r="B28" s="12">
        <v>2000</v>
      </c>
      <c r="C28" s="2" t="s">
        <v>36</v>
      </c>
      <c r="D28" t="s">
        <v>521</v>
      </c>
    </row>
    <row r="29" spans="1:4" x14ac:dyDescent="0.2">
      <c r="A29" t="s">
        <v>236</v>
      </c>
      <c r="B29" s="12">
        <f>0.145</f>
        <v>0.14499999999999999</v>
      </c>
      <c r="C29" t="s">
        <v>180</v>
      </c>
      <c r="D29" t="s">
        <v>238</v>
      </c>
    </row>
    <row r="30" spans="1:4" x14ac:dyDescent="0.2">
      <c r="A30" t="s">
        <v>240</v>
      </c>
      <c r="B30" s="12">
        <v>1</v>
      </c>
      <c r="C30" t="s">
        <v>180</v>
      </c>
      <c r="D30" t="s">
        <v>241</v>
      </c>
    </row>
    <row r="32" spans="1:4" x14ac:dyDescent="0.2">
      <c r="A32" s="33" t="s">
        <v>261</v>
      </c>
    </row>
    <row r="33" spans="1:4" x14ac:dyDescent="0.2">
      <c r="A33" t="s">
        <v>282</v>
      </c>
      <c r="B33">
        <v>1</v>
      </c>
      <c r="C33" t="s">
        <v>10</v>
      </c>
      <c r="D33" t="s">
        <v>283</v>
      </c>
    </row>
    <row r="34" spans="1:4" x14ac:dyDescent="0.2">
      <c r="A34" t="s">
        <v>265</v>
      </c>
      <c r="B34">
        <f>(2*10^-3)/1</f>
        <v>2E-3</v>
      </c>
      <c r="C34" t="s">
        <v>267</v>
      </c>
      <c r="D34" t="s">
        <v>266</v>
      </c>
    </row>
    <row r="36" spans="1:4" x14ac:dyDescent="0.2">
      <c r="A36" s="33" t="s">
        <v>334</v>
      </c>
    </row>
    <row r="37" spans="1:4" x14ac:dyDescent="0.2">
      <c r="A37" t="s">
        <v>335</v>
      </c>
      <c r="B37">
        <f>10*10^-6</f>
        <v>9.9999999999999991E-6</v>
      </c>
      <c r="C37" t="s">
        <v>11</v>
      </c>
      <c r="D37" t="s">
        <v>336</v>
      </c>
    </row>
    <row r="39" spans="1:4" x14ac:dyDescent="0.2">
      <c r="A39" s="33" t="s">
        <v>355</v>
      </c>
    </row>
    <row r="40" spans="1:4" x14ac:dyDescent="0.2">
      <c r="A40" t="s">
        <v>356</v>
      </c>
      <c r="B40">
        <v>1.5</v>
      </c>
      <c r="C40" t="s">
        <v>10</v>
      </c>
      <c r="D40" t="s">
        <v>359</v>
      </c>
    </row>
    <row r="41" spans="1:4" x14ac:dyDescent="0.2">
      <c r="A41" t="s">
        <v>357</v>
      </c>
      <c r="B41">
        <v>1.45</v>
      </c>
      <c r="C41" t="s">
        <v>10</v>
      </c>
      <c r="D41" t="s">
        <v>358</v>
      </c>
    </row>
    <row r="42" spans="1:4" x14ac:dyDescent="0.2">
      <c r="A42" t="s">
        <v>362</v>
      </c>
      <c r="B42">
        <f>5*10^-6</f>
        <v>4.9999999999999996E-6</v>
      </c>
      <c r="C42" t="s">
        <v>11</v>
      </c>
      <c r="D42" t="s">
        <v>363</v>
      </c>
    </row>
    <row r="44" spans="1:4" x14ac:dyDescent="0.2">
      <c r="A44" s="33" t="s">
        <v>420</v>
      </c>
    </row>
    <row r="45" spans="1:4" x14ac:dyDescent="0.2">
      <c r="A45" t="s">
        <v>421</v>
      </c>
      <c r="B45">
        <v>6.75</v>
      </c>
      <c r="C45" t="s">
        <v>10</v>
      </c>
      <c r="D45" t="s">
        <v>422</v>
      </c>
    </row>
    <row r="47" spans="1:4" x14ac:dyDescent="0.2">
      <c r="A47" s="33" t="s">
        <v>439</v>
      </c>
    </row>
    <row r="48" spans="1:4" x14ac:dyDescent="0.2">
      <c r="A48" t="s">
        <v>440</v>
      </c>
      <c r="B48">
        <f>450*(10^-6)</f>
        <v>4.4999999999999999E-4</v>
      </c>
      <c r="C48" t="s">
        <v>11</v>
      </c>
      <c r="D48" t="s">
        <v>441</v>
      </c>
    </row>
    <row r="50" spans="1:4" x14ac:dyDescent="0.2">
      <c r="A50" t="s">
        <v>481</v>
      </c>
    </row>
    <row r="51" spans="1:4" x14ac:dyDescent="0.2">
      <c r="A51" t="s">
        <v>482</v>
      </c>
      <c r="B51">
        <v>1.5</v>
      </c>
      <c r="C51" t="s">
        <v>10</v>
      </c>
      <c r="D51" t="s">
        <v>483</v>
      </c>
    </row>
    <row r="52" spans="1:4" x14ac:dyDescent="0.2">
      <c r="A52" t="s">
        <v>485</v>
      </c>
      <c r="B52">
        <v>45</v>
      </c>
      <c r="C52" t="s">
        <v>10</v>
      </c>
      <c r="D52" t="s">
        <v>484</v>
      </c>
    </row>
    <row r="53" spans="1:4" x14ac:dyDescent="0.2">
      <c r="A53" t="s">
        <v>580</v>
      </c>
      <c r="B53">
        <v>60</v>
      </c>
      <c r="C53" t="s">
        <v>10</v>
      </c>
      <c r="D53" t="s">
        <v>581</v>
      </c>
    </row>
  </sheetData>
  <mergeCells count="2">
    <mergeCell ref="A1:I1"/>
    <mergeCell ref="E5:H5"/>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2:B3"/>
  <sheetViews>
    <sheetView topLeftCell="B1" zoomScale="70" zoomScaleNormal="70" workbookViewId="0">
      <selection activeCell="E3" sqref="E3"/>
    </sheetView>
  </sheetViews>
  <sheetFormatPr baseColWidth="10" defaultColWidth="8.83203125" defaultRowHeight="15" x14ac:dyDescent="0.2"/>
  <cols>
    <col min="3" max="3" width="144.6640625" customWidth="1"/>
  </cols>
  <sheetData>
    <row r="2" spans="2:2" x14ac:dyDescent="0.2">
      <c r="B2" t="str">
        <f>"Eff_vs_IOUT"</f>
        <v>Eff_vs_IOUT</v>
      </c>
    </row>
    <row r="3" spans="2:2" ht="380" customHeight="1" x14ac:dyDescent="0.2"/>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4"/>
  <sheetViews>
    <sheetView workbookViewId="0">
      <selection activeCell="A2" sqref="A2"/>
    </sheetView>
  </sheetViews>
  <sheetFormatPr baseColWidth="10" defaultColWidth="8.83203125" defaultRowHeight="15" x14ac:dyDescent="0.2"/>
  <cols>
    <col min="2" max="2" width="76.1640625" customWidth="1"/>
  </cols>
  <sheetData>
    <row r="1" spans="1:1" x14ac:dyDescent="0.2">
      <c r="A1" t="str">
        <f>IF('Design Converter'!H7&gt;=3,"SCH_1","SCH_2")</f>
        <v>SCH_1</v>
      </c>
    </row>
    <row r="2" spans="1:1" ht="267.5" customHeight="1" x14ac:dyDescent="0.2"/>
    <row r="4" spans="1:1" ht="267.5" customHeight="1" x14ac:dyDescent="0.2"/>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2:D11"/>
  <sheetViews>
    <sheetView workbookViewId="0">
      <selection activeCell="D20" sqref="D20"/>
    </sheetView>
  </sheetViews>
  <sheetFormatPr baseColWidth="10" defaultColWidth="8.83203125" defaultRowHeight="15" x14ac:dyDescent="0.2"/>
  <sheetData>
    <row r="2" spans="1:4" x14ac:dyDescent="0.2">
      <c r="A2" t="s">
        <v>458</v>
      </c>
    </row>
    <row r="3" spans="1:4" x14ac:dyDescent="0.2">
      <c r="B3" s="47">
        <f>VIN_min</f>
        <v>4.8</v>
      </c>
    </row>
    <row r="4" spans="1:4" x14ac:dyDescent="0.2">
      <c r="B4" s="221">
        <f>VIN_nom</f>
        <v>5</v>
      </c>
      <c r="D4">
        <v>2.5</v>
      </c>
    </row>
    <row r="5" spans="1:4" x14ac:dyDescent="0.2">
      <c r="B5" s="222">
        <f>VIN_max</f>
        <v>5.5</v>
      </c>
    </row>
    <row r="8" spans="1:4" x14ac:dyDescent="0.2">
      <c r="A8" t="s">
        <v>552</v>
      </c>
    </row>
    <row r="9" spans="1:4" x14ac:dyDescent="0.2">
      <c r="B9" s="47" t="s">
        <v>495</v>
      </c>
    </row>
    <row r="10" spans="1:4" x14ac:dyDescent="0.2">
      <c r="B10" s="221" t="s">
        <v>496</v>
      </c>
    </row>
    <row r="11" spans="1:4" x14ac:dyDescent="0.2">
      <c r="B11" s="222"/>
    </row>
  </sheetData>
  <dataValidations count="3">
    <dataValidation type="list" allowBlank="1" showInputMessage="1" showErrorMessage="1" sqref="D4" xr:uid="{00000000-0002-0000-0700-000000000000}">
      <formula1>$B$3:$B$5</formula1>
    </dataValidation>
    <dataValidation type="decimal" allowBlank="1" showInputMessage="1" showErrorMessage="1" sqref="F4" xr:uid="{00000000-0002-0000-0700-000001000000}">
      <formula1>B3</formula1>
      <formula2>B5</formula2>
    </dataValidation>
    <dataValidation type="list" showDropDown="1" showInputMessage="1" showErrorMessage="1" sqref="I15" xr:uid="{00000000-0002-0000-0700-000002000000}">
      <formula1>$B$3:$B$5</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CCB-1154-4E1B-AC0A-91A88D9D073F}">
  <sheetPr codeName="Sheet9"/>
  <dimension ref="A1:AM47"/>
  <sheetViews>
    <sheetView showGridLines="0" showRowColHeaders="0" zoomScaleNormal="100" workbookViewId="0">
      <selection activeCell="B5" sqref="B5"/>
    </sheetView>
  </sheetViews>
  <sheetFormatPr baseColWidth="10" defaultColWidth="9.1640625" defaultRowHeight="14" x14ac:dyDescent="0.15"/>
  <cols>
    <col min="1" max="1" width="25.6640625" style="150" bestFit="1" customWidth="1"/>
    <col min="2" max="2" width="56.5" style="151" customWidth="1"/>
    <col min="3" max="11" width="9.1640625" style="144"/>
    <col min="12" max="12" width="20.5" style="144" customWidth="1"/>
    <col min="13" max="16384" width="9.1640625" style="144"/>
  </cols>
  <sheetData>
    <row r="1" spans="1:12" x14ac:dyDescent="0.15">
      <c r="A1" s="246"/>
      <c r="B1" s="246"/>
      <c r="C1" s="246"/>
      <c r="D1" s="246"/>
      <c r="E1" s="246"/>
      <c r="F1" s="246"/>
      <c r="G1" s="246"/>
      <c r="H1" s="246"/>
      <c r="I1" s="246"/>
      <c r="J1" s="246"/>
      <c r="K1" s="246"/>
      <c r="L1" s="246"/>
    </row>
    <row r="2" spans="1:12" x14ac:dyDescent="0.15">
      <c r="A2" s="246"/>
      <c r="B2" s="246"/>
      <c r="C2" s="246"/>
      <c r="D2" s="246"/>
      <c r="E2" s="246"/>
      <c r="F2" s="246"/>
      <c r="G2" s="246"/>
      <c r="H2" s="246"/>
      <c r="I2" s="246"/>
      <c r="J2" s="246"/>
      <c r="K2" s="246"/>
      <c r="L2" s="246"/>
    </row>
    <row r="3" spans="1:12" x14ac:dyDescent="0.15">
      <c r="A3" s="246"/>
      <c r="B3" s="246"/>
      <c r="C3" s="246"/>
      <c r="D3" s="246"/>
      <c r="E3" s="246"/>
      <c r="F3" s="246"/>
      <c r="G3" s="246"/>
      <c r="H3" s="246"/>
      <c r="I3" s="246"/>
      <c r="J3" s="246"/>
      <c r="K3" s="246"/>
      <c r="L3" s="246"/>
    </row>
    <row r="4" spans="1:12" ht="12.75" customHeight="1" x14ac:dyDescent="0.15">
      <c r="A4" s="247"/>
      <c r="B4" s="247"/>
      <c r="C4" s="247"/>
      <c r="D4" s="247"/>
      <c r="E4" s="247"/>
      <c r="F4" s="247"/>
      <c r="G4" s="247"/>
      <c r="H4" s="247"/>
      <c r="I4" s="247"/>
      <c r="J4" s="247"/>
      <c r="K4" s="247"/>
      <c r="L4" s="247"/>
    </row>
    <row r="5" spans="1:12" x14ac:dyDescent="0.15">
      <c r="A5" s="145" t="s">
        <v>523</v>
      </c>
      <c r="B5" s="157" t="s">
        <v>575</v>
      </c>
      <c r="C5" s="147"/>
      <c r="D5" s="147"/>
      <c r="E5" s="147"/>
      <c r="F5" s="147"/>
      <c r="G5" s="147"/>
      <c r="H5" s="147"/>
      <c r="I5" s="147"/>
      <c r="J5" s="147"/>
      <c r="K5" s="148"/>
      <c r="L5" s="149"/>
    </row>
    <row r="6" spans="1:12" x14ac:dyDescent="0.15">
      <c r="A6" s="145"/>
      <c r="B6" s="146"/>
      <c r="C6" s="147"/>
      <c r="D6" s="147"/>
      <c r="E6" s="147"/>
      <c r="F6" s="147"/>
      <c r="G6" s="147"/>
      <c r="H6" s="147"/>
      <c r="I6" s="147"/>
      <c r="J6" s="149"/>
      <c r="K6" s="149"/>
      <c r="L6" s="149"/>
    </row>
    <row r="35" spans="1:39" x14ac:dyDescent="0.15">
      <c r="A35" s="152" t="s">
        <v>525</v>
      </c>
      <c r="B35" s="153"/>
      <c r="C35" s="147"/>
      <c r="D35" s="147"/>
      <c r="E35" s="147"/>
      <c r="F35" s="147"/>
      <c r="G35" s="147"/>
      <c r="H35" s="147"/>
      <c r="I35" s="147"/>
      <c r="J35" s="147"/>
      <c r="K35" s="147"/>
    </row>
    <row r="36" spans="1:39" x14ac:dyDescent="0.15">
      <c r="A36" s="154" t="s">
        <v>526</v>
      </c>
      <c r="B36" s="248" t="s">
        <v>527</v>
      </c>
      <c r="C36" s="248"/>
      <c r="D36" s="248"/>
      <c r="E36" s="248"/>
      <c r="F36" s="248"/>
      <c r="G36" s="248"/>
      <c r="H36" s="248"/>
      <c r="I36" s="248"/>
      <c r="J36" s="248"/>
      <c r="K36" s="248"/>
    </row>
    <row r="37" spans="1:39" x14ac:dyDescent="0.15">
      <c r="A37" s="152" t="s">
        <v>524</v>
      </c>
      <c r="B37" s="249" t="s">
        <v>528</v>
      </c>
      <c r="C37" s="249"/>
      <c r="D37" s="249"/>
      <c r="E37" s="249"/>
      <c r="F37" s="249"/>
      <c r="G37" s="249"/>
      <c r="H37" s="249"/>
      <c r="I37" s="249"/>
      <c r="J37" s="249"/>
      <c r="K37" s="249"/>
    </row>
    <row r="38" spans="1:39" ht="14.25" customHeight="1" x14ac:dyDescent="0.15">
      <c r="A38" s="156" t="s">
        <v>531</v>
      </c>
      <c r="B38" s="250" t="s">
        <v>532</v>
      </c>
      <c r="C38" s="250"/>
      <c r="D38" s="250"/>
      <c r="E38" s="250"/>
      <c r="F38" s="250"/>
      <c r="G38" s="250"/>
      <c r="H38" s="250"/>
      <c r="I38" s="250"/>
      <c r="J38" s="250"/>
      <c r="K38" s="250"/>
    </row>
    <row r="39" spans="1:39" ht="14.25" customHeight="1" x14ac:dyDescent="0.15">
      <c r="A39" s="156" t="s">
        <v>575</v>
      </c>
      <c r="B39" s="226" t="s">
        <v>576</v>
      </c>
      <c r="C39" s="226"/>
      <c r="D39" s="226"/>
      <c r="E39" s="226"/>
      <c r="F39" s="226"/>
      <c r="G39" s="226"/>
      <c r="H39" s="226"/>
      <c r="I39" s="226"/>
      <c r="J39" s="226"/>
      <c r="K39" s="226"/>
    </row>
    <row r="40" spans="1:39" ht="14.25" customHeight="1" x14ac:dyDescent="0.15">
      <c r="A40" s="156"/>
      <c r="B40" s="226"/>
      <c r="C40" s="226"/>
      <c r="D40" s="226"/>
      <c r="E40" s="226"/>
      <c r="F40" s="226"/>
      <c r="G40" s="226"/>
      <c r="H40" s="226"/>
      <c r="I40" s="226"/>
      <c r="J40" s="226"/>
      <c r="K40" s="226"/>
    </row>
    <row r="41" spans="1:39" ht="14.25" customHeight="1" x14ac:dyDescent="0.15">
      <c r="A41" s="156"/>
      <c r="B41" s="226"/>
      <c r="C41" s="226"/>
      <c r="D41" s="226"/>
      <c r="E41" s="226"/>
      <c r="F41" s="226"/>
      <c r="G41" s="226"/>
      <c r="H41" s="226"/>
      <c r="I41" s="226"/>
      <c r="J41" s="226"/>
      <c r="K41" s="226"/>
    </row>
    <row r="42" spans="1:39" x14ac:dyDescent="0.15">
      <c r="A42" s="156"/>
      <c r="B42" s="226"/>
      <c r="C42" s="226"/>
      <c r="D42" s="226"/>
      <c r="E42" s="226"/>
      <c r="F42" s="226"/>
      <c r="G42" s="226"/>
      <c r="H42" s="226"/>
      <c r="I42" s="226"/>
      <c r="J42" s="226"/>
      <c r="K42" s="226"/>
    </row>
    <row r="43" spans="1:39" x14ac:dyDescent="0.15">
      <c r="A43" s="156"/>
      <c r="B43" s="226"/>
      <c r="C43" s="226"/>
      <c r="D43" s="226"/>
      <c r="E43" s="226"/>
      <c r="F43" s="226"/>
      <c r="G43" s="226"/>
      <c r="H43" s="226"/>
      <c r="I43" s="226"/>
      <c r="J43" s="226"/>
      <c r="K43" s="226"/>
    </row>
    <row r="44" spans="1:39" x14ac:dyDescent="0.15">
      <c r="A44" s="156"/>
      <c r="B44" s="226"/>
      <c r="C44" s="226"/>
      <c r="D44" s="226"/>
      <c r="E44" s="226"/>
      <c r="F44" s="226"/>
      <c r="G44" s="226"/>
      <c r="H44" s="226"/>
      <c r="I44" s="226"/>
      <c r="J44" s="226"/>
      <c r="K44" s="226"/>
      <c r="L44" s="155"/>
      <c r="M44" s="155"/>
      <c r="N44" s="155"/>
      <c r="O44" s="155"/>
      <c r="P44" s="155"/>
      <c r="Q44" s="155"/>
      <c r="R44" s="155"/>
      <c r="S44" s="155"/>
      <c r="T44" s="155"/>
      <c r="U44" s="155"/>
      <c r="V44" s="155"/>
      <c r="W44" s="155"/>
      <c r="X44" s="155"/>
      <c r="Y44" s="155"/>
      <c r="Z44" s="155"/>
      <c r="AA44" s="155"/>
      <c r="AB44" s="155"/>
      <c r="AC44" s="155"/>
      <c r="AD44" s="155"/>
      <c r="AE44" s="155"/>
      <c r="AF44" s="155"/>
      <c r="AG44" s="155"/>
      <c r="AH44" s="155"/>
      <c r="AI44" s="155"/>
      <c r="AJ44" s="155"/>
      <c r="AK44" s="155"/>
      <c r="AL44" s="155"/>
      <c r="AM44" s="155"/>
    </row>
    <row r="45" spans="1:39" x14ac:dyDescent="0.15">
      <c r="A45" s="156"/>
      <c r="B45" s="226"/>
      <c r="C45" s="226"/>
      <c r="D45" s="226"/>
      <c r="E45" s="226"/>
      <c r="F45" s="226"/>
      <c r="G45" s="226"/>
      <c r="H45" s="226"/>
      <c r="I45" s="226"/>
      <c r="J45" s="226"/>
      <c r="K45" s="226"/>
    </row>
    <row r="46" spans="1:39" x14ac:dyDescent="0.15">
      <c r="A46" s="156"/>
      <c r="B46" s="226"/>
      <c r="C46" s="226"/>
      <c r="D46" s="226"/>
      <c r="E46" s="226"/>
      <c r="F46" s="226"/>
      <c r="G46" s="226"/>
      <c r="H46" s="226"/>
      <c r="I46" s="226"/>
      <c r="J46" s="226"/>
      <c r="K46" s="226"/>
    </row>
    <row r="47" spans="1:39" x14ac:dyDescent="0.15">
      <c r="A47" s="156"/>
      <c r="B47" s="226"/>
    </row>
  </sheetData>
  <sheetProtection algorithmName="SHA-512" hashValue="w01gbvbP5UAcO48uUSPEcM42DLQN7csQvCqJuiQNlT2ekF2fq5jE6wMXzUF2sGQQxMvVP9g7SkV1wWRVLYe5KQ==" saltValue="LTIZtgTeeFd21Qi1VHycQA==" spinCount="100000" sheet="1" objects="1" scenarios="1" selectLockedCells="1" selectUnlockedCells="1"/>
  <mergeCells count="5">
    <mergeCell ref="A1:L3"/>
    <mergeCell ref="A4:L4"/>
    <mergeCell ref="B36:K36"/>
    <mergeCell ref="B37:K37"/>
    <mergeCell ref="B38:K38"/>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
  <sheetViews>
    <sheetView workbookViewId="0">
      <selection activeCell="C31" sqref="C31"/>
    </sheetView>
  </sheetViews>
  <sheetFormatPr baseColWidth="10" defaultColWidth="8.8320312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131</vt:i4>
      </vt:variant>
    </vt:vector>
  </HeadingPairs>
  <TitlesOfParts>
    <vt:vector size="141" baseType="lpstr">
      <vt:lpstr>Design Converter</vt:lpstr>
      <vt:lpstr>Variable_Management</vt:lpstr>
      <vt:lpstr>Eff_vs_IOUT</vt:lpstr>
      <vt:lpstr>Loop_Modeling</vt:lpstr>
      <vt:lpstr>Constants</vt:lpstr>
      <vt:lpstr>Plot_Management_Eff</vt:lpstr>
      <vt:lpstr>Plot_Management_Sch</vt:lpstr>
      <vt:lpstr>Lists</vt:lpstr>
      <vt:lpstr>Licenses</vt:lpstr>
      <vt:lpstr>Sheet1</vt:lpstr>
      <vt:lpstr>Acs</vt:lpstr>
      <vt:lpstr>Adc</vt:lpstr>
      <vt:lpstr>Adc_ea</vt:lpstr>
      <vt:lpstr>ADC_VINmin</vt:lpstr>
      <vt:lpstr>CCOMP</vt:lpstr>
      <vt:lpstr>CComp_calc</vt:lpstr>
      <vt:lpstr>CHF</vt:lpstr>
      <vt:lpstr>Comp_calc</vt:lpstr>
      <vt:lpstr>Cout</vt:lpstr>
      <vt:lpstr>Cout_min</vt:lpstr>
      <vt:lpstr>D_limit_max</vt:lpstr>
      <vt:lpstr>D_limit_min</vt:lpstr>
      <vt:lpstr>D_limit_nom</vt:lpstr>
      <vt:lpstr>Dc_CCM_VIN_max</vt:lpstr>
      <vt:lpstr>Dc_CCM_VIN_min</vt:lpstr>
      <vt:lpstr>Dc_CCM_VIN_nom</vt:lpstr>
      <vt:lpstr>Dc_DCM_VIN_nom</vt:lpstr>
      <vt:lpstr>Dc_max_IC</vt:lpstr>
      <vt:lpstr>Dc_max_ideal</vt:lpstr>
      <vt:lpstr>Dc_Mode</vt:lpstr>
      <vt:lpstr>Dc_Mode_Loop</vt:lpstr>
      <vt:lpstr>Dc_rip_max</vt:lpstr>
      <vt:lpstr>Dc_VIN_max</vt:lpstr>
      <vt:lpstr>Dc_VIN_min</vt:lpstr>
      <vt:lpstr>Dc_VIN_nom</vt:lpstr>
      <vt:lpstr>EFF_est</vt:lpstr>
      <vt:lpstr>Eff_vs_IOUT</vt:lpstr>
      <vt:lpstr>fcross</vt:lpstr>
      <vt:lpstr>fcross_est</vt:lpstr>
      <vt:lpstr>fp_ea_est</vt:lpstr>
      <vt:lpstr>Fsw</vt:lpstr>
      <vt:lpstr>fz_ea_est</vt:lpstr>
      <vt:lpstr>fz_rhp</vt:lpstr>
      <vt:lpstr>Gcomp</vt:lpstr>
      <vt:lpstr>Gea_mid_calc</vt:lpstr>
      <vt:lpstr>gfs</vt:lpstr>
      <vt:lpstr>gm_ea</vt:lpstr>
      <vt:lpstr>Gplant_fc_dB</vt:lpstr>
      <vt:lpstr>IIN_33</vt:lpstr>
      <vt:lpstr>IL_avg_VIN_max</vt:lpstr>
      <vt:lpstr>IL_avg_VIN_min</vt:lpstr>
      <vt:lpstr>IL_avg_VIN_nom</vt:lpstr>
      <vt:lpstr>IL_pk</vt:lpstr>
      <vt:lpstr>IL_pk_max</vt:lpstr>
      <vt:lpstr>ILp_VINmax</vt:lpstr>
      <vt:lpstr>ILp_VINmin</vt:lpstr>
      <vt:lpstr>ILp_VINnom</vt:lpstr>
      <vt:lpstr>ILrip</vt:lpstr>
      <vt:lpstr>ILrip_VINmax</vt:lpstr>
      <vt:lpstr>ILrip_VINmin</vt:lpstr>
      <vt:lpstr>ILrip_VINnom</vt:lpstr>
      <vt:lpstr>IOUT</vt:lpstr>
      <vt:lpstr>Ipk_margin</vt:lpstr>
      <vt:lpstr>Ipk_selected</vt:lpstr>
      <vt:lpstr>IQ</vt:lpstr>
      <vt:lpstr>IRMS_COUT</vt:lpstr>
      <vt:lpstr>Isl</vt:lpstr>
      <vt:lpstr>Iss</vt:lpstr>
      <vt:lpstr>Kslope</vt:lpstr>
      <vt:lpstr>L_DCM</vt:lpstr>
      <vt:lpstr>Lm</vt:lpstr>
      <vt:lpstr>Lopt</vt:lpstr>
      <vt:lpstr>Lopt_2</vt:lpstr>
      <vt:lpstr>POUT</vt:lpstr>
      <vt:lpstr>'Design Converter'!Print_Area</vt:lpstr>
      <vt:lpstr>Q</vt:lpstr>
      <vt:lpstr>Q_VINmin</vt:lpstr>
      <vt:lpstr>Qg_tot</vt:lpstr>
      <vt:lpstr>Qgd</vt:lpstr>
      <vt:lpstr>Qgs</vt:lpstr>
      <vt:lpstr>Qrr</vt:lpstr>
      <vt:lpstr>R_cs</vt:lpstr>
      <vt:lpstr>R_sl</vt:lpstr>
      <vt:lpstr>RCOMP</vt:lpstr>
      <vt:lpstr>Rcomp_calc</vt:lpstr>
      <vt:lpstr>Rcs_max</vt:lpstr>
      <vt:lpstr>Rcs_w_sl</vt:lpstr>
      <vt:lpstr>Rcs_wo_sl</vt:lpstr>
      <vt:lpstr>Rdcr</vt:lpstr>
      <vt:lpstr>RDS_on</vt:lpstr>
      <vt:lpstr>Resr</vt:lpstr>
      <vt:lpstr>RFBB</vt:lpstr>
      <vt:lpstr>RFBB_calc</vt:lpstr>
      <vt:lpstr>RFBT</vt:lpstr>
      <vt:lpstr>Rgate</vt:lpstr>
      <vt:lpstr>ROUT</vt:lpstr>
      <vt:lpstr>Rsl_int</vt:lpstr>
      <vt:lpstr>Rsl_max</vt:lpstr>
      <vt:lpstr>RT</vt:lpstr>
      <vt:lpstr>Ruvlo_bottom_calc</vt:lpstr>
      <vt:lpstr>Ruvlo_top</vt:lpstr>
      <vt:lpstr>Ruvlo_top_calc</vt:lpstr>
      <vt:lpstr>SCH_1</vt:lpstr>
      <vt:lpstr>SCH_2</vt:lpstr>
      <vt:lpstr>Se_VINmin</vt:lpstr>
      <vt:lpstr>Sn_VINmin</vt:lpstr>
      <vt:lpstr>tf_sw</vt:lpstr>
      <vt:lpstr>tr_sw</vt:lpstr>
      <vt:lpstr>tss</vt:lpstr>
      <vt:lpstr>UV_fall</vt:lpstr>
      <vt:lpstr>UV_I_hyst</vt:lpstr>
      <vt:lpstr>UV_rise</vt:lpstr>
      <vt:lpstr>Vcc</vt:lpstr>
      <vt:lpstr>Vcl</vt:lpstr>
      <vt:lpstr>Vd_rect</vt:lpstr>
      <vt:lpstr>VIN_33</vt:lpstr>
      <vt:lpstr>VIN_max</vt:lpstr>
      <vt:lpstr>VIN_min</vt:lpstr>
      <vt:lpstr>VIN_nom</vt:lpstr>
      <vt:lpstr>VIN_op_max</vt:lpstr>
      <vt:lpstr>VIN_op_max_56</vt:lpstr>
      <vt:lpstr>VIN_op_min</vt:lpstr>
      <vt:lpstr>VIN_var</vt:lpstr>
      <vt:lpstr>VOUT</vt:lpstr>
      <vt:lpstr>Vout_rip_sel</vt:lpstr>
      <vt:lpstr>Vref</vt:lpstr>
      <vt:lpstr>Vth</vt:lpstr>
      <vt:lpstr>Vuvlo_off</vt:lpstr>
      <vt:lpstr>Vuvlo_on</vt:lpstr>
      <vt:lpstr>wp_hf</vt:lpstr>
      <vt:lpstr>wp_lf</vt:lpstr>
      <vt:lpstr>wp_lf_VINmin</vt:lpstr>
      <vt:lpstr>wp0_ea</vt:lpstr>
      <vt:lpstr>wp1_ea</vt:lpstr>
      <vt:lpstr>wsl</vt:lpstr>
      <vt:lpstr>wsl_VINmin</vt:lpstr>
      <vt:lpstr>wz_ea</vt:lpstr>
      <vt:lpstr>wz_esr</vt:lpstr>
      <vt:lpstr>wz_esr_VINmin</vt:lpstr>
      <vt:lpstr>wz_rhp</vt:lpstr>
      <vt:lpstr>wz_RHP_VINmin</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BMC-BCS</dc:creator>
  <cp:lastModifiedBy>Chun-Lin Chen</cp:lastModifiedBy>
  <cp:lastPrinted>2018-08-09T07:13:51Z</cp:lastPrinted>
  <dcterms:created xsi:type="dcterms:W3CDTF">2018-06-26T09:13:29Z</dcterms:created>
  <dcterms:modified xsi:type="dcterms:W3CDTF">2025-12-28T02:53:00Z</dcterms:modified>
</cp:coreProperties>
</file>