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24226"/>
  <mc:AlternateContent xmlns:mc="http://schemas.openxmlformats.org/markup-compatibility/2006">
    <mc:Choice Requires="x15">
      <x15ac:absPath xmlns:x15ac="http://schemas.microsoft.com/office/spreadsheetml/2010/11/ac" url="/Users/johnson/Projects/nixietube_clock/doc/datasheet/snvc224b/"/>
    </mc:Choice>
  </mc:AlternateContent>
  <xr:revisionPtr revIDLastSave="0" documentId="13_ncr:1_{53902452-6F48-3B45-9508-5C2DE6016FB5}" xr6:coauthVersionLast="47" xr6:coauthVersionMax="47" xr10:uidLastSave="{00000000-0000-0000-0000-000000000000}"/>
  <workbookProtection workbookAlgorithmName="SHA-512" workbookHashValue="gc34FGggw3Ir8zQVSgaZChUqrVvVKYZwhSXpduqtPUD6nQuIaEe42JJKFmE/OmtpkzYp1ZfCj82eR88ZFlGbkQ==" workbookSaltValue="MvI2n84VClkXRpVOZBZk3g==" workbookSpinCount="100000" lockStructure="1"/>
  <bookViews>
    <workbookView xWindow="0" yWindow="800" windowWidth="36000" windowHeight="22580" xr2:uid="{00000000-000D-0000-FFFF-FFFF00000000}"/>
  </bookViews>
  <sheets>
    <sheet name="Design Converter" sheetId="1" r:id="rId1"/>
    <sheet name="Variable_Management" sheetId="2" state="hidden" r:id="rId2"/>
    <sheet name="Eff_vs_IOUT" sheetId="4" state="hidden" r:id="rId3"/>
    <sheet name="Loop_Modeling" sheetId="5" state="hidden" r:id="rId4"/>
    <sheet name="Constants" sheetId="3" state="hidden" r:id="rId5"/>
    <sheet name="Plot_Management_Eff" sheetId="6" state="hidden" r:id="rId6"/>
    <sheet name="Plot_Management_Sch" sheetId="7" state="hidden" r:id="rId7"/>
    <sheet name="Lists" sheetId="8" state="hidden" r:id="rId8"/>
    <sheet name="Licenses" sheetId="10" r:id="rId9"/>
    <sheet name="Sheet1" sheetId="9" state="hidden" r:id="rId10"/>
  </sheets>
  <externalReferences>
    <externalReference r:id="rId11"/>
  </externalReferences>
  <definedNames>
    <definedName name="Acs">Constants!$B$30</definedName>
    <definedName name="Adc">Loop_Modeling!$B$35</definedName>
    <definedName name="Adc_ea">Loop_Modeling!$B$61</definedName>
    <definedName name="ADC_VINmin">Variable_Management!$B$189</definedName>
    <definedName name="CCOMP">Variable_Management!$B$230</definedName>
    <definedName name="CComp_calc">Variable_Management!$B$229</definedName>
    <definedName name="CHF">Variable_Management!$B$232</definedName>
    <definedName name="Comp_calc">Variable_Management!$B$229</definedName>
    <definedName name="CondMode">OFFSET(Lists!$B$9,0,0,COUNTIF(Lists!$B$9:$B$11,"?CM*"),1)</definedName>
    <definedName name="Cout">Variable_Management!$B$155</definedName>
    <definedName name="Cout_min">Variable_Management!$B$153</definedName>
    <definedName name="D_limit_max">Constants!$B$18</definedName>
    <definedName name="D_limit_min">Constants!$B$16</definedName>
    <definedName name="D_limit_nom">Constants!$B$17</definedName>
    <definedName name="Dc_CCM_VIN_max">Variable_Management!$B$50</definedName>
    <definedName name="Dc_CCM_VIN_min">Variable_Management!$B$42</definedName>
    <definedName name="Dc_CCM_VIN_nom">Variable_Management!$B$46</definedName>
    <definedName name="Dc_DCM_VIN_nom">Variable_Management!$B$62</definedName>
    <definedName name="Dc_max_IC">Variable_Management!$B$21</definedName>
    <definedName name="Dc_max_ideal">Variable_Management!$A$20</definedName>
    <definedName name="Dc_Mode">Variable_Management!$B$36</definedName>
    <definedName name="Dc_Mode_Loop">Loop_Modeling!$B$14</definedName>
    <definedName name="Dc_rip_max">Variable_Management!$B$79</definedName>
    <definedName name="Dc_VIN_max">Variable_Management!$B$31</definedName>
    <definedName name="Dc_VIN_min">Variable_Management!$B$23</definedName>
    <definedName name="Dc_VIN_nom">Variable_Management!$B$27</definedName>
    <definedName name="display_SCH">INDIRECT(Plot_Management_Sch!$A$1)</definedName>
    <definedName name="EFF_est">Variable_Management!$B$17</definedName>
    <definedName name="Eff_vs_IOUT">Plot_Management_Eff!$C$3</definedName>
    <definedName name="fcross">Variable_Management!$B$213</definedName>
    <definedName name="fcross_est">Variable_Management!$B$212</definedName>
    <definedName name="FIR_BYPASSED">'[1]Digital Filter'!$T$84</definedName>
    <definedName name="fp_ea_est">Variable_Management!$B$223</definedName>
    <definedName name="Fsw">Variable_Management!$B$10</definedName>
    <definedName name="fz_ea_est">Variable_Management!$B$221</definedName>
    <definedName name="fz_rhp">Variable_Management!$B$198</definedName>
    <definedName name="Gcomp">Constants!$B$29</definedName>
    <definedName name="Gea_mid_calc">Variable_Management!$B$217</definedName>
    <definedName name="gfs">Variable_Management!$B$249</definedName>
    <definedName name="gm_ea">Constants!$B$34</definedName>
    <definedName name="Gplant_fc_dB">Loop_Modeling!$AD$7</definedName>
    <definedName name="IIN_33">Variable_Management!$B$81</definedName>
    <definedName name="IL_avg_VIN_max">Variable_Management!$B$33</definedName>
    <definedName name="IL_avg_VIN_min">Variable_Management!$B$25</definedName>
    <definedName name="IL_avg_VIN_nom">Variable_Management!$B$29</definedName>
    <definedName name="IL_pk">Variable_Management!$B$142</definedName>
    <definedName name="IL_pk_max">Variable_Management!$B$143</definedName>
    <definedName name="ILp_VINmax">Variable_Management!$B$119</definedName>
    <definedName name="ILp_VINmin">Variable_Management!$B$113</definedName>
    <definedName name="ILp_VINnom">Variable_Management!$B$116</definedName>
    <definedName name="ILrip">Variable_Management!$B$71</definedName>
    <definedName name="ILrip_VINmax">Variable_Management!$B$118</definedName>
    <definedName name="ILrip_VINmin">Variable_Management!$B$112</definedName>
    <definedName name="ILrip_VINnom">Variable_Management!$B$115</definedName>
    <definedName name="IOUT">Variable_Management!$B$14</definedName>
    <definedName name="Ipk_margin">Variable_Management!$B$122</definedName>
    <definedName name="Ipk_selected">Variable_Management!$B$123</definedName>
    <definedName name="IQ">Constants!$B$48</definedName>
    <definedName name="IRMS_COUT">Variable_Management!$B$154</definedName>
    <definedName name="Isl">Constants!$B$25</definedName>
    <definedName name="Iss">Constants!$B$37</definedName>
    <definedName name="Kslope">Variable_Management!$B$130</definedName>
    <definedName name="L_DCM">Variable_Management!$B$89</definedName>
    <definedName name="Lm">Variable_Management!$B$84</definedName>
    <definedName name="Lopt">Variable_Management!$B$76</definedName>
    <definedName name="Lopt_2">Variable_Management!$B$82</definedName>
    <definedName name="POUT">Variable_Management!$B$16</definedName>
    <definedName name="_xlnm.Print_Area" localSheetId="0">'Design Converter'!$A$1:$Z$100</definedName>
    <definedName name="Q">Loop_Modeling!$B$49</definedName>
    <definedName name="Q_VINmin">Variable_Management!$B$206</definedName>
    <definedName name="Qg_tot">Variable_Management!$B$244</definedName>
    <definedName name="Qgd">Variable_Management!$B$245</definedName>
    <definedName name="Qgs">Variable_Management!$B$246</definedName>
    <definedName name="Qrr">Variable_Management!$B$239</definedName>
    <definedName name="R_cs">Variable_Management!$B$138</definedName>
    <definedName name="R_sl">Variable_Management!$B$139</definedName>
    <definedName name="RCOMP">Variable_Management!$B$228</definedName>
    <definedName name="Rcomp_calc">Variable_Management!$B$227</definedName>
    <definedName name="Rcs_max">Variable_Management!$B$127</definedName>
    <definedName name="Rcs_w_sl">Variable_Management!$B$131</definedName>
    <definedName name="Rcs_wo_sl">Variable_Management!$B$128</definedName>
    <definedName name="Rdcr">Variable_Management!$B$85</definedName>
    <definedName name="RDS_on">Variable_Management!$B$243</definedName>
    <definedName name="Resr">Variable_Management!$B$156</definedName>
    <definedName name="RFBB">Variable_Management!$B$184</definedName>
    <definedName name="RFBB_calc">Variable_Management!$B$183</definedName>
    <definedName name="RFBT">Variable_Management!$B$182</definedName>
    <definedName name="Rgate">Variable_Management!$B$247</definedName>
    <definedName name="ROUT">Variable_Management!$B$15</definedName>
    <definedName name="Rsl_int">Constants!$B$26</definedName>
    <definedName name="Rsl_max">Constants!$B$28</definedName>
    <definedName name="RT">Variable_Management!$B$11</definedName>
    <definedName name="Ruvlo_bottom_calc">Variable_Management!$B$173</definedName>
    <definedName name="Ruvlo_top">Variable_Management!$B$172</definedName>
    <definedName name="Ruvlo_top_calc">Variable_Management!$B$171</definedName>
    <definedName name="SCH_1">Plot_Management_Sch!$B$2</definedName>
    <definedName name="SCH_2">Plot_Management_Sch!$B$4</definedName>
    <definedName name="Se_VINmin">Variable_Management!$B$202</definedName>
    <definedName name="Sn_VINmin">Variable_Management!$B$203</definedName>
    <definedName name="tf_sw">Variable_Management!$B$256</definedName>
    <definedName name="tr_sw">Variable_Management!$B$255</definedName>
    <definedName name="tss">Variable_Management!$B$162</definedName>
    <definedName name="UV_fall">Constants!$B$41</definedName>
    <definedName name="UV_I_hyst">Constants!$B$42</definedName>
    <definedName name="UV_rise">Constants!$B$40</definedName>
    <definedName name="Vcc">Constants!$B$45</definedName>
    <definedName name="Vcl">Constants!$B$27</definedName>
    <definedName name="Vd_rect">Variable_Management!$B$238</definedName>
    <definedName name="VIN_33">Variable_Management!$B$80</definedName>
    <definedName name="VIN_max">Variable_Management!$B$9</definedName>
    <definedName name="VIN_min">Variable_Management!$B$7</definedName>
    <definedName name="VIN_nom">Variable_Management!$B$8</definedName>
    <definedName name="VIN_op_max">Constants!$B$52</definedName>
    <definedName name="VIN_op_max_56">Constants!$B$53</definedName>
    <definedName name="VIN_op_min">Constants!$B$51</definedName>
    <definedName name="VIN_var">Variable_Management!$B$8</definedName>
    <definedName name="VOUT">Variable_Management!$B$13</definedName>
    <definedName name="Vout_rip_sel">Variable_Management!$B$152</definedName>
    <definedName name="Vref">Constants!$B$33</definedName>
    <definedName name="Vth">Variable_Management!$B$250</definedName>
    <definedName name="Vuvlo_off">Variable_Management!$B$167</definedName>
    <definedName name="Vuvlo_on">Variable_Management!$B$166</definedName>
    <definedName name="wp_hf">Loop_Modeling!$B$50</definedName>
    <definedName name="wp_lf">Loop_Modeling!$B$36</definedName>
    <definedName name="wp_lf_VINmin">Variable_Management!$B$191</definedName>
    <definedName name="wp0_ea">Loop_Modeling!$B$63</definedName>
    <definedName name="wp1_ea">Loop_Modeling!$B$64</definedName>
    <definedName name="wsl">Loop_Modeling!$B$48</definedName>
    <definedName name="wsl_VINmin">Variable_Management!$B$205</definedName>
    <definedName name="wz_ea">Loop_Modeling!$B$62</definedName>
    <definedName name="wz_esr">Loop_Modeling!$B$42</definedName>
    <definedName name="wz_esr_VINmin">Variable_Management!$B$194</definedName>
    <definedName name="wz_rhp">Loop_Modeling!$B$39</definedName>
    <definedName name="wz_RHP_VINmin">Variable_Management!$B$197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 i="7" l="1"/>
  <c r="B36" i="2" l="1"/>
  <c r="M126" i="2"/>
  <c r="B2" i="6"/>
  <c r="B48" i="3"/>
  <c r="B251" i="2"/>
  <c r="B250" i="2"/>
  <c r="B249" i="2"/>
  <c r="B247" i="2"/>
  <c r="B246" i="2"/>
  <c r="B245" i="2"/>
  <c r="B244" i="2"/>
  <c r="B243" i="2"/>
  <c r="B239" i="2"/>
  <c r="B238" i="2"/>
  <c r="B172" i="2"/>
  <c r="B42" i="3"/>
  <c r="B170" i="2" s="1"/>
  <c r="B169" i="2"/>
  <c r="B168" i="2"/>
  <c r="B167" i="2"/>
  <c r="B166" i="2"/>
  <c r="B162" i="2"/>
  <c r="B37" i="3"/>
  <c r="B160" i="2" s="1"/>
  <c r="B213" i="2"/>
  <c r="O8" i="5" s="1"/>
  <c r="B34" i="3"/>
  <c r="O548" i="5"/>
  <c r="O549" i="5"/>
  <c r="O550" i="5"/>
  <c r="O551" i="5"/>
  <c r="O552" i="5"/>
  <c r="O553" i="5"/>
  <c r="O554" i="5"/>
  <c r="O555" i="5"/>
  <c r="O556" i="5"/>
  <c r="O557" i="5"/>
  <c r="O558" i="5"/>
  <c r="O559" i="5"/>
  <c r="O560" i="5"/>
  <c r="O537" i="5"/>
  <c r="O538" i="5"/>
  <c r="O539" i="5"/>
  <c r="O540" i="5"/>
  <c r="O541" i="5"/>
  <c r="O542" i="5"/>
  <c r="O543" i="5"/>
  <c r="O544" i="5"/>
  <c r="O545" i="5"/>
  <c r="O546" i="5"/>
  <c r="O547" i="5"/>
  <c r="O520" i="5"/>
  <c r="O521" i="5"/>
  <c r="O522" i="5"/>
  <c r="O523" i="5"/>
  <c r="O524" i="5"/>
  <c r="O525" i="5"/>
  <c r="O526" i="5"/>
  <c r="O527" i="5"/>
  <c r="O528" i="5"/>
  <c r="O529" i="5"/>
  <c r="O530" i="5"/>
  <c r="O531" i="5"/>
  <c r="O532" i="5"/>
  <c r="O533" i="5"/>
  <c r="O534" i="5"/>
  <c r="O535" i="5"/>
  <c r="O536" i="5"/>
  <c r="O5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4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3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2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1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9" i="5"/>
  <c r="B29" i="3"/>
  <c r="B31" i="5" s="1"/>
  <c r="B182" i="2"/>
  <c r="B55" i="5" s="1"/>
  <c r="B184" i="2"/>
  <c r="B56" i="5" s="1"/>
  <c r="B230" i="2"/>
  <c r="B232" i="2"/>
  <c r="B59" i="5" s="1"/>
  <c r="B228" i="2"/>
  <c r="B28" i="5"/>
  <c r="B156" i="2"/>
  <c r="B155" i="2"/>
  <c r="B152" i="2"/>
  <c r="B144" i="2"/>
  <c r="B139" i="2"/>
  <c r="B27" i="5" s="1"/>
  <c r="B138" i="2"/>
  <c r="B26" i="5" s="1"/>
  <c r="B27" i="3"/>
  <c r="B25" i="3"/>
  <c r="B122" i="2"/>
  <c r="B85" i="2"/>
  <c r="B84" i="2"/>
  <c r="B22" i="3"/>
  <c r="B71" i="2"/>
  <c r="B10" i="2"/>
  <c r="B14" i="3"/>
  <c r="B12" i="3"/>
  <c r="B10" i="3"/>
  <c r="B17" i="2"/>
  <c r="B14" i="2"/>
  <c r="H85" i="1" s="1"/>
  <c r="B13" i="2"/>
  <c r="B9" i="2"/>
  <c r="B5" i="8" s="1"/>
  <c r="B8" i="2"/>
  <c r="T121" i="4" s="1"/>
  <c r="B7" i="2"/>
  <c r="B21" i="5" l="1"/>
  <c r="AP87" i="4"/>
  <c r="B10" i="5"/>
  <c r="B89" i="2"/>
  <c r="B194" i="2"/>
  <c r="B195" i="2" s="1"/>
  <c r="B63" i="5"/>
  <c r="AG446" i="5" s="1"/>
  <c r="AI446" i="5" s="1"/>
  <c r="T130" i="4"/>
  <c r="AQ130" i="4" s="1"/>
  <c r="T118" i="4"/>
  <c r="AQ118" i="4" s="1"/>
  <c r="T29" i="4"/>
  <c r="AQ29" i="4" s="1"/>
  <c r="T31" i="4"/>
  <c r="AQ31" i="4" s="1"/>
  <c r="T63" i="4"/>
  <c r="T138" i="4"/>
  <c r="AQ138" i="4" s="1"/>
  <c r="T126" i="4"/>
  <c r="AQ126" i="4" s="1"/>
  <c r="T49" i="4"/>
  <c r="AQ49" i="4" s="1"/>
  <c r="T19" i="4"/>
  <c r="AQ19" i="4" s="1"/>
  <c r="T74" i="4"/>
  <c r="AQ74" i="4" s="1"/>
  <c r="T54" i="4"/>
  <c r="AQ54" i="4" s="1"/>
  <c r="T28" i="4"/>
  <c r="AQ28" i="4" s="1"/>
  <c r="T132" i="4"/>
  <c r="AQ132" i="4" s="1"/>
  <c r="T13" i="4"/>
  <c r="AQ13" i="4" s="1"/>
  <c r="T144" i="4"/>
  <c r="AQ144" i="4" s="1"/>
  <c r="T124" i="4"/>
  <c r="AQ124" i="4" s="1"/>
  <c r="T151" i="4"/>
  <c r="AQ151" i="4" s="1"/>
  <c r="T88" i="4"/>
  <c r="AQ88" i="4" s="1"/>
  <c r="T76" i="4"/>
  <c r="AQ76" i="4" s="1"/>
  <c r="R84" i="4"/>
  <c r="B36" i="5"/>
  <c r="Q96" i="5" s="1"/>
  <c r="T33" i="4"/>
  <c r="AQ33" i="4" s="1"/>
  <c r="B35" i="5"/>
  <c r="T79" i="4"/>
  <c r="AQ79" i="4" s="1"/>
  <c r="B58" i="5"/>
  <c r="R62" i="4"/>
  <c r="B15" i="2"/>
  <c r="R143" i="4"/>
  <c r="B16" i="2"/>
  <c r="H15" i="1" s="1"/>
  <c r="B20" i="5"/>
  <c r="R79" i="4"/>
  <c r="R105" i="4"/>
  <c r="R34" i="4"/>
  <c r="B45" i="5"/>
  <c r="B11" i="2"/>
  <c r="H13" i="1" s="1"/>
  <c r="B19" i="3"/>
  <c r="B20" i="3" s="1"/>
  <c r="B21" i="2" s="1"/>
  <c r="H16" i="1" s="1"/>
  <c r="B13" i="5"/>
  <c r="AP56" i="4"/>
  <c r="K21" i="2"/>
  <c r="AP30" i="4"/>
  <c r="AP116" i="4"/>
  <c r="AP115" i="4"/>
  <c r="AP66" i="4"/>
  <c r="AP49" i="4"/>
  <c r="O12" i="4"/>
  <c r="T30" i="4"/>
  <c r="AQ30" i="4" s="1"/>
  <c r="T152" i="4"/>
  <c r="AQ152" i="4" s="1"/>
  <c r="T82" i="4"/>
  <c r="AQ82" i="4" s="1"/>
  <c r="T27" i="4"/>
  <c r="AQ27" i="4" s="1"/>
  <c r="T137" i="4"/>
  <c r="AQ137" i="4" s="1"/>
  <c r="T105" i="4"/>
  <c r="AQ105" i="4" s="1"/>
  <c r="T80" i="4"/>
  <c r="AQ80" i="4" s="1"/>
  <c r="T24" i="4"/>
  <c r="AQ24" i="4" s="1"/>
  <c r="T62" i="4"/>
  <c r="AQ62" i="4" s="1"/>
  <c r="T93" i="4"/>
  <c r="AQ93" i="4" s="1"/>
  <c r="R141" i="4"/>
  <c r="R133" i="4"/>
  <c r="R98" i="4"/>
  <c r="R155" i="4"/>
  <c r="R76" i="4"/>
  <c r="T136" i="4"/>
  <c r="AQ136" i="4" s="1"/>
  <c r="T21" i="4"/>
  <c r="AQ21" i="4" s="1"/>
  <c r="T110" i="4"/>
  <c r="AQ110" i="4" s="1"/>
  <c r="T133" i="4"/>
  <c r="AQ133" i="4" s="1"/>
  <c r="T59" i="4"/>
  <c r="AQ59" i="4" s="1"/>
  <c r="B39" i="5"/>
  <c r="W161" i="5" s="1"/>
  <c r="Y161" i="5" s="1"/>
  <c r="T128" i="4"/>
  <c r="AQ128" i="4" s="1"/>
  <c r="T64" i="4"/>
  <c r="AQ64" i="4" s="1"/>
  <c r="T15" i="4"/>
  <c r="AQ15" i="4" s="1"/>
  <c r="T122" i="4"/>
  <c r="AQ122" i="4" s="1"/>
  <c r="T58" i="4"/>
  <c r="AQ58" i="4" s="1"/>
  <c r="T108" i="4"/>
  <c r="AQ108" i="4" s="1"/>
  <c r="T60" i="4"/>
  <c r="AQ60" i="4" s="1"/>
  <c r="T16" i="4"/>
  <c r="AQ16" i="4" s="1"/>
  <c r="T102" i="4"/>
  <c r="AQ102" i="4" s="1"/>
  <c r="T40" i="4"/>
  <c r="AQ40" i="4" s="1"/>
  <c r="T9" i="4"/>
  <c r="AQ9" i="4" s="1"/>
  <c r="T147" i="4"/>
  <c r="AQ147" i="4" s="1"/>
  <c r="T131" i="4"/>
  <c r="AQ131" i="4" s="1"/>
  <c r="T115" i="4"/>
  <c r="AQ115" i="4" s="1"/>
  <c r="T101" i="4"/>
  <c r="AQ101" i="4" s="1"/>
  <c r="T87" i="4"/>
  <c r="AQ87" i="4" s="1"/>
  <c r="T73" i="4"/>
  <c r="T57" i="4"/>
  <c r="AQ57" i="4" s="1"/>
  <c r="T43" i="4"/>
  <c r="AQ43" i="4" s="1"/>
  <c r="T103" i="4"/>
  <c r="AQ103" i="4" s="1"/>
  <c r="T77" i="4"/>
  <c r="AQ77" i="4" s="1"/>
  <c r="T25" i="4"/>
  <c r="AQ25" i="4" s="1"/>
  <c r="T72" i="4"/>
  <c r="AQ72" i="4" s="1"/>
  <c r="T66" i="4"/>
  <c r="AQ66" i="4" s="1"/>
  <c r="T20" i="4"/>
  <c r="AQ20" i="4" s="1"/>
  <c r="T149" i="4"/>
  <c r="AQ149" i="4" s="1"/>
  <c r="T75" i="4"/>
  <c r="AQ75" i="4" s="1"/>
  <c r="T120" i="4"/>
  <c r="AQ120" i="4" s="1"/>
  <c r="T56" i="4"/>
  <c r="AQ56" i="4" s="1"/>
  <c r="T12" i="4"/>
  <c r="AQ12" i="4" s="1"/>
  <c r="T114" i="4"/>
  <c r="AQ114" i="4" s="1"/>
  <c r="T50" i="4"/>
  <c r="AQ50" i="4" s="1"/>
  <c r="T14" i="4"/>
  <c r="AQ14" i="4" s="1"/>
  <c r="T52" i="4"/>
  <c r="AQ52" i="4" s="1"/>
  <c r="T8" i="4"/>
  <c r="AQ8" i="4" s="1"/>
  <c r="T94" i="4"/>
  <c r="AQ94" i="4" s="1"/>
  <c r="T37" i="4"/>
  <c r="AQ37" i="4" s="1"/>
  <c r="T145" i="4"/>
  <c r="AQ145" i="4" s="1"/>
  <c r="T129" i="4"/>
  <c r="AQ129" i="4" s="1"/>
  <c r="T113" i="4"/>
  <c r="AQ113" i="4" s="1"/>
  <c r="T99" i="4"/>
  <c r="AQ99" i="4" s="1"/>
  <c r="T71" i="4"/>
  <c r="AQ71" i="4" s="1"/>
  <c r="T55" i="4"/>
  <c r="AQ55" i="4" s="1"/>
  <c r="T41" i="4"/>
  <c r="AQ41" i="4" s="1"/>
  <c r="T17" i="4"/>
  <c r="AQ17" i="4" s="1"/>
  <c r="T89" i="4"/>
  <c r="AQ89" i="4" s="1"/>
  <c r="O9" i="4"/>
  <c r="T112" i="4"/>
  <c r="AQ112" i="4" s="1"/>
  <c r="T48" i="4"/>
  <c r="AQ48" i="4" s="1"/>
  <c r="T106" i="4"/>
  <c r="AQ106" i="4" s="1"/>
  <c r="T42" i="4"/>
  <c r="AQ42" i="4" s="1"/>
  <c r="T156" i="4"/>
  <c r="AQ156" i="4" s="1"/>
  <c r="T100" i="4"/>
  <c r="AQ100" i="4" s="1"/>
  <c r="T44" i="4"/>
  <c r="AQ44" i="4" s="1"/>
  <c r="T150" i="4"/>
  <c r="AQ150" i="4" s="1"/>
  <c r="T86" i="4"/>
  <c r="AQ86" i="4" s="1"/>
  <c r="T26" i="4"/>
  <c r="AQ26" i="4" s="1"/>
  <c r="T157" i="4"/>
  <c r="AQ157" i="4" s="1"/>
  <c r="T143" i="4"/>
  <c r="AQ143" i="4" s="1"/>
  <c r="T127" i="4"/>
  <c r="AQ127" i="4" s="1"/>
  <c r="T111" i="4"/>
  <c r="AQ111" i="4" s="1"/>
  <c r="T97" i="4"/>
  <c r="AQ97" i="4" s="1"/>
  <c r="T85" i="4"/>
  <c r="AQ85" i="4" s="1"/>
  <c r="T69" i="4"/>
  <c r="AQ69" i="4" s="1"/>
  <c r="T38" i="4"/>
  <c r="AQ38" i="4" s="1"/>
  <c r="T135" i="4"/>
  <c r="AQ135" i="4" s="1"/>
  <c r="T91" i="4"/>
  <c r="AQ91" i="4" s="1"/>
  <c r="T47" i="4"/>
  <c r="AQ47" i="4" s="1"/>
  <c r="B46" i="5"/>
  <c r="T68" i="4"/>
  <c r="AQ68" i="4" s="1"/>
  <c r="T11" i="4"/>
  <c r="AQ11" i="4" s="1"/>
  <c r="T45" i="4"/>
  <c r="AQ45" i="4" s="1"/>
  <c r="T7" i="4"/>
  <c r="AQ7" i="4" s="1"/>
  <c r="T10" i="4"/>
  <c r="AQ10" i="4" s="1"/>
  <c r="T104" i="4"/>
  <c r="AQ104" i="4" s="1"/>
  <c r="T36" i="4"/>
  <c r="AQ36" i="4" s="1"/>
  <c r="T154" i="4"/>
  <c r="AQ154" i="4" s="1"/>
  <c r="T98" i="4"/>
  <c r="AQ98" i="4" s="1"/>
  <c r="T39" i="4"/>
  <c r="AQ39" i="4" s="1"/>
  <c r="T148" i="4"/>
  <c r="AQ148" i="4" s="1"/>
  <c r="T92" i="4"/>
  <c r="AQ92" i="4" s="1"/>
  <c r="T142" i="4"/>
  <c r="AQ142" i="4" s="1"/>
  <c r="T78" i="4"/>
  <c r="AQ78" i="4" s="1"/>
  <c r="T23" i="4"/>
  <c r="AQ23" i="4" s="1"/>
  <c r="T155" i="4"/>
  <c r="AQ155" i="4" s="1"/>
  <c r="T141" i="4"/>
  <c r="T125" i="4"/>
  <c r="AQ125" i="4" s="1"/>
  <c r="T109" i="4"/>
  <c r="AQ109" i="4" s="1"/>
  <c r="T95" i="4"/>
  <c r="AQ95" i="4" s="1"/>
  <c r="T83" i="4"/>
  <c r="AQ83" i="4" s="1"/>
  <c r="T67" i="4"/>
  <c r="AQ67" i="4" s="1"/>
  <c r="T53" i="4"/>
  <c r="AQ53" i="4" s="1"/>
  <c r="B11" i="5"/>
  <c r="T119" i="4"/>
  <c r="AQ119" i="4" s="1"/>
  <c r="T61" i="4"/>
  <c r="AQ61" i="4" s="1"/>
  <c r="T18" i="4"/>
  <c r="AQ18" i="4" s="1"/>
  <c r="T116" i="4"/>
  <c r="AQ116" i="4" s="1"/>
  <c r="T46" i="4"/>
  <c r="AQ46" i="4" s="1"/>
  <c r="T117" i="4"/>
  <c r="AQ117" i="4" s="1"/>
  <c r="T22" i="4"/>
  <c r="AQ22" i="4" s="1"/>
  <c r="B17" i="5"/>
  <c r="P15" i="5" s="1"/>
  <c r="T96" i="4"/>
  <c r="AQ96" i="4" s="1"/>
  <c r="T32" i="4"/>
  <c r="AQ32" i="4" s="1"/>
  <c r="T146" i="4"/>
  <c r="AQ146" i="4" s="1"/>
  <c r="T90" i="4"/>
  <c r="AQ90" i="4" s="1"/>
  <c r="T35" i="4"/>
  <c r="AQ35" i="4" s="1"/>
  <c r="T140" i="4"/>
  <c r="AQ140" i="4" s="1"/>
  <c r="T84" i="4"/>
  <c r="AQ84" i="4" s="1"/>
  <c r="T34" i="4"/>
  <c r="AQ34" i="4" s="1"/>
  <c r="T134" i="4"/>
  <c r="T70" i="4"/>
  <c r="AQ70" i="4" s="1"/>
  <c r="T153" i="4"/>
  <c r="AQ153" i="4" s="1"/>
  <c r="T139" i="4"/>
  <c r="AQ139" i="4" s="1"/>
  <c r="T123" i="4"/>
  <c r="AQ123" i="4" s="1"/>
  <c r="T107" i="4"/>
  <c r="AQ107" i="4" s="1"/>
  <c r="T81" i="4"/>
  <c r="AQ81" i="4" s="1"/>
  <c r="T65" i="4"/>
  <c r="AQ65" i="4" s="1"/>
  <c r="T51" i="4"/>
  <c r="AQ51" i="4" s="1"/>
  <c r="L126" i="2"/>
  <c r="K38" i="5"/>
  <c r="B24" i="5"/>
  <c r="R134" i="4"/>
  <c r="R96" i="4"/>
  <c r="R71" i="4"/>
  <c r="R20" i="4"/>
  <c r="AP109" i="4"/>
  <c r="AP59" i="4"/>
  <c r="AP25" i="4"/>
  <c r="B57" i="5"/>
  <c r="B62" i="5"/>
  <c r="AM272" i="5" s="1"/>
  <c r="R126" i="4"/>
  <c r="R77" i="4"/>
  <c r="R24" i="4"/>
  <c r="R39" i="4"/>
  <c r="AP45" i="4"/>
  <c r="AP104" i="4"/>
  <c r="R91" i="4"/>
  <c r="R69" i="4"/>
  <c r="R148" i="4"/>
  <c r="R21" i="4"/>
  <c r="AP37" i="4"/>
  <c r="AP111" i="4"/>
  <c r="R70" i="4"/>
  <c r="R12" i="4"/>
  <c r="R140" i="4"/>
  <c r="AP128" i="4"/>
  <c r="AP156" i="4"/>
  <c r="B42" i="2"/>
  <c r="B3" i="8"/>
  <c r="AP33" i="4"/>
  <c r="AP58" i="4"/>
  <c r="AP127" i="4"/>
  <c r="AP123" i="4"/>
  <c r="AP148" i="4"/>
  <c r="AP53" i="4"/>
  <c r="AP94" i="4"/>
  <c r="B199" i="2"/>
  <c r="AP81" i="4"/>
  <c r="AP74" i="4"/>
  <c r="AP120" i="4"/>
  <c r="AP20" i="4"/>
  <c r="AP15" i="4"/>
  <c r="AP117" i="4"/>
  <c r="AP142" i="4"/>
  <c r="AP89" i="4"/>
  <c r="AP130" i="4"/>
  <c r="AP11" i="4"/>
  <c r="AP28" i="4"/>
  <c r="AP64" i="4"/>
  <c r="AP133" i="4"/>
  <c r="AP150" i="4"/>
  <c r="AP97" i="4"/>
  <c r="AP138" i="4"/>
  <c r="AP43" i="4"/>
  <c r="AP36" i="4"/>
  <c r="AP88" i="4"/>
  <c r="AP14" i="4"/>
  <c r="AP7" i="4"/>
  <c r="AP153" i="4"/>
  <c r="AP154" i="4"/>
  <c r="AP51" i="4"/>
  <c r="AP92" i="4"/>
  <c r="AP144" i="4"/>
  <c r="AP22" i="4"/>
  <c r="AP32" i="4"/>
  <c r="R10" i="4"/>
  <c r="R135" i="4"/>
  <c r="AP110" i="4"/>
  <c r="AP100" i="4"/>
  <c r="AP26" i="4"/>
  <c r="AP86" i="4"/>
  <c r="AP139" i="4"/>
  <c r="AP10" i="4"/>
  <c r="R19" i="4"/>
  <c r="R30" i="4"/>
  <c r="R100" i="4"/>
  <c r="R14" i="4"/>
  <c r="R95" i="4"/>
  <c r="R9" i="4"/>
  <c r="R93" i="4"/>
  <c r="R157" i="4"/>
  <c r="R86" i="4"/>
  <c r="R150" i="4"/>
  <c r="B191" i="2"/>
  <c r="B192" i="2" s="1"/>
  <c r="B220" i="2" s="1"/>
  <c r="B221" i="2" s="1"/>
  <c r="R23" i="4"/>
  <c r="R44" i="4"/>
  <c r="R108" i="4"/>
  <c r="R38" i="4"/>
  <c r="R103" i="4"/>
  <c r="R18" i="4"/>
  <c r="R101" i="4"/>
  <c r="R22" i="4"/>
  <c r="R94" i="4"/>
  <c r="R8" i="4"/>
  <c r="R27" i="4"/>
  <c r="R52" i="4"/>
  <c r="R116" i="4"/>
  <c r="R47" i="4"/>
  <c r="R111" i="4"/>
  <c r="R45" i="4"/>
  <c r="R109" i="4"/>
  <c r="R40" i="4"/>
  <c r="R102" i="4"/>
  <c r="R35" i="4"/>
  <c r="R68" i="4"/>
  <c r="R132" i="4"/>
  <c r="R63" i="4"/>
  <c r="R127" i="4"/>
  <c r="R61" i="4"/>
  <c r="R125" i="4"/>
  <c r="R54" i="4"/>
  <c r="R118" i="4"/>
  <c r="R7" i="4"/>
  <c r="R37" i="4"/>
  <c r="R73" i="4"/>
  <c r="R137" i="4"/>
  <c r="R66" i="4"/>
  <c r="R130" i="4"/>
  <c r="R64" i="4"/>
  <c r="R128" i="4"/>
  <c r="R59" i="4"/>
  <c r="R123" i="4"/>
  <c r="B42" i="5"/>
  <c r="T64" i="5" s="1"/>
  <c r="B183" i="2"/>
  <c r="H61" i="1" s="1"/>
  <c r="B62" i="2"/>
  <c r="B66" i="2"/>
  <c r="Q51" i="1"/>
  <c r="B127" i="2"/>
  <c r="B141" i="2"/>
  <c r="K141" i="2" s="1"/>
  <c r="B254" i="2"/>
  <c r="B256" i="2" s="1"/>
  <c r="B163" i="2"/>
  <c r="H47" i="1" s="1"/>
  <c r="K8" i="2"/>
  <c r="B60" i="2"/>
  <c r="B58" i="2"/>
  <c r="B203" i="2"/>
  <c r="H57" i="1"/>
  <c r="B179" i="2" s="1"/>
  <c r="O7" i="5"/>
  <c r="B219" i="2"/>
  <c r="AQ121" i="4"/>
  <c r="B48" i="2"/>
  <c r="B50" i="2"/>
  <c r="B12" i="5"/>
  <c r="AP41" i="4"/>
  <c r="AP105" i="4"/>
  <c r="AP18" i="4"/>
  <c r="AP82" i="4"/>
  <c r="AP146" i="4"/>
  <c r="AP143" i="4"/>
  <c r="AP136" i="4"/>
  <c r="AP67" i="4"/>
  <c r="AP131" i="4"/>
  <c r="AP44" i="4"/>
  <c r="AP108" i="4"/>
  <c r="AP47" i="4"/>
  <c r="AP112" i="4"/>
  <c r="AP61" i="4"/>
  <c r="AP125" i="4"/>
  <c r="AP38" i="4"/>
  <c r="AP102" i="4"/>
  <c r="AP23" i="4"/>
  <c r="AP96" i="4"/>
  <c r="B48" i="5"/>
  <c r="B205" i="2"/>
  <c r="AP57" i="4"/>
  <c r="AP121" i="4"/>
  <c r="AP34" i="4"/>
  <c r="AP98" i="4"/>
  <c r="AP31" i="4"/>
  <c r="AP24" i="4"/>
  <c r="AP19" i="4"/>
  <c r="AP83" i="4"/>
  <c r="AP147" i="4"/>
  <c r="AP60" i="4"/>
  <c r="AP124" i="4"/>
  <c r="AP103" i="4"/>
  <c r="AP13" i="4"/>
  <c r="AP77" i="4"/>
  <c r="AP141" i="4"/>
  <c r="AP54" i="4"/>
  <c r="AP118" i="4"/>
  <c r="AP63" i="4"/>
  <c r="AP152" i="4"/>
  <c r="O15" i="4"/>
  <c r="K126" i="2"/>
  <c r="M8" i="4"/>
  <c r="AP65" i="4"/>
  <c r="AP129" i="4"/>
  <c r="AP42" i="4"/>
  <c r="AP106" i="4"/>
  <c r="AP55" i="4"/>
  <c r="AP48" i="4"/>
  <c r="AP27" i="4"/>
  <c r="AP91" i="4"/>
  <c r="AP155" i="4"/>
  <c r="AP68" i="4"/>
  <c r="AP132" i="4"/>
  <c r="AP135" i="4"/>
  <c r="AP21" i="4"/>
  <c r="AP85" i="4"/>
  <c r="AP149" i="4"/>
  <c r="AP62" i="4"/>
  <c r="AP126" i="4"/>
  <c r="AP95" i="4"/>
  <c r="J125" i="2"/>
  <c r="AP9" i="4"/>
  <c r="AP73" i="4"/>
  <c r="AP137" i="4"/>
  <c r="AP50" i="4"/>
  <c r="AP114" i="4"/>
  <c r="AP71" i="4"/>
  <c r="AP72" i="4"/>
  <c r="AP35" i="4"/>
  <c r="AP99" i="4"/>
  <c r="AP12" i="4"/>
  <c r="AP76" i="4"/>
  <c r="AP140" i="4"/>
  <c r="AP8" i="4"/>
  <c r="AP29" i="4"/>
  <c r="AP93" i="4"/>
  <c r="AP157" i="4"/>
  <c r="AP70" i="4"/>
  <c r="AP134" i="4"/>
  <c r="AP119" i="4"/>
  <c r="AP151" i="4"/>
  <c r="AP78" i="4"/>
  <c r="AP101" i="4"/>
  <c r="AP40" i="4"/>
  <c r="AP84" i="4"/>
  <c r="AP107" i="4"/>
  <c r="AP80" i="4"/>
  <c r="AP122" i="4"/>
  <c r="AP145" i="4"/>
  <c r="AP17" i="4"/>
  <c r="B39" i="2"/>
  <c r="H17" i="1" s="1"/>
  <c r="B189" i="2"/>
  <c r="P7" i="5" s="1"/>
  <c r="B197" i="2"/>
  <c r="B198" i="2" s="1"/>
  <c r="R25" i="4"/>
  <c r="R41" i="4"/>
  <c r="R49" i="4"/>
  <c r="R81" i="4"/>
  <c r="R113" i="4"/>
  <c r="R145" i="4"/>
  <c r="R42" i="4"/>
  <c r="R74" i="4"/>
  <c r="R106" i="4"/>
  <c r="R138" i="4"/>
  <c r="R32" i="4"/>
  <c r="R72" i="4"/>
  <c r="R104" i="4"/>
  <c r="R136" i="4"/>
  <c r="R26" i="4"/>
  <c r="R67" i="4"/>
  <c r="R99" i="4"/>
  <c r="R131" i="4"/>
  <c r="R13" i="4"/>
  <c r="B44" i="2"/>
  <c r="R29" i="4"/>
  <c r="R28" i="4"/>
  <c r="R57" i="4"/>
  <c r="R89" i="4"/>
  <c r="R121" i="4"/>
  <c r="R153" i="4"/>
  <c r="R50" i="4"/>
  <c r="R82" i="4"/>
  <c r="R114" i="4"/>
  <c r="R146" i="4"/>
  <c r="R48" i="4"/>
  <c r="R80" i="4"/>
  <c r="R112" i="4"/>
  <c r="R144" i="4"/>
  <c r="R43" i="4"/>
  <c r="R75" i="4"/>
  <c r="R107" i="4"/>
  <c r="R139" i="4"/>
  <c r="B52" i="2"/>
  <c r="R15" i="4"/>
  <c r="R31" i="4"/>
  <c r="R36" i="4"/>
  <c r="R60" i="4"/>
  <c r="R92" i="4"/>
  <c r="R124" i="4"/>
  <c r="R156" i="4"/>
  <c r="R55" i="4"/>
  <c r="R87" i="4"/>
  <c r="R119" i="4"/>
  <c r="R151" i="4"/>
  <c r="R53" i="4"/>
  <c r="R85" i="4"/>
  <c r="R117" i="4"/>
  <c r="R149" i="4"/>
  <c r="R46" i="4"/>
  <c r="R78" i="4"/>
  <c r="R110" i="4"/>
  <c r="R142" i="4"/>
  <c r="B161" i="2"/>
  <c r="H45" i="1" s="1"/>
  <c r="B55" i="2"/>
  <c r="B68" i="2"/>
  <c r="R17" i="4"/>
  <c r="R33" i="4"/>
  <c r="R16" i="4"/>
  <c r="R65" i="4"/>
  <c r="R97" i="4"/>
  <c r="R129" i="4"/>
  <c r="R11" i="4"/>
  <c r="R58" i="4"/>
  <c r="R90" i="4"/>
  <c r="R122" i="4"/>
  <c r="R154" i="4"/>
  <c r="R56" i="4"/>
  <c r="R88" i="4"/>
  <c r="R120" i="4"/>
  <c r="R152" i="4"/>
  <c r="R51" i="4"/>
  <c r="R83" i="4"/>
  <c r="R115" i="4"/>
  <c r="R147" i="4"/>
  <c r="B185" i="2"/>
  <c r="J126" i="2"/>
  <c r="B29" i="5"/>
  <c r="B202" i="2"/>
  <c r="AQ63" i="4"/>
  <c r="AP39" i="4"/>
  <c r="AP46" i="4"/>
  <c r="AP69" i="4"/>
  <c r="AP79" i="4"/>
  <c r="AP52" i="4"/>
  <c r="AP75" i="4"/>
  <c r="AP16" i="4"/>
  <c r="AP90" i="4"/>
  <c r="AP113" i="4"/>
  <c r="B4" i="8"/>
  <c r="B64" i="2"/>
  <c r="B46" i="2"/>
  <c r="B61" i="5"/>
  <c r="B171" i="2"/>
  <c r="H52" i="1" s="1"/>
  <c r="B173" i="2"/>
  <c r="B64" i="5"/>
  <c r="AJ64" i="5" s="1"/>
  <c r="B33" i="2" l="1"/>
  <c r="AG234" i="5"/>
  <c r="AG437" i="5"/>
  <c r="AG348" i="5"/>
  <c r="AH348" i="5" s="1"/>
  <c r="AG318" i="5"/>
  <c r="AH318" i="5" s="1"/>
  <c r="AG556" i="5"/>
  <c r="AH556" i="5" s="1"/>
  <c r="AG218" i="5"/>
  <c r="AI218" i="5" s="1"/>
  <c r="AG91" i="5"/>
  <c r="AH91" i="5" s="1"/>
  <c r="AG300" i="5"/>
  <c r="AI300" i="5" s="1"/>
  <c r="AG338" i="5"/>
  <c r="AI338" i="5" s="1"/>
  <c r="AG267" i="5"/>
  <c r="AH267" i="5" s="1"/>
  <c r="AG117" i="5"/>
  <c r="AI117" i="5" s="1"/>
  <c r="AG478" i="5"/>
  <c r="AH478" i="5" s="1"/>
  <c r="AG484" i="5"/>
  <c r="AH484" i="5" s="1"/>
  <c r="AG486" i="5"/>
  <c r="AH486" i="5" s="1"/>
  <c r="AG426" i="5"/>
  <c r="AI426" i="5" s="1"/>
  <c r="AG419" i="5"/>
  <c r="AI419" i="5" s="1"/>
  <c r="AG152" i="5"/>
  <c r="AH152" i="5" s="1"/>
  <c r="AG34" i="5"/>
  <c r="AH34" i="5" s="1"/>
  <c r="AG229" i="5"/>
  <c r="AH229" i="5" s="1"/>
  <c r="AG327" i="5"/>
  <c r="AI327" i="5" s="1"/>
  <c r="AG29" i="5"/>
  <c r="AI29" i="5" s="1"/>
  <c r="AG164" i="5"/>
  <c r="AI164" i="5" s="1"/>
  <c r="AG335" i="5"/>
  <c r="AI335" i="5" s="1"/>
  <c r="AM486" i="5"/>
  <c r="AO486" i="5" s="1"/>
  <c r="AM234" i="5"/>
  <c r="AN234" i="5" s="1"/>
  <c r="AG460" i="5"/>
  <c r="AI460" i="5" s="1"/>
  <c r="AG351" i="5"/>
  <c r="AI351" i="5" s="1"/>
  <c r="AG473" i="5"/>
  <c r="AH473" i="5" s="1"/>
  <c r="AG530" i="5"/>
  <c r="AI530" i="5" s="1"/>
  <c r="AG189" i="5"/>
  <c r="AH189" i="5" s="1"/>
  <c r="AG548" i="5"/>
  <c r="AI548" i="5" s="1"/>
  <c r="AG232" i="5"/>
  <c r="AH232" i="5" s="1"/>
  <c r="AG88" i="5"/>
  <c r="AH88" i="5" s="1"/>
  <c r="AG380" i="5"/>
  <c r="AI380" i="5" s="1"/>
  <c r="AG441" i="5"/>
  <c r="AI441" i="5" s="1"/>
  <c r="AG80" i="5"/>
  <c r="AH80" i="5" s="1"/>
  <c r="AG521" i="5"/>
  <c r="AH521" i="5" s="1"/>
  <c r="AG494" i="5"/>
  <c r="AI494" i="5" s="1"/>
  <c r="AG138" i="5"/>
  <c r="AH138" i="5" s="1"/>
  <c r="AG474" i="5"/>
  <c r="AH474" i="5" s="1"/>
  <c r="AG240" i="5"/>
  <c r="AI240" i="5" s="1"/>
  <c r="AG36" i="5"/>
  <c r="AH36" i="5" s="1"/>
  <c r="AG200" i="5"/>
  <c r="AI200" i="5" s="1"/>
  <c r="AG154" i="5"/>
  <c r="AH154" i="5" s="1"/>
  <c r="AG360" i="5"/>
  <c r="AI360" i="5" s="1"/>
  <c r="AG81" i="5"/>
  <c r="AH81" i="5" s="1"/>
  <c r="AG404" i="5"/>
  <c r="AH404" i="5" s="1"/>
  <c r="AG69" i="5"/>
  <c r="AH69" i="5" s="1"/>
  <c r="AG326" i="5"/>
  <c r="AI326" i="5" s="1"/>
  <c r="AG233" i="5"/>
  <c r="AG176" i="5"/>
  <c r="AI176" i="5" s="1"/>
  <c r="AG44" i="5"/>
  <c r="AH44" i="5" s="1"/>
  <c r="AG535" i="5"/>
  <c r="AI535" i="5" s="1"/>
  <c r="AG162" i="5"/>
  <c r="AI162" i="5" s="1"/>
  <c r="AG522" i="5"/>
  <c r="AH522" i="5" s="1"/>
  <c r="AG212" i="5"/>
  <c r="AH212" i="5" s="1"/>
  <c r="AG121" i="5"/>
  <c r="AH121" i="5" s="1"/>
  <c r="AG184" i="5"/>
  <c r="AI184" i="5" s="1"/>
  <c r="AG526" i="5"/>
  <c r="AI526" i="5" s="1"/>
  <c r="AG457" i="5"/>
  <c r="AI457" i="5" s="1"/>
  <c r="AG527" i="5"/>
  <c r="AG461" i="5"/>
  <c r="AI461" i="5" s="1"/>
  <c r="AG149" i="5"/>
  <c r="AH149" i="5" s="1"/>
  <c r="AG341" i="5"/>
  <c r="AI341" i="5" s="1"/>
  <c r="AG381" i="5"/>
  <c r="AH381" i="5" s="1"/>
  <c r="AG540" i="5"/>
  <c r="AH540" i="5" s="1"/>
  <c r="AG140" i="5"/>
  <c r="AH140" i="5" s="1"/>
  <c r="AG436" i="5"/>
  <c r="AI436" i="5" s="1"/>
  <c r="AG93" i="5"/>
  <c r="AI93" i="5" s="1"/>
  <c r="AG175" i="5"/>
  <c r="AI175" i="5" s="1"/>
  <c r="AG56" i="5"/>
  <c r="AH56" i="5" s="1"/>
  <c r="AG361" i="5"/>
  <c r="AI361" i="5" s="1"/>
  <c r="AG456" i="5"/>
  <c r="AH456" i="5" s="1"/>
  <c r="AG389" i="5"/>
  <c r="AH389" i="5" s="1"/>
  <c r="AG178" i="5"/>
  <c r="AI178" i="5" s="1"/>
  <c r="AG210" i="5"/>
  <c r="AH210" i="5" s="1"/>
  <c r="AG333" i="5"/>
  <c r="AI333" i="5" s="1"/>
  <c r="AG506" i="5"/>
  <c r="AI506" i="5" s="1"/>
  <c r="AG158" i="5"/>
  <c r="AH158" i="5" s="1"/>
  <c r="AG378" i="5"/>
  <c r="AH378" i="5" s="1"/>
  <c r="AG42" i="5"/>
  <c r="AI42" i="5" s="1"/>
  <c r="AG553" i="5"/>
  <c r="AH553" i="5" s="1"/>
  <c r="AG199" i="5"/>
  <c r="AH199" i="5" s="1"/>
  <c r="AG64" i="5"/>
  <c r="AI64" i="5" s="1"/>
  <c r="AG472" i="5"/>
  <c r="AH472" i="5" s="1"/>
  <c r="AG220" i="5"/>
  <c r="AH220" i="5" s="1"/>
  <c r="AG491" i="5"/>
  <c r="AH491" i="5" s="1"/>
  <c r="AG560" i="5"/>
  <c r="AI560" i="5" s="1"/>
  <c r="AG397" i="5"/>
  <c r="AI397" i="5" s="1"/>
  <c r="AG428" i="5"/>
  <c r="AH428" i="5" s="1"/>
  <c r="AG321" i="5"/>
  <c r="AI321" i="5" s="1"/>
  <c r="AG127" i="5"/>
  <c r="AI127" i="5" s="1"/>
  <c r="AG353" i="5"/>
  <c r="AI353" i="5" s="1"/>
  <c r="AG25" i="5"/>
  <c r="AH25" i="5" s="1"/>
  <c r="AG552" i="5"/>
  <c r="AH552" i="5" s="1"/>
  <c r="AG70" i="5"/>
  <c r="AH70" i="5" s="1"/>
  <c r="AG314" i="5"/>
  <c r="AH314" i="5" s="1"/>
  <c r="AG226" i="5"/>
  <c r="AH226" i="5" s="1"/>
  <c r="AG477" i="5"/>
  <c r="AH477" i="5" s="1"/>
  <c r="AG134" i="5"/>
  <c r="AI134" i="5" s="1"/>
  <c r="AG281" i="5"/>
  <c r="AI281" i="5" s="1"/>
  <c r="AG38" i="5"/>
  <c r="AI38" i="5" s="1"/>
  <c r="AG533" i="5"/>
  <c r="AI533" i="5" s="1"/>
  <c r="AG23" i="5"/>
  <c r="AH23" i="5" s="1"/>
  <c r="AG328" i="5"/>
  <c r="AH328" i="5" s="1"/>
  <c r="AG28" i="5"/>
  <c r="AI28" i="5" s="1"/>
  <c r="AG320" i="5"/>
  <c r="AI320" i="5" s="1"/>
  <c r="AG303" i="5"/>
  <c r="AI303" i="5" s="1"/>
  <c r="AG46" i="5"/>
  <c r="AH46" i="5" s="1"/>
  <c r="AG74" i="5"/>
  <c r="AH74" i="5" s="1"/>
  <c r="AG395" i="5"/>
  <c r="AH395" i="5" s="1"/>
  <c r="AG311" i="5"/>
  <c r="AI311" i="5" s="1"/>
  <c r="AG518" i="5"/>
  <c r="AH518" i="5" s="1"/>
  <c r="AG515" i="5"/>
  <c r="AH515" i="5" s="1"/>
  <c r="AG131" i="5"/>
  <c r="AH131" i="5" s="1"/>
  <c r="AG359" i="5"/>
  <c r="AI359" i="5" s="1"/>
  <c r="AG377" i="5"/>
  <c r="AI377" i="5" s="1"/>
  <c r="AG400" i="5"/>
  <c r="AI400" i="5" s="1"/>
  <c r="AG102" i="5"/>
  <c r="AI102" i="5" s="1"/>
  <c r="AG246" i="5"/>
  <c r="AI246" i="5" s="1"/>
  <c r="AG259" i="5"/>
  <c r="AH259" i="5" s="1"/>
  <c r="AG211" i="5"/>
  <c r="AI211" i="5" s="1"/>
  <c r="AG387" i="5"/>
  <c r="AH387" i="5" s="1"/>
  <c r="AG434" i="5"/>
  <c r="AI434" i="5" s="1"/>
  <c r="AG260" i="5"/>
  <c r="AH260" i="5" s="1"/>
  <c r="AG37" i="5"/>
  <c r="AH37" i="5" s="1"/>
  <c r="AG340" i="5"/>
  <c r="AI340" i="5" s="1"/>
  <c r="AG190" i="5"/>
  <c r="AI190" i="5" s="1"/>
  <c r="AG302" i="5"/>
  <c r="AH302" i="5" s="1"/>
  <c r="AG394" i="5"/>
  <c r="AI394" i="5" s="1"/>
  <c r="AG126" i="5"/>
  <c r="AH126" i="5" s="1"/>
  <c r="AG418" i="5"/>
  <c r="AH418" i="5" s="1"/>
  <c r="AG244" i="5"/>
  <c r="AH244" i="5" s="1"/>
  <c r="AG544" i="5"/>
  <c r="AI544" i="5" s="1"/>
  <c r="AG370" i="5"/>
  <c r="AI370" i="5" s="1"/>
  <c r="AG316" i="5"/>
  <c r="AH316" i="5" s="1"/>
  <c r="AG130" i="5"/>
  <c r="AH130" i="5" s="1"/>
  <c r="AG447" i="5"/>
  <c r="AI447" i="5" s="1"/>
  <c r="AG255" i="5"/>
  <c r="AI255" i="5" s="1"/>
  <c r="AG47" i="5"/>
  <c r="AI47" i="5" s="1"/>
  <c r="AG280" i="5"/>
  <c r="AH280" i="5" s="1"/>
  <c r="AG519" i="5"/>
  <c r="AI519" i="5" s="1"/>
  <c r="AG408" i="5"/>
  <c r="AI408" i="5" s="1"/>
  <c r="AG501" i="5"/>
  <c r="AI501" i="5" s="1"/>
  <c r="AG196" i="5"/>
  <c r="AH196" i="5" s="1"/>
  <c r="AG355" i="5"/>
  <c r="AH355" i="5" s="1"/>
  <c r="AG278" i="5"/>
  <c r="AH278" i="5" s="1"/>
  <c r="AG412" i="5"/>
  <c r="AI412" i="5" s="1"/>
  <c r="AG524" i="5"/>
  <c r="AI524" i="5" s="1"/>
  <c r="AG109" i="5"/>
  <c r="AH109" i="5" s="1"/>
  <c r="AG285" i="5"/>
  <c r="AH285" i="5" s="1"/>
  <c r="AG516" i="5"/>
  <c r="AH516" i="5" s="1"/>
  <c r="AG133" i="5"/>
  <c r="AI133" i="5" s="1"/>
  <c r="AG439" i="5"/>
  <c r="AH439" i="5" s="1"/>
  <c r="AG96" i="5"/>
  <c r="AI96" i="5" s="1"/>
  <c r="AG291" i="5"/>
  <c r="AH291" i="5" s="1"/>
  <c r="AG257" i="5"/>
  <c r="AI257" i="5" s="1"/>
  <c r="AG305" i="5"/>
  <c r="AI305" i="5" s="1"/>
  <c r="AG294" i="5"/>
  <c r="AI294" i="5" s="1"/>
  <c r="AG245" i="5"/>
  <c r="AH245" i="5" s="1"/>
  <c r="AG30" i="5"/>
  <c r="AH30" i="5" s="1"/>
  <c r="AG262" i="5"/>
  <c r="AI262" i="5" s="1"/>
  <c r="AG182" i="5"/>
  <c r="AI182" i="5" s="1"/>
  <c r="AG458" i="5"/>
  <c r="AI458" i="5" s="1"/>
  <c r="AG205" i="5"/>
  <c r="AI205" i="5" s="1"/>
  <c r="AG77" i="5"/>
  <c r="AH77" i="5" s="1"/>
  <c r="AG405" i="5"/>
  <c r="AH405" i="5" s="1"/>
  <c r="AG258" i="5"/>
  <c r="AI258" i="5" s="1"/>
  <c r="AG449" i="5"/>
  <c r="AI449" i="5" s="1"/>
  <c r="AG417" i="5"/>
  <c r="AI417" i="5" s="1"/>
  <c r="AG286" i="5"/>
  <c r="AH286" i="5" s="1"/>
  <c r="AG92" i="5"/>
  <c r="AH92" i="5" s="1"/>
  <c r="AG455" i="5"/>
  <c r="AH455" i="5" s="1"/>
  <c r="AG287" i="5"/>
  <c r="AI287" i="5" s="1"/>
  <c r="AG103" i="5"/>
  <c r="AI103" i="5" s="1"/>
  <c r="AG488" i="5"/>
  <c r="AH488" i="5" s="1"/>
  <c r="AG144" i="5"/>
  <c r="AI144" i="5" s="1"/>
  <c r="AG459" i="5"/>
  <c r="AI459" i="5" s="1"/>
  <c r="AG554" i="5"/>
  <c r="AH554" i="5" s="1"/>
  <c r="AG416" i="5"/>
  <c r="AH416" i="5" s="1"/>
  <c r="AG59" i="5"/>
  <c r="AH59" i="5" s="1"/>
  <c r="AG505" i="5"/>
  <c r="AI505" i="5" s="1"/>
  <c r="AG114" i="5"/>
  <c r="AI114" i="5" s="1"/>
  <c r="AG99" i="5"/>
  <c r="AH99" i="5" s="1"/>
  <c r="AG462" i="5"/>
  <c r="AH462" i="5" s="1"/>
  <c r="AG58" i="5"/>
  <c r="AI58" i="5" s="1"/>
  <c r="AG221" i="5"/>
  <c r="AH221" i="5" s="1"/>
  <c r="AG420" i="5"/>
  <c r="AI420" i="5" s="1"/>
  <c r="AG452" i="5"/>
  <c r="AI452" i="5" s="1"/>
  <c r="AG45" i="5"/>
  <c r="AH45" i="5" s="1"/>
  <c r="AG237" i="5"/>
  <c r="AI237" i="5" s="1"/>
  <c r="AG31" i="5"/>
  <c r="AI31" i="5" s="1"/>
  <c r="AG264" i="5"/>
  <c r="AH264" i="5" s="1"/>
  <c r="AG379" i="5"/>
  <c r="AI379" i="5" s="1"/>
  <c r="AG283" i="5"/>
  <c r="AI283" i="5" s="1"/>
  <c r="AG499" i="5"/>
  <c r="AH499" i="5" s="1"/>
  <c r="AG466" i="5"/>
  <c r="AI466" i="5" s="1"/>
  <c r="AG194" i="5"/>
  <c r="AI194" i="5" s="1"/>
  <c r="AG558" i="5"/>
  <c r="AI558" i="5" s="1"/>
  <c r="AG421" i="5"/>
  <c r="AI421" i="5" s="1"/>
  <c r="AG78" i="5"/>
  <c r="AH78" i="5" s="1"/>
  <c r="AG422" i="5"/>
  <c r="AH422" i="5" s="1"/>
  <c r="AG238" i="5"/>
  <c r="AI238" i="5" s="1"/>
  <c r="AG22" i="5"/>
  <c r="AH22" i="5" s="1"/>
  <c r="AG372" i="5"/>
  <c r="AI372" i="5" s="1"/>
  <c r="AG252" i="5"/>
  <c r="AH252" i="5" s="1"/>
  <c r="AG523" i="5"/>
  <c r="AI523" i="5" s="1"/>
  <c r="AG396" i="5"/>
  <c r="AI396" i="5" s="1"/>
  <c r="AG250" i="5"/>
  <c r="AH250" i="5" s="1"/>
  <c r="AG89" i="5"/>
  <c r="AI89" i="5" s="1"/>
  <c r="AG463" i="5"/>
  <c r="AI463" i="5" s="1"/>
  <c r="AG219" i="5"/>
  <c r="AI219" i="5" s="1"/>
  <c r="AG496" i="5"/>
  <c r="AH496" i="5" s="1"/>
  <c r="AG160" i="5"/>
  <c r="AH160" i="5" s="1"/>
  <c r="AG483" i="5"/>
  <c r="AI483" i="5" s="1"/>
  <c r="AG546" i="5"/>
  <c r="AI546" i="5" s="1"/>
  <c r="AG224" i="5"/>
  <c r="AH224" i="5" s="1"/>
  <c r="AG145" i="5"/>
  <c r="AI145" i="5" s="1"/>
  <c r="AG509" i="5"/>
  <c r="AH509" i="5" s="1"/>
  <c r="AG559" i="5"/>
  <c r="AH559" i="5" s="1"/>
  <c r="AG512" i="5"/>
  <c r="AI512" i="5" s="1"/>
  <c r="AG128" i="5"/>
  <c r="AI128" i="5" s="1"/>
  <c r="AG72" i="5"/>
  <c r="AH72" i="5" s="1"/>
  <c r="AG513" i="5"/>
  <c r="AI513" i="5" s="1"/>
  <c r="AG507" i="5"/>
  <c r="AH507" i="5" s="1"/>
  <c r="AG538" i="5"/>
  <c r="AI538" i="5" s="1"/>
  <c r="AG376" i="5"/>
  <c r="AI376" i="5" s="1"/>
  <c r="AG168" i="5"/>
  <c r="AH168" i="5" s="1"/>
  <c r="AG98" i="5"/>
  <c r="AH98" i="5" s="1"/>
  <c r="AG71" i="5"/>
  <c r="AG427" i="5"/>
  <c r="AH427" i="5" s="1"/>
  <c r="AG367" i="5"/>
  <c r="AI367" i="5" s="1"/>
  <c r="AG207" i="5"/>
  <c r="AH207" i="5" s="1"/>
  <c r="AG236" i="5"/>
  <c r="AI236" i="5" s="1"/>
  <c r="AG511" i="5"/>
  <c r="AH511" i="5" s="1"/>
  <c r="AG256" i="5"/>
  <c r="AI256" i="5" s="1"/>
  <c r="AG48" i="5"/>
  <c r="AH48" i="5" s="1"/>
  <c r="AG443" i="5"/>
  <c r="AI443" i="5" s="1"/>
  <c r="AG480" i="5"/>
  <c r="AI480" i="5" s="1"/>
  <c r="AG120" i="5"/>
  <c r="AI120" i="5" s="1"/>
  <c r="AG195" i="5"/>
  <c r="AH195" i="5" s="1"/>
  <c r="AG343" i="5"/>
  <c r="AH343" i="5" s="1"/>
  <c r="AG411" i="5"/>
  <c r="AI411" i="5" s="1"/>
  <c r="AG504" i="5"/>
  <c r="AI504" i="5" s="1"/>
  <c r="AG136" i="5"/>
  <c r="AH136" i="5" s="1"/>
  <c r="AG297" i="5"/>
  <c r="AI297" i="5" s="1"/>
  <c r="AG63" i="5"/>
  <c r="AH63" i="5" s="1"/>
  <c r="AG107" i="5"/>
  <c r="AI107" i="5" s="1"/>
  <c r="AG465" i="5"/>
  <c r="AI465" i="5" s="1"/>
  <c r="AG481" i="5"/>
  <c r="AI481" i="5" s="1"/>
  <c r="AG206" i="5"/>
  <c r="AH206" i="5" s="1"/>
  <c r="AG85" i="5"/>
  <c r="AI85" i="5" s="1"/>
  <c r="AG151" i="5"/>
  <c r="AI151" i="5" s="1"/>
  <c r="AG169" i="5"/>
  <c r="AH169" i="5" s="1"/>
  <c r="AG334" i="5"/>
  <c r="AI334" i="5" s="1"/>
  <c r="AG123" i="5"/>
  <c r="AH123" i="5" s="1"/>
  <c r="AG83" i="5"/>
  <c r="AG514" i="5"/>
  <c r="AI514" i="5" s="1"/>
  <c r="AG106" i="5"/>
  <c r="AH106" i="5" s="1"/>
  <c r="AG230" i="5"/>
  <c r="AI230" i="5" s="1"/>
  <c r="AG295" i="5"/>
  <c r="AI295" i="5" s="1"/>
  <c r="AG177" i="5"/>
  <c r="AI177" i="5" s="1"/>
  <c r="AG502" i="5"/>
  <c r="AI502" i="5" s="1"/>
  <c r="AG249" i="5"/>
  <c r="AH249" i="5" s="1"/>
  <c r="AG50" i="5"/>
  <c r="AH50" i="5" s="1"/>
  <c r="AG156" i="5"/>
  <c r="AH156" i="5" s="1"/>
  <c r="AG179" i="5"/>
  <c r="AI179" i="5" s="1"/>
  <c r="AG429" i="5"/>
  <c r="AI429" i="5" s="1"/>
  <c r="AG282" i="5"/>
  <c r="AG105" i="5"/>
  <c r="AH105" i="5" s="1"/>
  <c r="AG490" i="5"/>
  <c r="AI490" i="5" s="1"/>
  <c r="AG366" i="5"/>
  <c r="AH366" i="5" s="1"/>
  <c r="AG73" i="5"/>
  <c r="AH73" i="5" s="1"/>
  <c r="AG265" i="5"/>
  <c r="AH265" i="5" s="1"/>
  <c r="AG155" i="5"/>
  <c r="AI155" i="5" s="1"/>
  <c r="AG391" i="5"/>
  <c r="AI391" i="5" s="1"/>
  <c r="AG471" i="5"/>
  <c r="AH471" i="5" s="1"/>
  <c r="T65" i="5"/>
  <c r="V65" i="5" s="1"/>
  <c r="T308" i="5"/>
  <c r="V308" i="5" s="1"/>
  <c r="AM498" i="5"/>
  <c r="AO498" i="5" s="1"/>
  <c r="AM530" i="5"/>
  <c r="AO530" i="5" s="1"/>
  <c r="AM395" i="5"/>
  <c r="AO395" i="5" s="1"/>
  <c r="AM445" i="5"/>
  <c r="AN445" i="5" s="1"/>
  <c r="AM540" i="5"/>
  <c r="AN540" i="5" s="1"/>
  <c r="AM362" i="5"/>
  <c r="AN362" i="5" s="1"/>
  <c r="AM135" i="5"/>
  <c r="AN135" i="5" s="1"/>
  <c r="AG299" i="5"/>
  <c r="AH299" i="5" s="1"/>
  <c r="AG97" i="5"/>
  <c r="AI97" i="5" s="1"/>
  <c r="AG497" i="5"/>
  <c r="AH497" i="5" s="1"/>
  <c r="AG476" i="5"/>
  <c r="AI476" i="5" s="1"/>
  <c r="AG202" i="5"/>
  <c r="AH202" i="5" s="1"/>
  <c r="AG214" i="5"/>
  <c r="AH214" i="5" s="1"/>
  <c r="AG146" i="5"/>
  <c r="AI146" i="5" s="1"/>
  <c r="AG454" i="5"/>
  <c r="AH454" i="5" s="1"/>
  <c r="AG402" i="5"/>
  <c r="AI402" i="5" s="1"/>
  <c r="AG356" i="5"/>
  <c r="AH356" i="5" s="1"/>
  <c r="AG118" i="5"/>
  <c r="AI118" i="5" s="1"/>
  <c r="AG365" i="5"/>
  <c r="AH365" i="5" s="1"/>
  <c r="AG493" i="5"/>
  <c r="AI493" i="5" s="1"/>
  <c r="AG330" i="5"/>
  <c r="AH330" i="5" s="1"/>
  <c r="AG157" i="5"/>
  <c r="AI157" i="5" s="1"/>
  <c r="AG20" i="5"/>
  <c r="AH20" i="5" s="1"/>
  <c r="AG517" i="5"/>
  <c r="AI517" i="5" s="1"/>
  <c r="AG406" i="5"/>
  <c r="AI406" i="5" s="1"/>
  <c r="AG332" i="5"/>
  <c r="AI332" i="5" s="1"/>
  <c r="AG101" i="5"/>
  <c r="AI101" i="5" s="1"/>
  <c r="AG536" i="5"/>
  <c r="AI536" i="5" s="1"/>
  <c r="AG510" i="5"/>
  <c r="AI510" i="5" s="1"/>
  <c r="AG284" i="5"/>
  <c r="AI284" i="5" s="1"/>
  <c r="AG324" i="5"/>
  <c r="AI324" i="5" s="1"/>
  <c r="AG165" i="5"/>
  <c r="AH165" i="5" s="1"/>
  <c r="AG66" i="5"/>
  <c r="AH66" i="5" s="1"/>
  <c r="AM370" i="5"/>
  <c r="AO370" i="5" s="1"/>
  <c r="AM253" i="5"/>
  <c r="AO253" i="5" s="1"/>
  <c r="AG545" i="5"/>
  <c r="AH545" i="5" s="1"/>
  <c r="AG487" i="5"/>
  <c r="AH487" i="5" s="1"/>
  <c r="AG383" i="5"/>
  <c r="AH383" i="5" s="1"/>
  <c r="AG135" i="5"/>
  <c r="AI135" i="5" s="1"/>
  <c r="AG55" i="5"/>
  <c r="AI55" i="5" s="1"/>
  <c r="AG432" i="5"/>
  <c r="AI432" i="5" s="1"/>
  <c r="AG368" i="5"/>
  <c r="AI368" i="5" s="1"/>
  <c r="AG296" i="5"/>
  <c r="AI296" i="5" s="1"/>
  <c r="AG192" i="5"/>
  <c r="AI192" i="5" s="1"/>
  <c r="AG104" i="5"/>
  <c r="AI104" i="5" s="1"/>
  <c r="AG409" i="5"/>
  <c r="AI409" i="5" s="1"/>
  <c r="AG347" i="5"/>
  <c r="AI347" i="5" s="1"/>
  <c r="AG503" i="5"/>
  <c r="AG534" i="5"/>
  <c r="AH534" i="5" s="1"/>
  <c r="AG336" i="5"/>
  <c r="AH336" i="5" s="1"/>
  <c r="AG248" i="5"/>
  <c r="AH248" i="5" s="1"/>
  <c r="AG208" i="5"/>
  <c r="AI208" i="5" s="1"/>
  <c r="AG185" i="5"/>
  <c r="AI185" i="5" s="1"/>
  <c r="AG228" i="5"/>
  <c r="AI228" i="5" s="1"/>
  <c r="AG482" i="5"/>
  <c r="AH482" i="5" s="1"/>
  <c r="AG322" i="5"/>
  <c r="AG315" i="5"/>
  <c r="AI315" i="5" s="1"/>
  <c r="AG188" i="5"/>
  <c r="AI188" i="5" s="1"/>
  <c r="AG61" i="5"/>
  <c r="AG357" i="5"/>
  <c r="AH357" i="5" s="1"/>
  <c r="AG253" i="5"/>
  <c r="AH253" i="5" s="1"/>
  <c r="AG183" i="5"/>
  <c r="AI183" i="5" s="1"/>
  <c r="AG537" i="5"/>
  <c r="AI537" i="5" s="1"/>
  <c r="AG414" i="5"/>
  <c r="AM482" i="5"/>
  <c r="AN482" i="5" s="1"/>
  <c r="AG129" i="5"/>
  <c r="AI129" i="5" s="1"/>
  <c r="AM115" i="5"/>
  <c r="AN115" i="5" s="1"/>
  <c r="AG451" i="5"/>
  <c r="AI451" i="5" s="1"/>
  <c r="AG113" i="5"/>
  <c r="AI113" i="5" s="1"/>
  <c r="AG363" i="5"/>
  <c r="AH363" i="5" s="1"/>
  <c r="AG531" i="5"/>
  <c r="AI531" i="5" s="1"/>
  <c r="AG398" i="5"/>
  <c r="AH398" i="5" s="1"/>
  <c r="AG222" i="5"/>
  <c r="AI222" i="5" s="1"/>
  <c r="AG148" i="5"/>
  <c r="AI148" i="5" s="1"/>
  <c r="AG444" i="5"/>
  <c r="AI444" i="5" s="1"/>
  <c r="AG410" i="5"/>
  <c r="AI410" i="5" s="1"/>
  <c r="AG261" i="5"/>
  <c r="AI261" i="5" s="1"/>
  <c r="AG142" i="5"/>
  <c r="AI142" i="5" s="1"/>
  <c r="AG520" i="5"/>
  <c r="AH520" i="5" s="1"/>
  <c r="AG450" i="5"/>
  <c r="AI450" i="5" s="1"/>
  <c r="AG354" i="5"/>
  <c r="AH354" i="5" s="1"/>
  <c r="AG181" i="5"/>
  <c r="AH181" i="5" s="1"/>
  <c r="AG21" i="5"/>
  <c r="AH21" i="5" s="1"/>
  <c r="AG485" i="5"/>
  <c r="AI485" i="5" s="1"/>
  <c r="AG382" i="5"/>
  <c r="AI382" i="5" s="1"/>
  <c r="AG306" i="5"/>
  <c r="AI306" i="5" s="1"/>
  <c r="AG94" i="5"/>
  <c r="AI94" i="5" s="1"/>
  <c r="AG542" i="5"/>
  <c r="AI542" i="5" s="1"/>
  <c r="AG438" i="5"/>
  <c r="AH438" i="5" s="1"/>
  <c r="AG345" i="5"/>
  <c r="AI345" i="5" s="1"/>
  <c r="AG301" i="5"/>
  <c r="AI301" i="5" s="1"/>
  <c r="AG153" i="5"/>
  <c r="AI153" i="5" s="1"/>
  <c r="AG65" i="5"/>
  <c r="AI65" i="5" s="1"/>
  <c r="AM189" i="5"/>
  <c r="AO189" i="5" s="1"/>
  <c r="AM93" i="5"/>
  <c r="AO93" i="5" s="1"/>
  <c r="AG525" i="5"/>
  <c r="AH525" i="5" s="1"/>
  <c r="AG495" i="5"/>
  <c r="AI495" i="5" s="1"/>
  <c r="AG223" i="5"/>
  <c r="AI223" i="5" s="1"/>
  <c r="AG143" i="5"/>
  <c r="AH143" i="5" s="1"/>
  <c r="AG79" i="5"/>
  <c r="AH79" i="5" s="1"/>
  <c r="AG448" i="5"/>
  <c r="AH448" i="5" s="1"/>
  <c r="AG384" i="5"/>
  <c r="AH384" i="5" s="1"/>
  <c r="AG304" i="5"/>
  <c r="AI304" i="5" s="1"/>
  <c r="AG216" i="5"/>
  <c r="AH216" i="5" s="1"/>
  <c r="AG112" i="5"/>
  <c r="AH112" i="5" s="1"/>
  <c r="AG547" i="5"/>
  <c r="AH547" i="5" s="1"/>
  <c r="AG549" i="5"/>
  <c r="AI549" i="5" s="1"/>
  <c r="AG403" i="5"/>
  <c r="AI403" i="5" s="1"/>
  <c r="AG375" i="5"/>
  <c r="AH375" i="5" s="1"/>
  <c r="AG424" i="5"/>
  <c r="AI424" i="5" s="1"/>
  <c r="AG344" i="5"/>
  <c r="AI344" i="5" s="1"/>
  <c r="AG272" i="5"/>
  <c r="AG32" i="5"/>
  <c r="AI32" i="5" s="1"/>
  <c r="AG193" i="5"/>
  <c r="AI193" i="5" s="1"/>
  <c r="AG309" i="5"/>
  <c r="AI309" i="5" s="1"/>
  <c r="AG308" i="5"/>
  <c r="AH308" i="5" s="1"/>
  <c r="AG139" i="5"/>
  <c r="AH139" i="5" s="1"/>
  <c r="AG254" i="5"/>
  <c r="AH254" i="5" s="1"/>
  <c r="AG76" i="5"/>
  <c r="AI76" i="5" s="1"/>
  <c r="AG423" i="5"/>
  <c r="AH423" i="5" s="1"/>
  <c r="AG349" i="5"/>
  <c r="AI349" i="5" s="1"/>
  <c r="AG167" i="5"/>
  <c r="AH167" i="5" s="1"/>
  <c r="AG39" i="5"/>
  <c r="AH39" i="5" s="1"/>
  <c r="AG489" i="5"/>
  <c r="AH489" i="5" s="1"/>
  <c r="AM251" i="5"/>
  <c r="AO251" i="5" s="1"/>
  <c r="AM365" i="5"/>
  <c r="AN365" i="5" s="1"/>
  <c r="AM105" i="5"/>
  <c r="AO105" i="5" s="1"/>
  <c r="AM459" i="5"/>
  <c r="AN459" i="5" s="1"/>
  <c r="AM258" i="5"/>
  <c r="AN258" i="5" s="1"/>
  <c r="AM519" i="5"/>
  <c r="AN519" i="5" s="1"/>
  <c r="AM476" i="5"/>
  <c r="AO476" i="5" s="1"/>
  <c r="AG51" i="5"/>
  <c r="AH51" i="5" s="1"/>
  <c r="AG217" i="5"/>
  <c r="AI217" i="5" s="1"/>
  <c r="AM235" i="5"/>
  <c r="AN235" i="5" s="1"/>
  <c r="AG337" i="5"/>
  <c r="AI337" i="5" s="1"/>
  <c r="AG119" i="5"/>
  <c r="AH119" i="5" s="1"/>
  <c r="AG557" i="5"/>
  <c r="AH557" i="5" s="1"/>
  <c r="AG498" i="5"/>
  <c r="AI498" i="5" s="1"/>
  <c r="AG364" i="5"/>
  <c r="AI364" i="5" s="1"/>
  <c r="AG166" i="5"/>
  <c r="AI166" i="5" s="1"/>
  <c r="AG82" i="5"/>
  <c r="AI82" i="5" s="1"/>
  <c r="AG528" i="5"/>
  <c r="AH528" i="5" s="1"/>
  <c r="AG386" i="5"/>
  <c r="AI386" i="5" s="1"/>
  <c r="AG276" i="5"/>
  <c r="AH276" i="5" s="1"/>
  <c r="AG141" i="5"/>
  <c r="AH141" i="5" s="1"/>
  <c r="AG551" i="5"/>
  <c r="AI551" i="5" s="1"/>
  <c r="AG390" i="5"/>
  <c r="AI390" i="5" s="1"/>
  <c r="AG270" i="5"/>
  <c r="AH270" i="5" s="1"/>
  <c r="AG173" i="5"/>
  <c r="AH173" i="5" s="1"/>
  <c r="AG470" i="5"/>
  <c r="AH470" i="5" s="1"/>
  <c r="AG350" i="5"/>
  <c r="AI350" i="5" s="1"/>
  <c r="AG290" i="5"/>
  <c r="AH290" i="5" s="1"/>
  <c r="AG274" i="5"/>
  <c r="AI274" i="5" s="1"/>
  <c r="AG26" i="5"/>
  <c r="AI26" i="5" s="1"/>
  <c r="AG492" i="5"/>
  <c r="AI492" i="5" s="1"/>
  <c r="AG346" i="5"/>
  <c r="AI346" i="5" s="1"/>
  <c r="AG313" i="5"/>
  <c r="AI313" i="5" s="1"/>
  <c r="AG273" i="5"/>
  <c r="AH273" i="5" s="1"/>
  <c r="AG110" i="5"/>
  <c r="AH110" i="5" s="1"/>
  <c r="AG54" i="5"/>
  <c r="AH54" i="5" s="1"/>
  <c r="AM66" i="5"/>
  <c r="AO66" i="5" s="1"/>
  <c r="AM508" i="5"/>
  <c r="AO508" i="5" s="1"/>
  <c r="AM525" i="5"/>
  <c r="AO525" i="5" s="1"/>
  <c r="AG239" i="5"/>
  <c r="AH239" i="5" s="1"/>
  <c r="AG159" i="5"/>
  <c r="AI159" i="5" s="1"/>
  <c r="AG87" i="5"/>
  <c r="AH87" i="5" s="1"/>
  <c r="AG464" i="5"/>
  <c r="AH464" i="5" s="1"/>
  <c r="AG392" i="5"/>
  <c r="AI392" i="5" s="1"/>
  <c r="AG312" i="5"/>
  <c r="AH312" i="5" s="1"/>
  <c r="AG24" i="5"/>
  <c r="AI24" i="5" s="1"/>
  <c r="AG8" i="5"/>
  <c r="AH8" i="5" s="1"/>
  <c r="AG425" i="5"/>
  <c r="AH425" i="5" s="1"/>
  <c r="AG529" i="5"/>
  <c r="AG319" i="5"/>
  <c r="AI319" i="5" s="1"/>
  <c r="AG19" i="5"/>
  <c r="AI19" i="5" s="1"/>
  <c r="AG440" i="5"/>
  <c r="AH440" i="5" s="1"/>
  <c r="AG352" i="5"/>
  <c r="AI352" i="5" s="1"/>
  <c r="AG288" i="5"/>
  <c r="AH288" i="5" s="1"/>
  <c r="AG40" i="5"/>
  <c r="AH40" i="5" s="1"/>
  <c r="AG57" i="5"/>
  <c r="AI57" i="5" s="1"/>
  <c r="AG292" i="5"/>
  <c r="AI292" i="5" s="1"/>
  <c r="AG49" i="5"/>
  <c r="AH49" i="5" s="1"/>
  <c r="AG307" i="5"/>
  <c r="AH307" i="5" s="1"/>
  <c r="AG187" i="5"/>
  <c r="AH187" i="5" s="1"/>
  <c r="AG203" i="5"/>
  <c r="AH203" i="5" s="1"/>
  <c r="AG108" i="5"/>
  <c r="AH108" i="5" s="1"/>
  <c r="AG550" i="5"/>
  <c r="AH550" i="5" s="1"/>
  <c r="AG415" i="5"/>
  <c r="AH415" i="5" s="1"/>
  <c r="AG247" i="5"/>
  <c r="AG68" i="5"/>
  <c r="AG475" i="5"/>
  <c r="T31" i="5"/>
  <c r="T73" i="5"/>
  <c r="T75" i="5"/>
  <c r="V75" i="5" s="1"/>
  <c r="B31" i="2"/>
  <c r="AJ187" i="5"/>
  <c r="AL187" i="5" s="1"/>
  <c r="AJ307" i="5"/>
  <c r="AK307" i="5" s="1"/>
  <c r="AG508" i="5"/>
  <c r="AH508" i="5" s="1"/>
  <c r="AG275" i="5"/>
  <c r="AH275" i="5" s="1"/>
  <c r="AG75" i="5"/>
  <c r="AH75" i="5" s="1"/>
  <c r="AG198" i="5"/>
  <c r="AH198" i="5" s="1"/>
  <c r="AG339" i="5"/>
  <c r="AI339" i="5" s="1"/>
  <c r="AG116" i="5"/>
  <c r="AH116" i="5" s="1"/>
  <c r="AG213" i="5"/>
  <c r="AH213" i="5" s="1"/>
  <c r="AG445" i="5"/>
  <c r="AH445" i="5" s="1"/>
  <c r="AG86" i="5"/>
  <c r="AH86" i="5" s="1"/>
  <c r="AG266" i="5"/>
  <c r="AI266" i="5" s="1"/>
  <c r="AG453" i="5"/>
  <c r="AH453" i="5" s="1"/>
  <c r="AG122" i="5"/>
  <c r="AI122" i="5" s="1"/>
  <c r="AG174" i="5"/>
  <c r="AH174" i="5" s="1"/>
  <c r="AG555" i="5"/>
  <c r="AH555" i="5" s="1"/>
  <c r="AG172" i="5"/>
  <c r="AH172" i="5" s="1"/>
  <c r="AG393" i="5"/>
  <c r="AI393" i="5" s="1"/>
  <c r="AJ283" i="5"/>
  <c r="AK283" i="5" s="1"/>
  <c r="AJ521" i="5"/>
  <c r="AL521" i="5" s="1"/>
  <c r="T51" i="5"/>
  <c r="V51" i="5" s="1"/>
  <c r="AM285" i="5"/>
  <c r="AN285" i="5" s="1"/>
  <c r="AM133" i="5"/>
  <c r="AN133" i="5" s="1"/>
  <c r="AM332" i="5"/>
  <c r="AO332" i="5" s="1"/>
  <c r="AG201" i="5"/>
  <c r="AI201" i="5" s="1"/>
  <c r="AG84" i="5"/>
  <c r="AG310" i="5"/>
  <c r="AH310" i="5" s="1"/>
  <c r="AG358" i="5"/>
  <c r="AI358" i="5" s="1"/>
  <c r="AG163" i="5"/>
  <c r="AG268" i="5"/>
  <c r="AG235" i="5"/>
  <c r="AI235" i="5" s="1"/>
  <c r="AG27" i="5"/>
  <c r="AI27" i="5" s="1"/>
  <c r="AG124" i="5"/>
  <c r="AG323" i="5"/>
  <c r="AI323" i="5" s="1"/>
  <c r="AG539" i="5"/>
  <c r="AH539" i="5" s="1"/>
  <c r="AG171" i="5"/>
  <c r="AI171" i="5" s="1"/>
  <c r="AG401" i="5"/>
  <c r="AH401" i="5" s="1"/>
  <c r="AG467" i="5"/>
  <c r="AH467" i="5" s="1"/>
  <c r="AG227" i="5"/>
  <c r="AH227" i="5" s="1"/>
  <c r="AG385" i="5"/>
  <c r="AH385" i="5" s="1"/>
  <c r="AG62" i="5"/>
  <c r="AH62" i="5" s="1"/>
  <c r="AG293" i="5"/>
  <c r="AG442" i="5"/>
  <c r="AG132" i="5"/>
  <c r="AG271" i="5"/>
  <c r="AG479" i="5"/>
  <c r="AG209" i="5"/>
  <c r="AI209" i="5" s="1"/>
  <c r="AG161" i="5"/>
  <c r="AH161" i="5" s="1"/>
  <c r="AG180" i="5"/>
  <c r="AH180" i="5" s="1"/>
  <c r="AG500" i="5"/>
  <c r="AI500" i="5" s="1"/>
  <c r="AG197" i="5"/>
  <c r="AI197" i="5" s="1"/>
  <c r="AG317" i="5"/>
  <c r="AI317" i="5" s="1"/>
  <c r="AG243" i="5"/>
  <c r="AI243" i="5" s="1"/>
  <c r="AG35" i="5"/>
  <c r="AH35" i="5" s="1"/>
  <c r="AG147" i="5"/>
  <c r="AI147" i="5" s="1"/>
  <c r="AG374" i="5"/>
  <c r="AI374" i="5" s="1"/>
  <c r="AG413" i="5"/>
  <c r="AH413" i="5" s="1"/>
  <c r="AG111" i="5"/>
  <c r="AI111" i="5" s="1"/>
  <c r="AG362" i="5"/>
  <c r="AI362" i="5" s="1"/>
  <c r="AG33" i="5"/>
  <c r="AI33" i="5" s="1"/>
  <c r="AG225" i="5"/>
  <c r="AI225" i="5" s="1"/>
  <c r="AG469" i="5"/>
  <c r="AI469" i="5" s="1"/>
  <c r="AG90" i="5"/>
  <c r="AH90" i="5" s="1"/>
  <c r="AG279" i="5"/>
  <c r="AH279" i="5" s="1"/>
  <c r="AG468" i="5"/>
  <c r="AH468" i="5" s="1"/>
  <c r="AG137" i="5"/>
  <c r="AH137" i="5" s="1"/>
  <c r="AG231" i="5"/>
  <c r="AH231" i="5" s="1"/>
  <c r="AG532" i="5"/>
  <c r="AI532" i="5" s="1"/>
  <c r="AM449" i="5"/>
  <c r="AM41" i="5"/>
  <c r="AN41" i="5" s="1"/>
  <c r="AM436" i="5"/>
  <c r="AN436" i="5" s="1"/>
  <c r="AM69" i="5"/>
  <c r="AO69" i="5" s="1"/>
  <c r="AM348" i="5"/>
  <c r="AO348" i="5" s="1"/>
  <c r="AG289" i="5"/>
  <c r="AH289" i="5" s="1"/>
  <c r="AG41" i="5"/>
  <c r="AI41" i="5" s="1"/>
  <c r="AG186" i="5"/>
  <c r="AG407" i="5"/>
  <c r="AI407" i="5" s="1"/>
  <c r="AG242" i="5"/>
  <c r="AH242" i="5" s="1"/>
  <c r="AG371" i="5"/>
  <c r="AI371" i="5" s="1"/>
  <c r="AG251" i="5"/>
  <c r="AG67" i="5"/>
  <c r="AG170" i="5"/>
  <c r="AH170" i="5" s="1"/>
  <c r="AG298" i="5"/>
  <c r="AG100" i="5"/>
  <c r="AG215" i="5"/>
  <c r="AI215" i="5" s="1"/>
  <c r="AG373" i="5"/>
  <c r="AI373" i="5" s="1"/>
  <c r="AG60" i="5"/>
  <c r="AH60" i="5" s="1"/>
  <c r="AG277" i="5"/>
  <c r="AI277" i="5" s="1"/>
  <c r="AG435" i="5"/>
  <c r="AG115" i="5"/>
  <c r="AI115" i="5" s="1"/>
  <c r="AG269" i="5"/>
  <c r="AH269" i="5" s="1"/>
  <c r="AG204" i="5"/>
  <c r="AH204" i="5" s="1"/>
  <c r="AG125" i="5"/>
  <c r="AG433" i="5"/>
  <c r="AH433" i="5" s="1"/>
  <c r="AM549" i="5"/>
  <c r="AO549" i="5" s="1"/>
  <c r="AM409" i="5"/>
  <c r="AN409" i="5" s="1"/>
  <c r="AM113" i="5"/>
  <c r="AO113" i="5" s="1"/>
  <c r="AM347" i="5"/>
  <c r="AO347" i="5" s="1"/>
  <c r="AM500" i="5"/>
  <c r="AO500" i="5" s="1"/>
  <c r="AM485" i="5"/>
  <c r="AO485" i="5" s="1"/>
  <c r="AM334" i="5"/>
  <c r="AO334" i="5" s="1"/>
  <c r="AM238" i="5"/>
  <c r="AN238" i="5" s="1"/>
  <c r="AM29" i="5"/>
  <c r="AN29" i="5" s="1"/>
  <c r="AM426" i="5"/>
  <c r="AN426" i="5" s="1"/>
  <c r="AM322" i="5"/>
  <c r="AN322" i="5" s="1"/>
  <c r="AM53" i="5"/>
  <c r="AO53" i="5" s="1"/>
  <c r="AM454" i="5"/>
  <c r="AO454" i="5" s="1"/>
  <c r="AM286" i="5"/>
  <c r="AN286" i="5" s="1"/>
  <c r="AM186" i="5"/>
  <c r="AN186" i="5" s="1"/>
  <c r="AM62" i="5"/>
  <c r="AO62" i="5" s="1"/>
  <c r="AM493" i="5"/>
  <c r="AO493" i="5" s="1"/>
  <c r="AM222" i="5"/>
  <c r="AO222" i="5" s="1"/>
  <c r="AM492" i="5"/>
  <c r="AO492" i="5" s="1"/>
  <c r="AM326" i="5"/>
  <c r="AN326" i="5" s="1"/>
  <c r="AM68" i="5"/>
  <c r="AN68" i="5" s="1"/>
  <c r="AM487" i="5"/>
  <c r="AO487" i="5" s="1"/>
  <c r="AM496" i="5"/>
  <c r="AN496" i="5" s="1"/>
  <c r="AM263" i="5"/>
  <c r="AO263" i="5" s="1"/>
  <c r="AM554" i="5"/>
  <c r="AO554" i="5" s="1"/>
  <c r="AM243" i="5"/>
  <c r="AO243" i="5" s="1"/>
  <c r="AM388" i="5"/>
  <c r="AN388" i="5" s="1"/>
  <c r="AM520" i="5"/>
  <c r="AN520" i="5" s="1"/>
  <c r="AM346" i="5"/>
  <c r="AN346" i="5" s="1"/>
  <c r="AM173" i="5"/>
  <c r="AN173" i="5" s="1"/>
  <c r="AM550" i="5"/>
  <c r="AN550" i="5" s="1"/>
  <c r="AM458" i="5"/>
  <c r="AN458" i="5" s="1"/>
  <c r="AM298" i="5"/>
  <c r="AN298" i="5" s="1"/>
  <c r="AM38" i="5"/>
  <c r="AN38" i="5" s="1"/>
  <c r="AM484" i="5"/>
  <c r="AN484" i="5" s="1"/>
  <c r="AM389" i="5"/>
  <c r="AN389" i="5" s="1"/>
  <c r="AM204" i="5"/>
  <c r="AO204" i="5" s="1"/>
  <c r="AM28" i="5"/>
  <c r="AO28" i="5" s="1"/>
  <c r="AM397" i="5"/>
  <c r="AO397" i="5" s="1"/>
  <c r="AM141" i="5"/>
  <c r="AN141" i="5" s="1"/>
  <c r="AM394" i="5"/>
  <c r="AN394" i="5" s="1"/>
  <c r="AM161" i="5"/>
  <c r="AN161" i="5" s="1"/>
  <c r="AM431" i="5"/>
  <c r="AO431" i="5" s="1"/>
  <c r="AM495" i="5"/>
  <c r="AN495" i="5" s="1"/>
  <c r="AM359" i="5"/>
  <c r="AO359" i="5" s="1"/>
  <c r="AM546" i="5"/>
  <c r="AO546" i="5" s="1"/>
  <c r="AM24" i="5"/>
  <c r="AN24" i="5" s="1"/>
  <c r="AM457" i="5"/>
  <c r="AO457" i="5" s="1"/>
  <c r="AM129" i="5"/>
  <c r="AO129" i="5" s="1"/>
  <c r="AM211" i="5"/>
  <c r="AN211" i="5" s="1"/>
  <c r="AM410" i="5"/>
  <c r="AO410" i="5" s="1"/>
  <c r="AM270" i="5"/>
  <c r="AO270" i="5" s="1"/>
  <c r="AM430" i="5"/>
  <c r="AN430" i="5" s="1"/>
  <c r="AM58" i="5"/>
  <c r="AN58" i="5" s="1"/>
  <c r="AM198" i="5"/>
  <c r="AO198" i="5" s="1"/>
  <c r="AM31" i="5"/>
  <c r="AN31" i="5" s="1"/>
  <c r="AM72" i="5"/>
  <c r="AO72" i="5" s="1"/>
  <c r="AM289" i="5"/>
  <c r="AO289" i="5" s="1"/>
  <c r="AM155" i="5"/>
  <c r="AN155" i="5" s="1"/>
  <c r="AM83" i="5"/>
  <c r="AO83" i="5" s="1"/>
  <c r="AM299" i="5"/>
  <c r="AN299" i="5" s="1"/>
  <c r="AM396" i="5"/>
  <c r="AO396" i="5" s="1"/>
  <c r="AM434" i="5"/>
  <c r="AO434" i="5" s="1"/>
  <c r="AM306" i="5"/>
  <c r="AO306" i="5" s="1"/>
  <c r="AM122" i="5"/>
  <c r="AN122" i="5" s="1"/>
  <c r="AM437" i="5"/>
  <c r="AN437" i="5" s="1"/>
  <c r="AM354" i="5"/>
  <c r="AO354" i="5" s="1"/>
  <c r="AM282" i="5"/>
  <c r="AO282" i="5" s="1"/>
  <c r="AM26" i="5"/>
  <c r="AO26" i="5" s="1"/>
  <c r="AM462" i="5"/>
  <c r="AO462" i="5" s="1"/>
  <c r="AM293" i="5"/>
  <c r="AN293" i="5" s="1"/>
  <c r="AM205" i="5"/>
  <c r="AN205" i="5" s="1"/>
  <c r="AM42" i="5"/>
  <c r="AN42" i="5" s="1"/>
  <c r="AM374" i="5"/>
  <c r="AO374" i="5" s="1"/>
  <c r="AM149" i="5"/>
  <c r="AO149" i="5" s="1"/>
  <c r="AM422" i="5"/>
  <c r="AN422" i="5" s="1"/>
  <c r="AM194" i="5"/>
  <c r="AO194" i="5" s="1"/>
  <c r="AM311" i="5"/>
  <c r="AO311" i="5" s="1"/>
  <c r="AM175" i="5"/>
  <c r="AN175" i="5" s="1"/>
  <c r="AM32" i="5"/>
  <c r="AO32" i="5" s="1"/>
  <c r="AM465" i="5"/>
  <c r="AN465" i="5" s="1"/>
  <c r="AM145" i="5"/>
  <c r="AO145" i="5" s="1"/>
  <c r="AM324" i="5"/>
  <c r="AO324" i="5" s="1"/>
  <c r="AM556" i="5"/>
  <c r="AO556" i="5" s="1"/>
  <c r="AM438" i="5"/>
  <c r="AO438" i="5" s="1"/>
  <c r="AM61" i="5"/>
  <c r="AO61" i="5" s="1"/>
  <c r="AM418" i="5"/>
  <c r="AO418" i="5" s="1"/>
  <c r="AM514" i="5"/>
  <c r="AO514" i="5" s="1"/>
  <c r="AM157" i="5"/>
  <c r="AO157" i="5" s="1"/>
  <c r="AM423" i="5"/>
  <c r="AN423" i="5" s="1"/>
  <c r="AM128" i="5"/>
  <c r="AO128" i="5" s="1"/>
  <c r="AM225" i="5"/>
  <c r="AN225" i="5" s="1"/>
  <c r="AM369" i="5"/>
  <c r="AO369" i="5" s="1"/>
  <c r="AM450" i="5"/>
  <c r="AN450" i="5" s="1"/>
  <c r="AM506" i="5"/>
  <c r="AN506" i="5" s="1"/>
  <c r="AM262" i="5"/>
  <c r="AO262" i="5" s="1"/>
  <c r="AM109" i="5"/>
  <c r="AN109" i="5" s="1"/>
  <c r="AM536" i="5"/>
  <c r="AN536" i="5" s="1"/>
  <c r="AM349" i="5"/>
  <c r="AO349" i="5" s="1"/>
  <c r="AM261" i="5"/>
  <c r="AN261" i="5" s="1"/>
  <c r="AM372" i="5"/>
  <c r="AN372" i="5" s="1"/>
  <c r="AM412" i="5"/>
  <c r="AO412" i="5" s="1"/>
  <c r="AM404" i="5"/>
  <c r="AO404" i="5" s="1"/>
  <c r="AM162" i="5"/>
  <c r="AO162" i="5" s="1"/>
  <c r="AM552" i="5"/>
  <c r="AO552" i="5" s="1"/>
  <c r="AM413" i="5"/>
  <c r="AN413" i="5" s="1"/>
  <c r="AM85" i="5"/>
  <c r="AN85" i="5" s="1"/>
  <c r="AM340" i="5"/>
  <c r="AO340" i="5" s="1"/>
  <c r="AM197" i="5"/>
  <c r="AN197" i="5" s="1"/>
  <c r="AM447" i="5"/>
  <c r="AN447" i="5" s="1"/>
  <c r="AM383" i="5"/>
  <c r="AN383" i="5" s="1"/>
  <c r="AM360" i="5"/>
  <c r="AO360" i="5" s="1"/>
  <c r="AM48" i="5"/>
  <c r="AO48" i="5" s="1"/>
  <c r="AM435" i="5"/>
  <c r="AN435" i="5" s="1"/>
  <c r="AM130" i="5"/>
  <c r="AO130" i="5" s="1"/>
  <c r="AM302" i="5"/>
  <c r="AO302" i="5" s="1"/>
  <c r="AM228" i="5"/>
  <c r="AN228" i="5" s="1"/>
  <c r="AM444" i="5"/>
  <c r="AO444" i="5" s="1"/>
  <c r="AM136" i="5"/>
  <c r="AO136" i="5" s="1"/>
  <c r="AM185" i="5"/>
  <c r="AN185" i="5" s="1"/>
  <c r="AM131" i="5"/>
  <c r="AN131" i="5" s="1"/>
  <c r="AM195" i="5"/>
  <c r="AO195" i="5" s="1"/>
  <c r="AM281" i="5"/>
  <c r="AO281" i="5" s="1"/>
  <c r="AM169" i="5"/>
  <c r="AO169" i="5" s="1"/>
  <c r="AJ539" i="5"/>
  <c r="AK539" i="5" s="1"/>
  <c r="AM209" i="5"/>
  <c r="AN209" i="5" s="1"/>
  <c r="AM551" i="5"/>
  <c r="AN551" i="5" s="1"/>
  <c r="AM325" i="5"/>
  <c r="AN325" i="5" s="1"/>
  <c r="AM318" i="5"/>
  <c r="AO318" i="5" s="1"/>
  <c r="AM98" i="5"/>
  <c r="AO98" i="5" s="1"/>
  <c r="AM518" i="5"/>
  <c r="AO518" i="5" s="1"/>
  <c r="AM390" i="5"/>
  <c r="AN390" i="5" s="1"/>
  <c r="AM210" i="5"/>
  <c r="AN210" i="5" s="1"/>
  <c r="AM528" i="5"/>
  <c r="AN528" i="5" s="1"/>
  <c r="AM532" i="5"/>
  <c r="AO532" i="5" s="1"/>
  <c r="AM301" i="5"/>
  <c r="AN301" i="5" s="1"/>
  <c r="AM142" i="5"/>
  <c r="AN142" i="5" s="1"/>
  <c r="AM543" i="5"/>
  <c r="AN543" i="5" s="1"/>
  <c r="AM338" i="5"/>
  <c r="AN338" i="5" s="1"/>
  <c r="AM82" i="5"/>
  <c r="AO82" i="5" s="1"/>
  <c r="AM356" i="5"/>
  <c r="AO356" i="5" s="1"/>
  <c r="AM116" i="5"/>
  <c r="AN116" i="5" s="1"/>
  <c r="AM87" i="5"/>
  <c r="AN87" i="5" s="1"/>
  <c r="AM176" i="5"/>
  <c r="AO176" i="5" s="1"/>
  <c r="AM118" i="5"/>
  <c r="AN118" i="5" s="1"/>
  <c r="AM510" i="5"/>
  <c r="AO510" i="5" s="1"/>
  <c r="AM490" i="5"/>
  <c r="AN490" i="5" s="1"/>
  <c r="AM294" i="5"/>
  <c r="AO294" i="5" s="1"/>
  <c r="AM106" i="5"/>
  <c r="AN106" i="5" s="1"/>
  <c r="AM560" i="5"/>
  <c r="AO560" i="5" s="1"/>
  <c r="AM206" i="5"/>
  <c r="AN206" i="5" s="1"/>
  <c r="AM481" i="5"/>
  <c r="AN481" i="5" s="1"/>
  <c r="AM358" i="5"/>
  <c r="AO358" i="5" s="1"/>
  <c r="AM110" i="5"/>
  <c r="AO110" i="5" s="1"/>
  <c r="AM223" i="5"/>
  <c r="AO223" i="5" s="1"/>
  <c r="AM127" i="5"/>
  <c r="AO127" i="5" s="1"/>
  <c r="AM267" i="5"/>
  <c r="AO267" i="5" s="1"/>
  <c r="AM421" i="5"/>
  <c r="AO421" i="5" s="1"/>
  <c r="AM341" i="5"/>
  <c r="AO341" i="5" s="1"/>
  <c r="AM174" i="5"/>
  <c r="AO174" i="5" s="1"/>
  <c r="AM45" i="5"/>
  <c r="AN45" i="5" s="1"/>
  <c r="AM474" i="5"/>
  <c r="AO474" i="5" s="1"/>
  <c r="AM252" i="5"/>
  <c r="AN252" i="5" s="1"/>
  <c r="AM274" i="5"/>
  <c r="AN274" i="5" s="1"/>
  <c r="AM132" i="5"/>
  <c r="AN132" i="5" s="1"/>
  <c r="AM79" i="5"/>
  <c r="AN79" i="5" s="1"/>
  <c r="AM533" i="5"/>
  <c r="AN533" i="5" s="1"/>
  <c r="AM455" i="5"/>
  <c r="AN455" i="5" s="1"/>
  <c r="AM367" i="5"/>
  <c r="AO367" i="5" s="1"/>
  <c r="AM239" i="5"/>
  <c r="AN239" i="5" s="1"/>
  <c r="AM219" i="5"/>
  <c r="AO219" i="5" s="1"/>
  <c r="T167" i="5"/>
  <c r="U167" i="5" s="1"/>
  <c r="AM71" i="5"/>
  <c r="AN71" i="5" s="1"/>
  <c r="T153" i="5"/>
  <c r="T122" i="5"/>
  <c r="AM328" i="5"/>
  <c r="AO328" i="5" s="1"/>
  <c r="AM224" i="5"/>
  <c r="AO224" i="5" s="1"/>
  <c r="AM56" i="5"/>
  <c r="AN56" i="5" s="1"/>
  <c r="AM385" i="5"/>
  <c r="AO385" i="5" s="1"/>
  <c r="AM331" i="5"/>
  <c r="AM260" i="5"/>
  <c r="AO260" i="5" s="1"/>
  <c r="AM415" i="5"/>
  <c r="AM547" i="5"/>
  <c r="AN547" i="5" s="1"/>
  <c r="AM446" i="5"/>
  <c r="AO446" i="5" s="1"/>
  <c r="AM420" i="5"/>
  <c r="AO420" i="5" s="1"/>
  <c r="AM220" i="5"/>
  <c r="AO220" i="5" s="1"/>
  <c r="AM81" i="5"/>
  <c r="AO81" i="5" s="1"/>
  <c r="AM463" i="5"/>
  <c r="AO463" i="5" s="1"/>
  <c r="AM419" i="5"/>
  <c r="AN419" i="5" s="1"/>
  <c r="AM167" i="5"/>
  <c r="AO167" i="5" s="1"/>
  <c r="AM23" i="5"/>
  <c r="AN23" i="5" s="1"/>
  <c r="T198" i="5"/>
  <c r="V198" i="5" s="1"/>
  <c r="T58" i="5"/>
  <c r="V58" i="5" s="1"/>
  <c r="AM232" i="5"/>
  <c r="AO232" i="5" s="1"/>
  <c r="AM296" i="5"/>
  <c r="AO296" i="5" s="1"/>
  <c r="AM168" i="5"/>
  <c r="AN168" i="5" s="1"/>
  <c r="AM8" i="5"/>
  <c r="AO8" i="5" s="1"/>
  <c r="AM276" i="5"/>
  <c r="AO276" i="5" s="1"/>
  <c r="AM39" i="5"/>
  <c r="AO39" i="5" s="1"/>
  <c r="AJ371" i="5"/>
  <c r="AK371" i="5" s="1"/>
  <c r="O12" i="5"/>
  <c r="T12" i="5" s="1"/>
  <c r="AM477" i="5"/>
  <c r="AO477" i="5" s="1"/>
  <c r="AM314" i="5"/>
  <c r="AO314" i="5" s="1"/>
  <c r="AM125" i="5"/>
  <c r="AO125" i="5" s="1"/>
  <c r="AM505" i="5"/>
  <c r="AN505" i="5" s="1"/>
  <c r="AM406" i="5"/>
  <c r="AO406" i="5" s="1"/>
  <c r="AM249" i="5"/>
  <c r="AO249" i="5" s="1"/>
  <c r="AM221" i="5"/>
  <c r="AO221" i="5" s="1"/>
  <c r="AM70" i="5"/>
  <c r="AO70" i="5" s="1"/>
  <c r="AM537" i="5"/>
  <c r="AN537" i="5" s="1"/>
  <c r="AM335" i="5"/>
  <c r="AN335" i="5" s="1"/>
  <c r="AM287" i="5"/>
  <c r="AO287" i="5" s="1"/>
  <c r="AM199" i="5"/>
  <c r="AO199" i="5" s="1"/>
  <c r="AM47" i="5"/>
  <c r="AO47" i="5" s="1"/>
  <c r="AM103" i="5"/>
  <c r="AO103" i="5" s="1"/>
  <c r="T218" i="5"/>
  <c r="U218" i="5" s="1"/>
  <c r="AM538" i="5"/>
  <c r="AO538" i="5" s="1"/>
  <c r="T184" i="5"/>
  <c r="U184" i="5" s="1"/>
  <c r="AM40" i="5"/>
  <c r="AO40" i="5" s="1"/>
  <c r="AM88" i="5"/>
  <c r="AN88" i="5" s="1"/>
  <c r="AM137" i="5"/>
  <c r="AO137" i="5" s="1"/>
  <c r="AM451" i="5"/>
  <c r="AM259" i="5"/>
  <c r="AO259" i="5" s="1"/>
  <c r="AJ379" i="5"/>
  <c r="AK379" i="5" s="1"/>
  <c r="AM442" i="5"/>
  <c r="AO442" i="5" s="1"/>
  <c r="AM178" i="5"/>
  <c r="AN178" i="5" s="1"/>
  <c r="AM114" i="5"/>
  <c r="AN114" i="5" s="1"/>
  <c r="AM473" i="5"/>
  <c r="AO473" i="5" s="1"/>
  <c r="AM380" i="5"/>
  <c r="AO380" i="5" s="1"/>
  <c r="AM278" i="5"/>
  <c r="AN278" i="5" s="1"/>
  <c r="AM172" i="5"/>
  <c r="AO172" i="5" s="1"/>
  <c r="AM50" i="5"/>
  <c r="AN50" i="5" s="1"/>
  <c r="AM231" i="5"/>
  <c r="AO231" i="5" s="1"/>
  <c r="T219" i="5"/>
  <c r="U219" i="5" s="1"/>
  <c r="AM207" i="5"/>
  <c r="AO207" i="5" s="1"/>
  <c r="T111" i="5"/>
  <c r="V111" i="5" s="1"/>
  <c r="T42" i="5"/>
  <c r="U42" i="5" s="1"/>
  <c r="AM526" i="5"/>
  <c r="AO526" i="5" s="1"/>
  <c r="AM392" i="5"/>
  <c r="AO392" i="5" s="1"/>
  <c r="AM264" i="5"/>
  <c r="AN264" i="5" s="1"/>
  <c r="AM192" i="5"/>
  <c r="AO192" i="5" s="1"/>
  <c r="AM555" i="5"/>
  <c r="AN555" i="5" s="1"/>
  <c r="AM97" i="5"/>
  <c r="AN97" i="5" s="1"/>
  <c r="AM283" i="5"/>
  <c r="AN283" i="5" s="1"/>
  <c r="AM159" i="5"/>
  <c r="AO159" i="5" s="1"/>
  <c r="T23" i="5"/>
  <c r="U23" i="5" s="1"/>
  <c r="T71" i="5"/>
  <c r="U71" i="5" s="1"/>
  <c r="AM111" i="5"/>
  <c r="AO111" i="5" s="1"/>
  <c r="T193" i="5"/>
  <c r="U193" i="5" s="1"/>
  <c r="AM534" i="5"/>
  <c r="AO534" i="5" s="1"/>
  <c r="AM152" i="5"/>
  <c r="AO152" i="5" s="1"/>
  <c r="AM112" i="5"/>
  <c r="AO112" i="5" s="1"/>
  <c r="AM139" i="5"/>
  <c r="AO139" i="5" s="1"/>
  <c r="AM539" i="5"/>
  <c r="AM497" i="5"/>
  <c r="AN497" i="5" s="1"/>
  <c r="AM233" i="5"/>
  <c r="AN233" i="5" s="1"/>
  <c r="AM25" i="5"/>
  <c r="AO25" i="5" s="1"/>
  <c r="AM557" i="5"/>
  <c r="AO557" i="5" s="1"/>
  <c r="AM467" i="5"/>
  <c r="AO467" i="5" s="1"/>
  <c r="AM355" i="5"/>
  <c r="AO355" i="5" s="1"/>
  <c r="AM147" i="5"/>
  <c r="AN147" i="5" s="1"/>
  <c r="AM284" i="5"/>
  <c r="AN284" i="5" s="1"/>
  <c r="AM92" i="5"/>
  <c r="AN92" i="5" s="1"/>
  <c r="AM416" i="5"/>
  <c r="AN416" i="5" s="1"/>
  <c r="AM432" i="5"/>
  <c r="AN432" i="5" s="1"/>
  <c r="AM512" i="5"/>
  <c r="AN512" i="5" s="1"/>
  <c r="AM240" i="5"/>
  <c r="AO240" i="5" s="1"/>
  <c r="AM96" i="5"/>
  <c r="AN96" i="5" s="1"/>
  <c r="AM265" i="5"/>
  <c r="AN265" i="5" s="1"/>
  <c r="AM33" i="5"/>
  <c r="AO33" i="5" s="1"/>
  <c r="AM521" i="5"/>
  <c r="AN521" i="5" s="1"/>
  <c r="AM475" i="5"/>
  <c r="AO475" i="5" s="1"/>
  <c r="AM363" i="5"/>
  <c r="AO363" i="5" s="1"/>
  <c r="AM171" i="5"/>
  <c r="AM140" i="5"/>
  <c r="AO140" i="5" s="1"/>
  <c r="AM108" i="5"/>
  <c r="AM89" i="5"/>
  <c r="AN89" i="5" s="1"/>
  <c r="AI484" i="5"/>
  <c r="AJ51" i="5"/>
  <c r="AK51" i="5" s="1"/>
  <c r="AJ105" i="5"/>
  <c r="AL105" i="5" s="1"/>
  <c r="AM320" i="5"/>
  <c r="AN320" i="5" s="1"/>
  <c r="AM384" i="5"/>
  <c r="AO384" i="5" s="1"/>
  <c r="AM256" i="5"/>
  <c r="AN256" i="5" s="1"/>
  <c r="AM304" i="5"/>
  <c r="AO304" i="5" s="1"/>
  <c r="AM160" i="5"/>
  <c r="AO160" i="5" s="1"/>
  <c r="AM200" i="5"/>
  <c r="AO200" i="5" s="1"/>
  <c r="AM527" i="5"/>
  <c r="AN527" i="5" s="1"/>
  <c r="AM273" i="5"/>
  <c r="AO273" i="5" s="1"/>
  <c r="AM49" i="5"/>
  <c r="AN49" i="5" s="1"/>
  <c r="AM371" i="5"/>
  <c r="AN371" i="5" s="1"/>
  <c r="AM27" i="5"/>
  <c r="AN27" i="5" s="1"/>
  <c r="AM156" i="5"/>
  <c r="AN156" i="5" s="1"/>
  <c r="AM305" i="5"/>
  <c r="AN305" i="5" s="1"/>
  <c r="AM65" i="5"/>
  <c r="AO65" i="5" s="1"/>
  <c r="AM491" i="5"/>
  <c r="AN491" i="5" s="1"/>
  <c r="AM43" i="5"/>
  <c r="AO43" i="5" s="1"/>
  <c r="AM164" i="5"/>
  <c r="AN164" i="5" s="1"/>
  <c r="AM179" i="5"/>
  <c r="AO179" i="5" s="1"/>
  <c r="AJ273" i="5"/>
  <c r="AL273" i="5" s="1"/>
  <c r="AM312" i="5"/>
  <c r="AO312" i="5" s="1"/>
  <c r="AM433" i="5"/>
  <c r="AN433" i="5" s="1"/>
  <c r="AM313" i="5"/>
  <c r="AM73" i="5"/>
  <c r="AM427" i="5"/>
  <c r="AM499" i="5"/>
  <c r="AM51" i="5"/>
  <c r="AM212" i="5"/>
  <c r="AN212" i="5" s="1"/>
  <c r="AM343" i="5"/>
  <c r="AN343" i="5" s="1"/>
  <c r="AG43" i="5"/>
  <c r="AG191" i="5"/>
  <c r="AG431" i="5"/>
  <c r="AG329" i="5"/>
  <c r="AG263" i="5"/>
  <c r="AG331" i="5"/>
  <c r="AG342" i="5"/>
  <c r="AG541" i="5"/>
  <c r="AG150" i="5"/>
  <c r="AG95" i="5"/>
  <c r="AG241" i="5"/>
  <c r="AG399" i="5"/>
  <c r="AG52" i="5"/>
  <c r="AG388" i="5"/>
  <c r="AG430" i="5"/>
  <c r="AG325" i="5"/>
  <c r="AG543" i="5"/>
  <c r="AG53" i="5"/>
  <c r="AG369" i="5"/>
  <c r="B29" i="2"/>
  <c r="B25" i="2"/>
  <c r="B27" i="2"/>
  <c r="B23" i="2"/>
  <c r="B20" i="2"/>
  <c r="T90" i="5"/>
  <c r="V90" i="5" s="1"/>
  <c r="T168" i="5"/>
  <c r="T132" i="5"/>
  <c r="T165" i="5"/>
  <c r="T189" i="5"/>
  <c r="U189" i="5" s="1"/>
  <c r="AJ225" i="5"/>
  <c r="AK225" i="5" s="1"/>
  <c r="T143" i="5"/>
  <c r="V143" i="5" s="1"/>
  <c r="T103" i="5"/>
  <c r="U103" i="5" s="1"/>
  <c r="T217" i="5"/>
  <c r="U217" i="5" s="1"/>
  <c r="T110" i="5"/>
  <c r="T277" i="5"/>
  <c r="T124" i="5"/>
  <c r="T46" i="5"/>
  <c r="U46" i="5" s="1"/>
  <c r="T158" i="5"/>
  <c r="T102" i="5"/>
  <c r="U102" i="5" s="1"/>
  <c r="T240" i="5"/>
  <c r="V240" i="5" s="1"/>
  <c r="T200" i="5"/>
  <c r="U200" i="5" s="1"/>
  <c r="T255" i="5"/>
  <c r="U255" i="5" s="1"/>
  <c r="T220" i="5"/>
  <c r="U220" i="5" s="1"/>
  <c r="T97" i="5"/>
  <c r="U97" i="5" s="1"/>
  <c r="T213" i="5"/>
  <c r="U213" i="5" s="1"/>
  <c r="T108" i="5"/>
  <c r="U108" i="5" s="1"/>
  <c r="B43" i="5"/>
  <c r="T163" i="5"/>
  <c r="U163" i="5" s="1"/>
  <c r="T81" i="5"/>
  <c r="V81" i="5" s="1"/>
  <c r="T128" i="5"/>
  <c r="V128" i="5" s="1"/>
  <c r="T48" i="5"/>
  <c r="U48" i="5" s="1"/>
  <c r="T99" i="5"/>
  <c r="U99" i="5" s="1"/>
  <c r="T127" i="5"/>
  <c r="V127" i="5" s="1"/>
  <c r="T202" i="5"/>
  <c r="U202" i="5" s="1"/>
  <c r="T78" i="5"/>
  <c r="V78" i="5" s="1"/>
  <c r="T157" i="5"/>
  <c r="T60" i="5"/>
  <c r="U60" i="5" s="1"/>
  <c r="T238" i="5"/>
  <c r="U238" i="5" s="1"/>
  <c r="T178" i="5"/>
  <c r="V178" i="5" s="1"/>
  <c r="T77" i="5"/>
  <c r="V77" i="5" s="1"/>
  <c r="T144" i="5"/>
  <c r="V144" i="5" s="1"/>
  <c r="T216" i="5"/>
  <c r="U216" i="5" s="1"/>
  <c r="T96" i="5"/>
  <c r="U96" i="5" s="1"/>
  <c r="T147" i="5"/>
  <c r="U147" i="5" s="1"/>
  <c r="AJ227" i="5"/>
  <c r="AK227" i="5" s="1"/>
  <c r="T179" i="5"/>
  <c r="V179" i="5" s="1"/>
  <c r="T49" i="5"/>
  <c r="U49" i="5" s="1"/>
  <c r="T197" i="5"/>
  <c r="U197" i="5" s="1"/>
  <c r="T68" i="5"/>
  <c r="U68" i="5" s="1"/>
  <c r="T234" i="5"/>
  <c r="U234" i="5" s="1"/>
  <c r="T148" i="5"/>
  <c r="V148" i="5" s="1"/>
  <c r="T54" i="5"/>
  <c r="U54" i="5" s="1"/>
  <c r="AM163" i="5"/>
  <c r="AN163" i="5" s="1"/>
  <c r="AM488" i="5"/>
  <c r="AN488" i="5" s="1"/>
  <c r="T278" i="5"/>
  <c r="U278" i="5" s="1"/>
  <c r="T145" i="5"/>
  <c r="U145" i="5" s="1"/>
  <c r="T45" i="5"/>
  <c r="V45" i="5" s="1"/>
  <c r="T182" i="5"/>
  <c r="U182" i="5" s="1"/>
  <c r="T62" i="5"/>
  <c r="U62" i="5" s="1"/>
  <c r="T209" i="5"/>
  <c r="V209" i="5" s="1"/>
  <c r="T116" i="5"/>
  <c r="U116" i="5" s="1"/>
  <c r="T29" i="5"/>
  <c r="V29" i="5" s="1"/>
  <c r="T104" i="5"/>
  <c r="U104" i="5" s="1"/>
  <c r="T534" i="5"/>
  <c r="U534" i="5" s="1"/>
  <c r="T136" i="5"/>
  <c r="U136" i="5" s="1"/>
  <c r="AH446" i="5"/>
  <c r="T175" i="5"/>
  <c r="V175" i="5" s="1"/>
  <c r="T257" i="5"/>
  <c r="V257" i="5" s="1"/>
  <c r="T129" i="5"/>
  <c r="V129" i="5" s="1"/>
  <c r="T21" i="5"/>
  <c r="U21" i="5" s="1"/>
  <c r="T86" i="5"/>
  <c r="V86" i="5" s="1"/>
  <c r="T20" i="5"/>
  <c r="V20" i="5" s="1"/>
  <c r="T164" i="5"/>
  <c r="U164" i="5" s="1"/>
  <c r="T113" i="5"/>
  <c r="U113" i="5" s="1"/>
  <c r="T120" i="5"/>
  <c r="U120" i="5" s="1"/>
  <c r="T40" i="5"/>
  <c r="V40" i="5" s="1"/>
  <c r="T72" i="5"/>
  <c r="U72" i="5" s="1"/>
  <c r="AM504" i="5"/>
  <c r="AN504" i="5" s="1"/>
  <c r="B59" i="2"/>
  <c r="K26" i="2"/>
  <c r="B67" i="2"/>
  <c r="M26" i="2"/>
  <c r="B63" i="2"/>
  <c r="L26" i="2"/>
  <c r="AJ43" i="5"/>
  <c r="AL43" i="5" s="1"/>
  <c r="AJ147" i="5"/>
  <c r="AL147" i="5" s="1"/>
  <c r="B43" i="2"/>
  <c r="K35" i="2"/>
  <c r="AJ153" i="5"/>
  <c r="AL153" i="5" s="1"/>
  <c r="AJ169" i="5"/>
  <c r="AK169" i="5" s="1"/>
  <c r="AM64" i="5"/>
  <c r="AO64" i="5" s="1"/>
  <c r="L35" i="2"/>
  <c r="AM80" i="5"/>
  <c r="AO80" i="5" s="1"/>
  <c r="AJ483" i="5"/>
  <c r="AL483" i="5" s="1"/>
  <c r="AM472" i="5"/>
  <c r="AO472" i="5" s="1"/>
  <c r="T176" i="5"/>
  <c r="U176" i="5" s="1"/>
  <c r="AM352" i="5"/>
  <c r="AO352" i="5" s="1"/>
  <c r="Q554" i="5"/>
  <c r="S554" i="5" s="1"/>
  <c r="Q312" i="5"/>
  <c r="S312" i="5" s="1"/>
  <c r="K35" i="5"/>
  <c r="W184" i="5"/>
  <c r="X184" i="5" s="1"/>
  <c r="W451" i="5"/>
  <c r="Y451" i="5" s="1"/>
  <c r="W319" i="5"/>
  <c r="Y319" i="5" s="1"/>
  <c r="Q344" i="5"/>
  <c r="R344" i="5" s="1"/>
  <c r="Q304" i="5"/>
  <c r="R304" i="5" s="1"/>
  <c r="W78" i="5"/>
  <c r="Y78" i="5" s="1"/>
  <c r="Q534" i="5"/>
  <c r="Q48" i="5"/>
  <c r="S48" i="5" s="1"/>
  <c r="Q320" i="5"/>
  <c r="S320" i="5" s="1"/>
  <c r="Q392" i="5"/>
  <c r="S392" i="5" s="1"/>
  <c r="Q400" i="5"/>
  <c r="S400" i="5" s="1"/>
  <c r="Q488" i="5"/>
  <c r="S488" i="5" s="1"/>
  <c r="Q8" i="5"/>
  <c r="R8" i="5" s="1"/>
  <c r="Q440" i="5"/>
  <c r="S440" i="5" s="1"/>
  <c r="Q200" i="5"/>
  <c r="Q72" i="5"/>
  <c r="S72" i="5" s="1"/>
  <c r="W301" i="5"/>
  <c r="X301" i="5" s="1"/>
  <c r="Q526" i="5"/>
  <c r="R526" i="5" s="1"/>
  <c r="Q456" i="5"/>
  <c r="S456" i="5" s="1"/>
  <c r="Q208" i="5"/>
  <c r="R208" i="5" s="1"/>
  <c r="Q512" i="5"/>
  <c r="S512" i="5" s="1"/>
  <c r="Q144" i="5"/>
  <c r="R144" i="5" s="1"/>
  <c r="B49" i="5"/>
  <c r="W272" i="5"/>
  <c r="W74" i="5"/>
  <c r="Y74" i="5" s="1"/>
  <c r="Q432" i="5"/>
  <c r="S432" i="5" s="1"/>
  <c r="Q168" i="5"/>
  <c r="S168" i="5" s="1"/>
  <c r="Q104" i="5"/>
  <c r="R104" i="5" s="1"/>
  <c r="Q448" i="5"/>
  <c r="R448" i="5" s="1"/>
  <c r="Q480" i="5"/>
  <c r="R480" i="5" s="1"/>
  <c r="Q384" i="5"/>
  <c r="S384" i="5" s="1"/>
  <c r="Q224" i="5"/>
  <c r="R224" i="5" s="1"/>
  <c r="Q152" i="5"/>
  <c r="S152" i="5" s="1"/>
  <c r="Q56" i="5"/>
  <c r="R56" i="5" s="1"/>
  <c r="Q112" i="5"/>
  <c r="R112" i="5" s="1"/>
  <c r="Q538" i="5"/>
  <c r="S538" i="5" s="1"/>
  <c r="Q496" i="5"/>
  <c r="S496" i="5" s="1"/>
  <c r="Q256" i="5"/>
  <c r="S256" i="5" s="1"/>
  <c r="Q120" i="5"/>
  <c r="R120" i="5" s="1"/>
  <c r="Q216" i="5"/>
  <c r="S216" i="5" s="1"/>
  <c r="Q80" i="5"/>
  <c r="S80" i="5" s="1"/>
  <c r="Q424" i="5"/>
  <c r="S424" i="5" s="1"/>
  <c r="Q464" i="5"/>
  <c r="S464" i="5" s="1"/>
  <c r="Q352" i="5"/>
  <c r="S352" i="5" s="1"/>
  <c r="Q264" i="5"/>
  <c r="S264" i="5" s="1"/>
  <c r="Q176" i="5"/>
  <c r="Q546" i="5"/>
  <c r="Q472" i="5"/>
  <c r="S472" i="5" s="1"/>
  <c r="Q416" i="5"/>
  <c r="R416" i="5" s="1"/>
  <c r="Q272" i="5"/>
  <c r="R272" i="5" s="1"/>
  <c r="Q40" i="5"/>
  <c r="S40" i="5" s="1"/>
  <c r="W515" i="5"/>
  <c r="Y515" i="5" s="1"/>
  <c r="W55" i="5"/>
  <c r="X55" i="5" s="1"/>
  <c r="W557" i="5"/>
  <c r="W453" i="5"/>
  <c r="Y453" i="5" s="1"/>
  <c r="W270" i="5"/>
  <c r="Y270" i="5" s="1"/>
  <c r="W100" i="5"/>
  <c r="Y100" i="5" s="1"/>
  <c r="W341" i="5"/>
  <c r="Y341" i="5" s="1"/>
  <c r="W375" i="5"/>
  <c r="Y375" i="5" s="1"/>
  <c r="W26" i="5"/>
  <c r="X26" i="5" s="1"/>
  <c r="Q296" i="5"/>
  <c r="R296" i="5" s="1"/>
  <c r="Q328" i="5"/>
  <c r="S328" i="5" s="1"/>
  <c r="Q360" i="5"/>
  <c r="S360" i="5" s="1"/>
  <c r="Q232" i="5"/>
  <c r="S232" i="5" s="1"/>
  <c r="Q128" i="5"/>
  <c r="R128" i="5" s="1"/>
  <c r="W160" i="5"/>
  <c r="Y160" i="5" s="1"/>
  <c r="Q184" i="5"/>
  <c r="S184" i="5" s="1"/>
  <c r="W24" i="5"/>
  <c r="Y24" i="5" s="1"/>
  <c r="Q64" i="5"/>
  <c r="R64" i="5" s="1"/>
  <c r="Q88" i="5"/>
  <c r="S88" i="5" s="1"/>
  <c r="W66" i="5"/>
  <c r="Y66" i="5" s="1"/>
  <c r="W281" i="5"/>
  <c r="X281" i="5" s="1"/>
  <c r="W28" i="5"/>
  <c r="X28" i="5" s="1"/>
  <c r="W490" i="5"/>
  <c r="X490" i="5" s="1"/>
  <c r="W372" i="5"/>
  <c r="Y372" i="5" s="1"/>
  <c r="W102" i="5"/>
  <c r="Y102" i="5" s="1"/>
  <c r="W86" i="5"/>
  <c r="Y86" i="5" s="1"/>
  <c r="W331" i="5"/>
  <c r="W441" i="5"/>
  <c r="X441" i="5" s="1"/>
  <c r="W204" i="5"/>
  <c r="Y204" i="5" s="1"/>
  <c r="W260" i="5"/>
  <c r="X260" i="5" s="1"/>
  <c r="W399" i="5"/>
  <c r="Y399" i="5" s="1"/>
  <c r="W492" i="5"/>
  <c r="X492" i="5" s="1"/>
  <c r="Q336" i="5"/>
  <c r="S336" i="5" s="1"/>
  <c r="Q368" i="5"/>
  <c r="Q408" i="5"/>
  <c r="S408" i="5" s="1"/>
  <c r="Q240" i="5"/>
  <c r="R240" i="5" s="1"/>
  <c r="Q280" i="5"/>
  <c r="S280" i="5" s="1"/>
  <c r="W136" i="5"/>
  <c r="Y136" i="5" s="1"/>
  <c r="Q160" i="5"/>
  <c r="S160" i="5" s="1"/>
  <c r="W192" i="5"/>
  <c r="Y192" i="5" s="1"/>
  <c r="Q24" i="5"/>
  <c r="S24" i="5" s="1"/>
  <c r="W282" i="5"/>
  <c r="W323" i="5"/>
  <c r="X323" i="5" s="1"/>
  <c r="W135" i="5"/>
  <c r="X135" i="5" s="1"/>
  <c r="W439" i="5"/>
  <c r="X439" i="5" s="1"/>
  <c r="W501" i="5"/>
  <c r="Y501" i="5" s="1"/>
  <c r="W210" i="5"/>
  <c r="Y210" i="5" s="1"/>
  <c r="W259" i="5"/>
  <c r="Y259" i="5" s="1"/>
  <c r="W98" i="5"/>
  <c r="X98" i="5" s="1"/>
  <c r="W110" i="5"/>
  <c r="W291" i="5"/>
  <c r="X291" i="5" s="1"/>
  <c r="W139" i="5"/>
  <c r="X139" i="5" s="1"/>
  <c r="W159" i="5"/>
  <c r="X159" i="5" s="1"/>
  <c r="W382" i="5"/>
  <c r="X382" i="5" s="1"/>
  <c r="W216" i="5"/>
  <c r="X216" i="5" s="1"/>
  <c r="W472" i="5"/>
  <c r="Y472" i="5" s="1"/>
  <c r="Q504" i="5"/>
  <c r="S504" i="5" s="1"/>
  <c r="Q376" i="5"/>
  <c r="Q248" i="5"/>
  <c r="R248" i="5" s="1"/>
  <c r="Q288" i="5"/>
  <c r="S288" i="5" s="1"/>
  <c r="Q136" i="5"/>
  <c r="R136" i="5" s="1"/>
  <c r="W168" i="5"/>
  <c r="Y168" i="5" s="1"/>
  <c r="Q192" i="5"/>
  <c r="S192" i="5" s="1"/>
  <c r="Q32" i="5"/>
  <c r="S32" i="5" s="1"/>
  <c r="W72" i="5"/>
  <c r="X72" i="5" s="1"/>
  <c r="W262" i="5"/>
  <c r="W29" i="5"/>
  <c r="Y29" i="5" s="1"/>
  <c r="W62" i="5"/>
  <c r="Y62" i="5" s="1"/>
  <c r="W365" i="5"/>
  <c r="X365" i="5" s="1"/>
  <c r="W497" i="5"/>
  <c r="Y497" i="5" s="1"/>
  <c r="W183" i="5"/>
  <c r="Y183" i="5" s="1"/>
  <c r="W239" i="5"/>
  <c r="X239" i="5" s="1"/>
  <c r="W334" i="5"/>
  <c r="Y334" i="5" s="1"/>
  <c r="W243" i="5"/>
  <c r="Y243" i="5" s="1"/>
  <c r="W212" i="5"/>
  <c r="W521" i="5"/>
  <c r="X521" i="5" s="1"/>
  <c r="W51" i="5"/>
  <c r="X51" i="5" s="1"/>
  <c r="W330" i="5"/>
  <c r="X330" i="5" s="1"/>
  <c r="W526" i="5"/>
  <c r="X526" i="5" s="1"/>
  <c r="W333" i="5"/>
  <c r="Y333" i="5" s="1"/>
  <c r="W321" i="5"/>
  <c r="X321" i="5" s="1"/>
  <c r="W481" i="5"/>
  <c r="Y481" i="5" s="1"/>
  <c r="W405" i="5"/>
  <c r="W65" i="5"/>
  <c r="X65" i="5" s="1"/>
  <c r="W274" i="5"/>
  <c r="Y274" i="5" s="1"/>
  <c r="W305" i="5"/>
  <c r="X305" i="5" s="1"/>
  <c r="W101" i="5"/>
  <c r="X101" i="5" s="1"/>
  <c r="W467" i="5"/>
  <c r="X467" i="5" s="1"/>
  <c r="W60" i="5"/>
  <c r="Y60" i="5" s="1"/>
  <c r="W366" i="5"/>
  <c r="W290" i="5"/>
  <c r="W189" i="5"/>
  <c r="X189" i="5" s="1"/>
  <c r="W554" i="5"/>
  <c r="X554" i="5" s="1"/>
  <c r="W80" i="5"/>
  <c r="X80" i="5" s="1"/>
  <c r="W75" i="5"/>
  <c r="X75" i="5" s="1"/>
  <c r="W438" i="5"/>
  <c r="Y438" i="5" s="1"/>
  <c r="W386" i="5"/>
  <c r="X386" i="5" s="1"/>
  <c r="W132" i="5"/>
  <c r="W343" i="5"/>
  <c r="W237" i="5"/>
  <c r="X237" i="5" s="1"/>
  <c r="W181" i="5"/>
  <c r="X181" i="5" s="1"/>
  <c r="W71" i="5"/>
  <c r="Y71" i="5" s="1"/>
  <c r="W422" i="5"/>
  <c r="X422" i="5" s="1"/>
  <c r="W197" i="5"/>
  <c r="X197" i="5" s="1"/>
  <c r="W549" i="5"/>
  <c r="Y549" i="5" s="1"/>
  <c r="W293" i="5"/>
  <c r="X293" i="5" s="1"/>
  <c r="W403" i="5"/>
  <c r="X161" i="5"/>
  <c r="W392" i="5"/>
  <c r="Y392" i="5" s="1"/>
  <c r="W394" i="5"/>
  <c r="Y394" i="5" s="1"/>
  <c r="W358" i="5"/>
  <c r="Y358" i="5" s="1"/>
  <c r="W517" i="5"/>
  <c r="X517" i="5" s="1"/>
  <c r="W125" i="5"/>
  <c r="W551" i="5"/>
  <c r="Y551" i="5" s="1"/>
  <c r="W106" i="5"/>
  <c r="X106" i="5" s="1"/>
  <c r="W255" i="5"/>
  <c r="X255" i="5" s="1"/>
  <c r="W436" i="5"/>
  <c r="X436" i="5" s="1"/>
  <c r="W535" i="5"/>
  <c r="Y535" i="5" s="1"/>
  <c r="W340" i="5"/>
  <c r="Y340" i="5" s="1"/>
  <c r="W154" i="5"/>
  <c r="W435" i="5"/>
  <c r="W158" i="5"/>
  <c r="X158" i="5" s="1"/>
  <c r="W27" i="5"/>
  <c r="Y27" i="5" s="1"/>
  <c r="W122" i="5"/>
  <c r="W348" i="5"/>
  <c r="Y348" i="5" s="1"/>
  <c r="W510" i="5"/>
  <c r="X510" i="5" s="1"/>
  <c r="W68" i="5"/>
  <c r="W507" i="5"/>
  <c r="Y507" i="5" s="1"/>
  <c r="W454" i="5"/>
  <c r="X454" i="5" s="1"/>
  <c r="W531" i="5"/>
  <c r="X531" i="5" s="1"/>
  <c r="W449" i="5"/>
  <c r="Y449" i="5" s="1"/>
  <c r="W267" i="5"/>
  <c r="X267" i="5" s="1"/>
  <c r="W177" i="5"/>
  <c r="Y177" i="5" s="1"/>
  <c r="W299" i="5"/>
  <c r="Y299" i="5" s="1"/>
  <c r="W351" i="5"/>
  <c r="Y351" i="5" s="1"/>
  <c r="W536" i="5"/>
  <c r="Y536" i="5" s="1"/>
  <c r="S19" i="4"/>
  <c r="AL19" i="4" s="1"/>
  <c r="S27" i="4"/>
  <c r="AL27" i="4" s="1"/>
  <c r="S35" i="4"/>
  <c r="AL35" i="4" s="1"/>
  <c r="S43" i="4"/>
  <c r="AL43" i="4" s="1"/>
  <c r="S51" i="4"/>
  <c r="AL51" i="4" s="1"/>
  <c r="S60" i="4"/>
  <c r="AL60" i="4" s="1"/>
  <c r="S134" i="4"/>
  <c r="AL134" i="4" s="1"/>
  <c r="S98" i="4"/>
  <c r="U98" i="4" s="1"/>
  <c r="S65" i="4"/>
  <c r="AL65" i="4" s="1"/>
  <c r="S92" i="4"/>
  <c r="AL92" i="4" s="1"/>
  <c r="S123" i="4"/>
  <c r="AL123" i="4" s="1"/>
  <c r="S149" i="4"/>
  <c r="AL149" i="4" s="1"/>
  <c r="S91" i="4"/>
  <c r="AL91" i="4" s="1"/>
  <c r="S133" i="4"/>
  <c r="AS133" i="4" s="1"/>
  <c r="S145" i="4"/>
  <c r="AL145" i="4" s="1"/>
  <c r="S138" i="4"/>
  <c r="AL138" i="4" s="1"/>
  <c r="S113" i="4"/>
  <c r="AL113" i="4" s="1"/>
  <c r="S89" i="4"/>
  <c r="AL89" i="4" s="1"/>
  <c r="S7" i="4"/>
  <c r="AL7" i="4" s="1"/>
  <c r="S58" i="4"/>
  <c r="AL58" i="4" s="1"/>
  <c r="S122" i="4"/>
  <c r="AL122" i="4" s="1"/>
  <c r="S73" i="4"/>
  <c r="V73" i="4" s="1"/>
  <c r="AM73" i="4" s="1"/>
  <c r="S20" i="4"/>
  <c r="AL20" i="4" s="1"/>
  <c r="S28" i="4"/>
  <c r="AL28" i="4" s="1"/>
  <c r="S36" i="4"/>
  <c r="AL36" i="4" s="1"/>
  <c r="S44" i="4"/>
  <c r="AL44" i="4" s="1"/>
  <c r="S52" i="4"/>
  <c r="AL52" i="4" s="1"/>
  <c r="S67" i="4"/>
  <c r="AL67" i="4" s="1"/>
  <c r="S68" i="4"/>
  <c r="AL68" i="4" s="1"/>
  <c r="S102" i="4"/>
  <c r="AL102" i="4" s="1"/>
  <c r="S66" i="4"/>
  <c r="AL66" i="4" s="1"/>
  <c r="S96" i="4"/>
  <c r="AL96" i="4" s="1"/>
  <c r="S124" i="4"/>
  <c r="AL124" i="4" s="1"/>
  <c r="S153" i="4"/>
  <c r="AL153" i="4" s="1"/>
  <c r="S95" i="4"/>
  <c r="AL95" i="4" s="1"/>
  <c r="S77" i="4"/>
  <c r="V77" i="4" s="1"/>
  <c r="S156" i="4"/>
  <c r="AL156" i="4" s="1"/>
  <c r="S141" i="4"/>
  <c r="AS141" i="4" s="1"/>
  <c r="S117" i="4"/>
  <c r="AL117" i="4" s="1"/>
  <c r="S108" i="4"/>
  <c r="AL108" i="4" s="1"/>
  <c r="S50" i="4"/>
  <c r="AL50" i="4" s="1"/>
  <c r="S88" i="4"/>
  <c r="AL88" i="4" s="1"/>
  <c r="S118" i="4"/>
  <c r="U118" i="4" s="1"/>
  <c r="S15" i="4"/>
  <c r="AL15" i="4" s="1"/>
  <c r="S21" i="4"/>
  <c r="S29" i="4"/>
  <c r="AL29" i="4" s="1"/>
  <c r="S37" i="4"/>
  <c r="AL37" i="4" s="1"/>
  <c r="S45" i="4"/>
  <c r="AL45" i="4" s="1"/>
  <c r="S53" i="4"/>
  <c r="AL53" i="4" s="1"/>
  <c r="S62" i="4"/>
  <c r="U62" i="4" s="1"/>
  <c r="S74" i="4"/>
  <c r="AL74" i="4" s="1"/>
  <c r="S109" i="4"/>
  <c r="AL109" i="4" s="1"/>
  <c r="S71" i="4"/>
  <c r="AL71" i="4" s="1"/>
  <c r="S100" i="4"/>
  <c r="AL100" i="4" s="1"/>
  <c r="S125" i="4"/>
  <c r="AL125" i="4" s="1"/>
  <c r="S8" i="4"/>
  <c r="AL8" i="4" s="1"/>
  <c r="S103" i="4"/>
  <c r="AL103" i="4" s="1"/>
  <c r="S93" i="4"/>
  <c r="AL93" i="4" s="1"/>
  <c r="S9" i="4"/>
  <c r="AL9" i="4" s="1"/>
  <c r="S152" i="4"/>
  <c r="AL152" i="4" s="1"/>
  <c r="S147" i="4"/>
  <c r="AL147" i="4" s="1"/>
  <c r="S116" i="4"/>
  <c r="AL116" i="4" s="1"/>
  <c r="S26" i="4"/>
  <c r="AL26" i="4" s="1"/>
  <c r="S130" i="4"/>
  <c r="U130" i="4" s="1"/>
  <c r="S83" i="4"/>
  <c r="AL83" i="4" s="1"/>
  <c r="S101" i="4"/>
  <c r="S63" i="4"/>
  <c r="AL63" i="4" s="1"/>
  <c r="S22" i="4"/>
  <c r="AL22" i="4" s="1"/>
  <c r="S30" i="4"/>
  <c r="AL30" i="4" s="1"/>
  <c r="S38" i="4"/>
  <c r="AL38" i="4" s="1"/>
  <c r="S46" i="4"/>
  <c r="AL46" i="4" s="1"/>
  <c r="S54" i="4"/>
  <c r="AL54" i="4" s="1"/>
  <c r="S69" i="4"/>
  <c r="AL69" i="4" s="1"/>
  <c r="S78" i="4"/>
  <c r="AL78" i="4" s="1"/>
  <c r="S110" i="4"/>
  <c r="AL110" i="4" s="1"/>
  <c r="S72" i="4"/>
  <c r="AL72" i="4" s="1"/>
  <c r="S105" i="4"/>
  <c r="V105" i="4" s="1"/>
  <c r="S126" i="4"/>
  <c r="AL126" i="4" s="1"/>
  <c r="S61" i="4"/>
  <c r="AL61" i="4" s="1"/>
  <c r="S104" i="4"/>
  <c r="AL104" i="4" s="1"/>
  <c r="S107" i="4"/>
  <c r="AL107" i="4" s="1"/>
  <c r="S10" i="4"/>
  <c r="AS10" i="4" s="1"/>
  <c r="S155" i="4"/>
  <c r="AS155" i="4" s="1"/>
  <c r="S148" i="4"/>
  <c r="AL148" i="4" s="1"/>
  <c r="S143" i="4"/>
  <c r="U143" i="4" s="1"/>
  <c r="S18" i="4"/>
  <c r="AL18" i="4" s="1"/>
  <c r="S94" i="4"/>
  <c r="S132" i="4"/>
  <c r="S64" i="4"/>
  <c r="AL64" i="4" s="1"/>
  <c r="S23" i="4"/>
  <c r="AL23" i="4" s="1"/>
  <c r="S31" i="4"/>
  <c r="AL31" i="4" s="1"/>
  <c r="S39" i="4"/>
  <c r="AL39" i="4" s="1"/>
  <c r="S47" i="4"/>
  <c r="AL47" i="4" s="1"/>
  <c r="S55" i="4"/>
  <c r="AL55" i="4" s="1"/>
  <c r="S87" i="4"/>
  <c r="AL87" i="4" s="1"/>
  <c r="S82" i="4"/>
  <c r="AL82" i="4" s="1"/>
  <c r="S119" i="4"/>
  <c r="AL119" i="4" s="1"/>
  <c r="S76" i="4"/>
  <c r="AL76" i="4" s="1"/>
  <c r="S106" i="4"/>
  <c r="AL106" i="4" s="1"/>
  <c r="S135" i="4"/>
  <c r="AL135" i="4" s="1"/>
  <c r="S70" i="4"/>
  <c r="AL70" i="4" s="1"/>
  <c r="S111" i="4"/>
  <c r="AL111" i="4" s="1"/>
  <c r="S115" i="4"/>
  <c r="AL115" i="4" s="1"/>
  <c r="S81" i="4"/>
  <c r="AL81" i="4" s="1"/>
  <c r="S13" i="4"/>
  <c r="AL13" i="4" s="1"/>
  <c r="S151" i="4"/>
  <c r="AL151" i="4" s="1"/>
  <c r="S146" i="4"/>
  <c r="AL146" i="4" s="1"/>
  <c r="S42" i="4"/>
  <c r="AL42" i="4" s="1"/>
  <c r="S144" i="4"/>
  <c r="AL144" i="4" s="1"/>
  <c r="S11" i="4"/>
  <c r="AL11" i="4" s="1"/>
  <c r="S16" i="4"/>
  <c r="AL16" i="4" s="1"/>
  <c r="S24" i="4"/>
  <c r="AL24" i="4" s="1"/>
  <c r="S32" i="4"/>
  <c r="AL32" i="4" s="1"/>
  <c r="S40" i="4"/>
  <c r="AL40" i="4" s="1"/>
  <c r="S48" i="4"/>
  <c r="AL48" i="4" s="1"/>
  <c r="S56" i="4"/>
  <c r="AL56" i="4" s="1"/>
  <c r="S99" i="4"/>
  <c r="AL99" i="4" s="1"/>
  <c r="S86" i="4"/>
  <c r="AL86" i="4" s="1"/>
  <c r="S128" i="4"/>
  <c r="AL128" i="4" s="1"/>
  <c r="S80" i="4"/>
  <c r="AL80" i="4" s="1"/>
  <c r="S112" i="4"/>
  <c r="AL112" i="4" s="1"/>
  <c r="S139" i="4"/>
  <c r="AL139" i="4" s="1"/>
  <c r="S75" i="4"/>
  <c r="AL75" i="4" s="1"/>
  <c r="S129" i="4"/>
  <c r="AL129" i="4" s="1"/>
  <c r="S127" i="4"/>
  <c r="AL127" i="4" s="1"/>
  <c r="S97" i="4"/>
  <c r="AL97" i="4" s="1"/>
  <c r="S14" i="4"/>
  <c r="AL14" i="4" s="1"/>
  <c r="S154" i="4"/>
  <c r="AL154" i="4" s="1"/>
  <c r="S150" i="4"/>
  <c r="AL150" i="4" s="1"/>
  <c r="S17" i="4"/>
  <c r="AL17" i="4" s="1"/>
  <c r="S25" i="4"/>
  <c r="AL25" i="4" s="1"/>
  <c r="S33" i="4"/>
  <c r="AL33" i="4" s="1"/>
  <c r="S41" i="4"/>
  <c r="AL41" i="4" s="1"/>
  <c r="S49" i="4"/>
  <c r="AL49" i="4" s="1"/>
  <c r="S57" i="4"/>
  <c r="AL57" i="4" s="1"/>
  <c r="S120" i="4"/>
  <c r="AL120" i="4" s="1"/>
  <c r="S90" i="4"/>
  <c r="AL90" i="4" s="1"/>
  <c r="S137" i="4"/>
  <c r="AL137" i="4" s="1"/>
  <c r="S84" i="4"/>
  <c r="V84" i="4" s="1"/>
  <c r="S121" i="4"/>
  <c r="AL121" i="4" s="1"/>
  <c r="S140" i="4"/>
  <c r="V140" i="4" s="1"/>
  <c r="S79" i="4"/>
  <c r="S131" i="4"/>
  <c r="AL131" i="4" s="1"/>
  <c r="S136" i="4"/>
  <c r="AL136" i="4" s="1"/>
  <c r="S114" i="4"/>
  <c r="AL114" i="4" s="1"/>
  <c r="S85" i="4"/>
  <c r="AL85" i="4" s="1"/>
  <c r="S12" i="4"/>
  <c r="AL12" i="4" s="1"/>
  <c r="S157" i="4"/>
  <c r="V157" i="4" s="1"/>
  <c r="S34" i="4"/>
  <c r="S59" i="4"/>
  <c r="S142" i="4"/>
  <c r="AL142" i="4" s="1"/>
  <c r="W546" i="5"/>
  <c r="Y546" i="5" s="1"/>
  <c r="W424" i="5"/>
  <c r="X424" i="5" s="1"/>
  <c r="W448" i="5"/>
  <c r="X448" i="5" s="1"/>
  <c r="W496" i="5"/>
  <c r="Y496" i="5" s="1"/>
  <c r="W320" i="5"/>
  <c r="X320" i="5" s="1"/>
  <c r="W344" i="5"/>
  <c r="Y344" i="5" s="1"/>
  <c r="W368" i="5"/>
  <c r="Y368" i="5" s="1"/>
  <c r="W312" i="5"/>
  <c r="X312" i="5" s="1"/>
  <c r="W48" i="5"/>
  <c r="X48" i="5" s="1"/>
  <c r="W96" i="5"/>
  <c r="Y96" i="5" s="1"/>
  <c r="W553" i="5"/>
  <c r="Y553" i="5" s="1"/>
  <c r="W220" i="5"/>
  <c r="X220" i="5" s="1"/>
  <c r="W89" i="5"/>
  <c r="Y89" i="5" s="1"/>
  <c r="W218" i="5"/>
  <c r="Y218" i="5" s="1"/>
  <c r="W324" i="5"/>
  <c r="Y324" i="5" s="1"/>
  <c r="W390" i="5"/>
  <c r="Y390" i="5" s="1"/>
  <c r="W425" i="5"/>
  <c r="X425" i="5" s="1"/>
  <c r="W361" i="5"/>
  <c r="X361" i="5" s="1"/>
  <c r="W362" i="5"/>
  <c r="X362" i="5" s="1"/>
  <c r="W67" i="5"/>
  <c r="X67" i="5" s="1"/>
  <c r="W105" i="5"/>
  <c r="X105" i="5" s="1"/>
  <c r="W503" i="5"/>
  <c r="X503" i="5" s="1"/>
  <c r="W494" i="5"/>
  <c r="X494" i="5" s="1"/>
  <c r="W58" i="5"/>
  <c r="Y58" i="5" s="1"/>
  <c r="W552" i="5"/>
  <c r="Y552" i="5" s="1"/>
  <c r="W332" i="5"/>
  <c r="X332" i="5" s="1"/>
  <c r="W93" i="5"/>
  <c r="X93" i="5" s="1"/>
  <c r="W476" i="5"/>
  <c r="Y476" i="5" s="1"/>
  <c r="W478" i="5"/>
  <c r="Y478" i="5" s="1"/>
  <c r="W164" i="5"/>
  <c r="Y164" i="5" s="1"/>
  <c r="W474" i="5"/>
  <c r="Y474" i="5" s="1"/>
  <c r="W273" i="5"/>
  <c r="Y273" i="5" s="1"/>
  <c r="W244" i="5"/>
  <c r="Y244" i="5" s="1"/>
  <c r="W129" i="5"/>
  <c r="Y129" i="5" s="1"/>
  <c r="W163" i="5"/>
  <c r="X163" i="5" s="1"/>
  <c r="W167" i="5"/>
  <c r="W318" i="5"/>
  <c r="X318" i="5" s="1"/>
  <c r="W310" i="5"/>
  <c r="Y310" i="5" s="1"/>
  <c r="W44" i="5"/>
  <c r="Y44" i="5" s="1"/>
  <c r="W233" i="5"/>
  <c r="X233" i="5" s="1"/>
  <c r="W36" i="5"/>
  <c r="Y36" i="5" s="1"/>
  <c r="W82" i="5"/>
  <c r="X82" i="5" s="1"/>
  <c r="W428" i="5"/>
  <c r="Y428" i="5" s="1"/>
  <c r="W471" i="5"/>
  <c r="Y471" i="5" s="1"/>
  <c r="W21" i="5"/>
  <c r="Y21" i="5" s="1"/>
  <c r="W559" i="5"/>
  <c r="Y559" i="5" s="1"/>
  <c r="W410" i="5"/>
  <c r="X410" i="5" s="1"/>
  <c r="W222" i="5"/>
  <c r="Y222" i="5" s="1"/>
  <c r="W254" i="5"/>
  <c r="Y254" i="5" s="1"/>
  <c r="W130" i="5"/>
  <c r="X130" i="5" s="1"/>
  <c r="W235" i="5"/>
  <c r="W377" i="5"/>
  <c r="W461" i="5"/>
  <c r="W207" i="5"/>
  <c r="Y207" i="5" s="1"/>
  <c r="W408" i="5"/>
  <c r="X408" i="5" s="1"/>
  <c r="W47" i="5"/>
  <c r="W77" i="5"/>
  <c r="X77" i="5" s="1"/>
  <c r="W307" i="5"/>
  <c r="W445" i="5"/>
  <c r="Y445" i="5" s="1"/>
  <c r="W429" i="5"/>
  <c r="X429" i="5" s="1"/>
  <c r="W185" i="5"/>
  <c r="X185" i="5" s="1"/>
  <c r="W423" i="5"/>
  <c r="X423" i="5" s="1"/>
  <c r="W442" i="5"/>
  <c r="Y442" i="5" s="1"/>
  <c r="W248" i="5"/>
  <c r="Y248" i="5" s="1"/>
  <c r="W456" i="5"/>
  <c r="W504" i="5"/>
  <c r="Y504" i="5" s="1"/>
  <c r="W376" i="5"/>
  <c r="X376" i="5" s="1"/>
  <c r="W400" i="5"/>
  <c r="Y400" i="5" s="1"/>
  <c r="W224" i="5"/>
  <c r="Y224" i="5" s="1"/>
  <c r="W256" i="5"/>
  <c r="Y256" i="5" s="1"/>
  <c r="W288" i="5"/>
  <c r="X288" i="5" s="1"/>
  <c r="W120" i="5"/>
  <c r="X120" i="5" s="1"/>
  <c r="W56" i="5"/>
  <c r="W104" i="5"/>
  <c r="Y104" i="5" s="1"/>
  <c r="W148" i="5"/>
  <c r="X148" i="5" s="1"/>
  <c r="W491" i="5"/>
  <c r="Y491" i="5" s="1"/>
  <c r="W322" i="5"/>
  <c r="Y322" i="5" s="1"/>
  <c r="W114" i="5"/>
  <c r="Y114" i="5" s="1"/>
  <c r="W347" i="5"/>
  <c r="Y347" i="5" s="1"/>
  <c r="W378" i="5"/>
  <c r="X378" i="5" s="1"/>
  <c r="W528" i="5"/>
  <c r="Y528" i="5" s="1"/>
  <c r="W508" i="5"/>
  <c r="Y508" i="5" s="1"/>
  <c r="W327" i="5"/>
  <c r="Y327" i="5" s="1"/>
  <c r="W271" i="5"/>
  <c r="X271" i="5" s="1"/>
  <c r="W37" i="5"/>
  <c r="X37" i="5" s="1"/>
  <c r="W356" i="5"/>
  <c r="X356" i="5" s="1"/>
  <c r="W409" i="5"/>
  <c r="Y409" i="5" s="1"/>
  <c r="W530" i="5"/>
  <c r="X530" i="5" s="1"/>
  <c r="W269" i="5"/>
  <c r="W206" i="5"/>
  <c r="Y206" i="5" s="1"/>
  <c r="W20" i="5"/>
  <c r="X20" i="5" s="1"/>
  <c r="W300" i="5"/>
  <c r="Y300" i="5" s="1"/>
  <c r="W393" i="5"/>
  <c r="Y393" i="5" s="1"/>
  <c r="W34" i="5"/>
  <c r="Y34" i="5" s="1"/>
  <c r="W391" i="5"/>
  <c r="X391" i="5" s="1"/>
  <c r="W373" i="5"/>
  <c r="W145" i="5"/>
  <c r="X145" i="5" s="1"/>
  <c r="W178" i="5"/>
  <c r="Y178" i="5" s="1"/>
  <c r="W458" i="5"/>
  <c r="X458" i="5" s="1"/>
  <c r="W511" i="5"/>
  <c r="Y511" i="5" s="1"/>
  <c r="W134" i="5"/>
  <c r="X134" i="5" s="1"/>
  <c r="W236" i="5"/>
  <c r="X236" i="5" s="1"/>
  <c r="W411" i="5"/>
  <c r="X411" i="5" s="1"/>
  <c r="W278" i="5"/>
  <c r="Y278" i="5" s="1"/>
  <c r="W311" i="5"/>
  <c r="Y311" i="5" s="1"/>
  <c r="W39" i="5"/>
  <c r="X39" i="5" s="1"/>
  <c r="W261" i="5"/>
  <c r="Y261" i="5" s="1"/>
  <c r="W473" i="5"/>
  <c r="X473" i="5" s="1"/>
  <c r="W475" i="5"/>
  <c r="Y475" i="5" s="1"/>
  <c r="W430" i="5"/>
  <c r="X430" i="5" s="1"/>
  <c r="W45" i="5"/>
  <c r="X45" i="5" s="1"/>
  <c r="W174" i="5"/>
  <c r="Y174" i="5" s="1"/>
  <c r="W195" i="5"/>
  <c r="Y195" i="5" s="1"/>
  <c r="W505" i="5"/>
  <c r="Y505" i="5" s="1"/>
  <c r="W69" i="5"/>
  <c r="X69" i="5" s="1"/>
  <c r="W172" i="5"/>
  <c r="X172" i="5" s="1"/>
  <c r="W297" i="5"/>
  <c r="X297" i="5" s="1"/>
  <c r="W523" i="5"/>
  <c r="X523" i="5" s="1"/>
  <c r="W257" i="5"/>
  <c r="Y257" i="5" s="1"/>
  <c r="W258" i="5"/>
  <c r="Y258" i="5" s="1"/>
  <c r="W53" i="5"/>
  <c r="X53" i="5" s="1"/>
  <c r="W406" i="5"/>
  <c r="Y406" i="5" s="1"/>
  <c r="W213" i="5"/>
  <c r="X213" i="5" s="1"/>
  <c r="W460" i="5"/>
  <c r="X460" i="5" s="1"/>
  <c r="W46" i="5"/>
  <c r="X46" i="5" s="1"/>
  <c r="W268" i="5"/>
  <c r="X268" i="5" s="1"/>
  <c r="B40" i="5"/>
  <c r="W32" i="5"/>
  <c r="Y32" i="5" s="1"/>
  <c r="W432" i="5"/>
  <c r="Y432" i="5" s="1"/>
  <c r="W480" i="5"/>
  <c r="X480" i="5" s="1"/>
  <c r="W328" i="5"/>
  <c r="Y328" i="5" s="1"/>
  <c r="W144" i="5"/>
  <c r="X144" i="5" s="1"/>
  <c r="W200" i="5"/>
  <c r="Y200" i="5" s="1"/>
  <c r="W522" i="5"/>
  <c r="Y522" i="5" s="1"/>
  <c r="W283" i="5"/>
  <c r="Y283" i="5" s="1"/>
  <c r="W326" i="5"/>
  <c r="X326" i="5" s="1"/>
  <c r="W111" i="5"/>
  <c r="Y111" i="5" s="1"/>
  <c r="W149" i="5"/>
  <c r="Y149" i="5" s="1"/>
  <c r="W396" i="5"/>
  <c r="X396" i="5" s="1"/>
  <c r="W518" i="5"/>
  <c r="Y518" i="5" s="1"/>
  <c r="W294" i="5"/>
  <c r="X294" i="5" s="1"/>
  <c r="W306" i="5"/>
  <c r="Y306" i="5" s="1"/>
  <c r="W81" i="5"/>
  <c r="X81" i="5" s="1"/>
  <c r="W289" i="5"/>
  <c r="X289" i="5" s="1"/>
  <c r="W367" i="5"/>
  <c r="Y367" i="5" s="1"/>
  <c r="W401" i="5"/>
  <c r="X401" i="5" s="1"/>
  <c r="W292" i="5"/>
  <c r="Y292" i="5" s="1"/>
  <c r="W415" i="5"/>
  <c r="X415" i="5" s="1"/>
  <c r="W91" i="5"/>
  <c r="Y91" i="5" s="1"/>
  <c r="W265" i="5"/>
  <c r="X265" i="5" s="1"/>
  <c r="W346" i="5"/>
  <c r="X346" i="5" s="1"/>
  <c r="W387" i="5"/>
  <c r="Y387" i="5" s="1"/>
  <c r="W308" i="5"/>
  <c r="X308" i="5" s="1"/>
  <c r="W190" i="5"/>
  <c r="X190" i="5" s="1"/>
  <c r="W109" i="5"/>
  <c r="X109" i="5" s="1"/>
  <c r="W117" i="5"/>
  <c r="Y117" i="5" s="1"/>
  <c r="W443" i="5"/>
  <c r="X443" i="5" s="1"/>
  <c r="W483" i="5"/>
  <c r="Y483" i="5" s="1"/>
  <c r="W49" i="5"/>
  <c r="W459" i="5"/>
  <c r="W285" i="5"/>
  <c r="W242" i="5"/>
  <c r="X242" i="5" s="1"/>
  <c r="W263" i="5"/>
  <c r="Y263" i="5" s="1"/>
  <c r="W95" i="5"/>
  <c r="Y95" i="5" s="1"/>
  <c r="W298" i="5"/>
  <c r="Y298" i="5" s="1"/>
  <c r="W371" i="5"/>
  <c r="X371" i="5" s="1"/>
  <c r="W97" i="5"/>
  <c r="X97" i="5" s="1"/>
  <c r="W253" i="5"/>
  <c r="X253" i="5" s="1"/>
  <c r="W214" i="5"/>
  <c r="X214" i="5" s="1"/>
  <c r="W113" i="5"/>
  <c r="W166" i="5"/>
  <c r="Y166" i="5" s="1"/>
  <c r="W389" i="5"/>
  <c r="X389" i="5" s="1"/>
  <c r="W468" i="5"/>
  <c r="Y468" i="5" s="1"/>
  <c r="W115" i="5"/>
  <c r="X115" i="5" s="1"/>
  <c r="W520" i="5"/>
  <c r="X520" i="5" s="1"/>
  <c r="W506" i="5"/>
  <c r="X506" i="5" s="1"/>
  <c r="W193" i="5"/>
  <c r="W221" i="5"/>
  <c r="X221" i="5" s="1"/>
  <c r="W108" i="5"/>
  <c r="Y108" i="5" s="1"/>
  <c r="W313" i="5"/>
  <c r="Y313" i="5" s="1"/>
  <c r="W226" i="5"/>
  <c r="Y226" i="5" s="1"/>
  <c r="W479" i="5"/>
  <c r="W50" i="5"/>
  <c r="W275" i="5"/>
  <c r="Y275" i="5" s="1"/>
  <c r="W342" i="5"/>
  <c r="X342" i="5" s="1"/>
  <c r="W352" i="5"/>
  <c r="X352" i="5" s="1"/>
  <c r="W534" i="5"/>
  <c r="Y534" i="5" s="1"/>
  <c r="W264" i="5"/>
  <c r="X264" i="5" s="1"/>
  <c r="W176" i="5"/>
  <c r="X176" i="5" s="1"/>
  <c r="W64" i="5"/>
  <c r="Y64" i="5" s="1"/>
  <c r="W112" i="5"/>
  <c r="W537" i="5"/>
  <c r="Y537" i="5" s="1"/>
  <c r="W126" i="5"/>
  <c r="X126" i="5" s="1"/>
  <c r="W544" i="5"/>
  <c r="X544" i="5" s="1"/>
  <c r="W107" i="5"/>
  <c r="X107" i="5" s="1"/>
  <c r="W314" i="5"/>
  <c r="X314" i="5" s="1"/>
  <c r="W338" i="5"/>
  <c r="Y338" i="5" s="1"/>
  <c r="W170" i="5"/>
  <c r="Y170" i="5" s="1"/>
  <c r="W201" i="5"/>
  <c r="Y201" i="5" s="1"/>
  <c r="W198" i="5"/>
  <c r="Y198" i="5" s="1"/>
  <c r="W286" i="5"/>
  <c r="X286" i="5" s="1"/>
  <c r="W140" i="5"/>
  <c r="Y140" i="5" s="1"/>
  <c r="W196" i="5"/>
  <c r="X196" i="5" s="1"/>
  <c r="W302" i="5"/>
  <c r="Y302" i="5" s="1"/>
  <c r="W431" i="5"/>
  <c r="Y431" i="5" s="1"/>
  <c r="W76" i="5"/>
  <c r="X76" i="5" s="1"/>
  <c r="W59" i="5"/>
  <c r="X59" i="5" s="1"/>
  <c r="W179" i="5"/>
  <c r="X179" i="5" s="1"/>
  <c r="W231" i="5"/>
  <c r="Y231" i="5" s="1"/>
  <c r="W251" i="5"/>
  <c r="X251" i="5" s="1"/>
  <c r="W498" i="5"/>
  <c r="Y498" i="5" s="1"/>
  <c r="W43" i="5"/>
  <c r="Y43" i="5" s="1"/>
  <c r="W303" i="5"/>
  <c r="Y303" i="5" s="1"/>
  <c r="W54" i="5"/>
  <c r="X54" i="5" s="1"/>
  <c r="W84" i="5"/>
  <c r="X84" i="5" s="1"/>
  <c r="W465" i="5"/>
  <c r="Y465" i="5" s="1"/>
  <c r="W450" i="5"/>
  <c r="X450" i="5" s="1"/>
  <c r="W246" i="5"/>
  <c r="X246" i="5" s="1"/>
  <c r="W539" i="5"/>
  <c r="X539" i="5" s="1"/>
  <c r="W329" i="5"/>
  <c r="Y329" i="5" s="1"/>
  <c r="W228" i="5"/>
  <c r="Y228" i="5" s="1"/>
  <c r="W232" i="5"/>
  <c r="Y232" i="5" s="1"/>
  <c r="W191" i="5"/>
  <c r="Y191" i="5" s="1"/>
  <c r="W287" i="5"/>
  <c r="X287" i="5" s="1"/>
  <c r="W412" i="5"/>
  <c r="Y412" i="5" s="1"/>
  <c r="W407" i="5"/>
  <c r="X407" i="5" s="1"/>
  <c r="W309" i="5"/>
  <c r="Y309" i="5" s="1"/>
  <c r="W525" i="5"/>
  <c r="Y525" i="5" s="1"/>
  <c r="W63" i="5"/>
  <c r="X63" i="5" s="1"/>
  <c r="W121" i="5"/>
  <c r="X121" i="5" s="1"/>
  <c r="W402" i="5"/>
  <c r="X402" i="5" s="1"/>
  <c r="W433" i="5"/>
  <c r="X433" i="5" s="1"/>
  <c r="W35" i="5"/>
  <c r="X35" i="5" s="1"/>
  <c r="W560" i="5"/>
  <c r="Y560" i="5" s="1"/>
  <c r="W381" i="5"/>
  <c r="X381" i="5" s="1"/>
  <c r="W187" i="5"/>
  <c r="X187" i="5" s="1"/>
  <c r="W245" i="5"/>
  <c r="X245" i="5" s="1"/>
  <c r="W241" i="5"/>
  <c r="X241" i="5" s="1"/>
  <c r="W238" i="5"/>
  <c r="X238" i="5" s="1"/>
  <c r="W119" i="5"/>
  <c r="X119" i="5" s="1"/>
  <c r="W276" i="5"/>
  <c r="Y276" i="5" s="1"/>
  <c r="W141" i="5"/>
  <c r="X141" i="5" s="1"/>
  <c r="W414" i="5"/>
  <c r="Y414" i="5" s="1"/>
  <c r="W208" i="5"/>
  <c r="X208" i="5" s="1"/>
  <c r="W538" i="5"/>
  <c r="Y538" i="5" s="1"/>
  <c r="W440" i="5"/>
  <c r="X440" i="5" s="1"/>
  <c r="W464" i="5"/>
  <c r="X464" i="5" s="1"/>
  <c r="W336" i="5"/>
  <c r="X336" i="5" s="1"/>
  <c r="W384" i="5"/>
  <c r="X384" i="5" s="1"/>
  <c r="W296" i="5"/>
  <c r="X296" i="5" s="1"/>
  <c r="W128" i="5"/>
  <c r="Y128" i="5" s="1"/>
  <c r="W40" i="5"/>
  <c r="Y40" i="5" s="1"/>
  <c r="W88" i="5"/>
  <c r="Y88" i="5" s="1"/>
  <c r="W79" i="5"/>
  <c r="Y79" i="5" s="1"/>
  <c r="W543" i="5"/>
  <c r="X543" i="5" s="1"/>
  <c r="W355" i="5"/>
  <c r="Y355" i="5" s="1"/>
  <c r="W444" i="5"/>
  <c r="X444" i="5" s="1"/>
  <c r="W153" i="5"/>
  <c r="X153" i="5" s="1"/>
  <c r="W25" i="5"/>
  <c r="Y25" i="5" s="1"/>
  <c r="W38" i="5"/>
  <c r="X38" i="5" s="1"/>
  <c r="W165" i="5"/>
  <c r="Y165" i="5" s="1"/>
  <c r="W175" i="5"/>
  <c r="X175" i="5" s="1"/>
  <c r="W542" i="5"/>
  <c r="X542" i="5" s="1"/>
  <c r="W143" i="5"/>
  <c r="X143" i="5" s="1"/>
  <c r="W225" i="5"/>
  <c r="X225" i="5" s="1"/>
  <c r="W99" i="5"/>
  <c r="X99" i="5" s="1"/>
  <c r="W500" i="5"/>
  <c r="X500" i="5" s="1"/>
  <c r="W247" i="5"/>
  <c r="Y247" i="5" s="1"/>
  <c r="W532" i="5"/>
  <c r="Y532" i="5" s="1"/>
  <c r="W92" i="5"/>
  <c r="X92" i="5" s="1"/>
  <c r="W229" i="5"/>
  <c r="Y229" i="5" s="1"/>
  <c r="W123" i="5"/>
  <c r="Y123" i="5" s="1"/>
  <c r="W457" i="5"/>
  <c r="Y457" i="5" s="1"/>
  <c r="W359" i="5"/>
  <c r="X359" i="5" s="1"/>
  <c r="W350" i="5"/>
  <c r="X350" i="5" s="1"/>
  <c r="W52" i="5"/>
  <c r="Y52" i="5" s="1"/>
  <c r="W349" i="5"/>
  <c r="Y349" i="5" s="1"/>
  <c r="W487" i="5"/>
  <c r="X487" i="5" s="1"/>
  <c r="W466" i="5"/>
  <c r="Y466" i="5" s="1"/>
  <c r="W469" i="5"/>
  <c r="X469" i="5" s="1"/>
  <c r="W94" i="5"/>
  <c r="Y94" i="5" s="1"/>
  <c r="W173" i="5"/>
  <c r="X173" i="5" s="1"/>
  <c r="W219" i="5"/>
  <c r="X219" i="5" s="1"/>
  <c r="W23" i="5"/>
  <c r="Y23" i="5" s="1"/>
  <c r="W169" i="5"/>
  <c r="X169" i="5" s="1"/>
  <c r="W279" i="5"/>
  <c r="X279" i="5" s="1"/>
  <c r="W486" i="5"/>
  <c r="X486" i="5" s="1"/>
  <c r="W19" i="5"/>
  <c r="Y19" i="5" s="1"/>
  <c r="W419" i="5"/>
  <c r="X419" i="5" s="1"/>
  <c r="W61" i="5"/>
  <c r="Y61" i="5" s="1"/>
  <c r="W90" i="5"/>
  <c r="X90" i="5" s="1"/>
  <c r="W426" i="5"/>
  <c r="Y426" i="5" s="1"/>
  <c r="W417" i="5"/>
  <c r="X417" i="5" s="1"/>
  <c r="W252" i="5"/>
  <c r="X252" i="5" s="1"/>
  <c r="W462" i="5"/>
  <c r="Y462" i="5" s="1"/>
  <c r="W211" i="5"/>
  <c r="X211" i="5" s="1"/>
  <c r="W162" i="5"/>
  <c r="X162" i="5" s="1"/>
  <c r="W205" i="5"/>
  <c r="W548" i="5"/>
  <c r="Y548" i="5" s="1"/>
  <c r="W147" i="5"/>
  <c r="W388" i="5"/>
  <c r="Y388" i="5" s="1"/>
  <c r="W249" i="5"/>
  <c r="Y249" i="5" s="1"/>
  <c r="W397" i="5"/>
  <c r="X397" i="5" s="1"/>
  <c r="W556" i="5"/>
  <c r="X556" i="5" s="1"/>
  <c r="W527" i="5"/>
  <c r="X527" i="5" s="1"/>
  <c r="W152" i="5"/>
  <c r="X152" i="5" s="1"/>
  <c r="W280" i="5"/>
  <c r="Y280" i="5" s="1"/>
  <c r="W488" i="5"/>
  <c r="Y488" i="5" s="1"/>
  <c r="W512" i="5"/>
  <c r="Y512" i="5" s="1"/>
  <c r="W360" i="5"/>
  <c r="X360" i="5" s="1"/>
  <c r="W416" i="5"/>
  <c r="X416" i="5" s="1"/>
  <c r="W240" i="5"/>
  <c r="Y240" i="5" s="1"/>
  <c r="W304" i="5"/>
  <c r="Y304" i="5" s="1"/>
  <c r="W8" i="5"/>
  <c r="X8" i="5" s="1"/>
  <c r="W317" i="5"/>
  <c r="X317" i="5" s="1"/>
  <c r="W30" i="5"/>
  <c r="X30" i="5" s="1"/>
  <c r="W277" i="5"/>
  <c r="X277" i="5" s="1"/>
  <c r="W385" i="5"/>
  <c r="X385" i="5" s="1"/>
  <c r="W150" i="5"/>
  <c r="X150" i="5" s="1"/>
  <c r="W250" i="5"/>
  <c r="X250" i="5" s="1"/>
  <c r="W142" i="5"/>
  <c r="X142" i="5" s="1"/>
  <c r="W182" i="5"/>
  <c r="X182" i="5" s="1"/>
  <c r="W133" i="5"/>
  <c r="Y133" i="5" s="1"/>
  <c r="W151" i="5"/>
  <c r="Y151" i="5" s="1"/>
  <c r="W519" i="5"/>
  <c r="Y519" i="5" s="1"/>
  <c r="W477" i="5"/>
  <c r="Y477" i="5" s="1"/>
  <c r="W171" i="5"/>
  <c r="W398" i="5"/>
  <c r="Y398" i="5" s="1"/>
  <c r="W489" i="5"/>
  <c r="W124" i="5"/>
  <c r="Y124" i="5" s="1"/>
  <c r="W485" i="5"/>
  <c r="X485" i="5" s="1"/>
  <c r="W541" i="5"/>
  <c r="Y541" i="5" s="1"/>
  <c r="W137" i="5"/>
  <c r="Y137" i="5" s="1"/>
  <c r="W354" i="5"/>
  <c r="Y354" i="5" s="1"/>
  <c r="W447" i="5"/>
  <c r="Y447" i="5" s="1"/>
  <c r="W295" i="5"/>
  <c r="Y295" i="5" s="1"/>
  <c r="W325" i="5"/>
  <c r="W33" i="5"/>
  <c r="X33" i="5" s="1"/>
  <c r="W357" i="5"/>
  <c r="X357" i="5" s="1"/>
  <c r="W380" i="5"/>
  <c r="X380" i="5" s="1"/>
  <c r="W85" i="5"/>
  <c r="Y85" i="5" s="1"/>
  <c r="W369" i="5"/>
  <c r="X369" i="5" s="1"/>
  <c r="W524" i="5"/>
  <c r="X524" i="5" s="1"/>
  <c r="W127" i="5"/>
  <c r="W180" i="5"/>
  <c r="X180" i="5" s="1"/>
  <c r="W547" i="5"/>
  <c r="W22" i="5"/>
  <c r="X22" i="5" s="1"/>
  <c r="W209" i="5"/>
  <c r="X209" i="5" s="1"/>
  <c r="W223" i="5"/>
  <c r="Y223" i="5" s="1"/>
  <c r="W558" i="5"/>
  <c r="X558" i="5" s="1"/>
  <c r="W316" i="5"/>
  <c r="Y316" i="5" s="1"/>
  <c r="W413" i="5"/>
  <c r="Y413" i="5" s="1"/>
  <c r="W57" i="5"/>
  <c r="X57" i="5" s="1"/>
  <c r="W421" i="5"/>
  <c r="X421" i="5" s="1"/>
  <c r="W463" i="5"/>
  <c r="X463" i="5" s="1"/>
  <c r="W540" i="5"/>
  <c r="Y540" i="5" s="1"/>
  <c r="W353" i="5"/>
  <c r="X353" i="5" s="1"/>
  <c r="W337" i="5"/>
  <c r="X337" i="5" s="1"/>
  <c r="W157" i="5"/>
  <c r="X157" i="5" s="1"/>
  <c r="W156" i="5"/>
  <c r="Y156" i="5" s="1"/>
  <c r="W437" i="5"/>
  <c r="X437" i="5" s="1"/>
  <c r="W31" i="5"/>
  <c r="Y31" i="5" s="1"/>
  <c r="W452" i="5"/>
  <c r="W234" i="5"/>
  <c r="Y234" i="5" s="1"/>
  <c r="W266" i="5"/>
  <c r="W370" i="5"/>
  <c r="W230" i="5"/>
  <c r="AQ134" i="4"/>
  <c r="W383" i="5"/>
  <c r="X383" i="5" s="1"/>
  <c r="O9" i="5"/>
  <c r="W533" i="5"/>
  <c r="Y533" i="5" s="1"/>
  <c r="W395" i="5"/>
  <c r="Y395" i="5" s="1"/>
  <c r="W199" i="5"/>
  <c r="X199" i="5" s="1"/>
  <c r="W215" i="5"/>
  <c r="Y215" i="5" s="1"/>
  <c r="W493" i="5"/>
  <c r="X493" i="5" s="1"/>
  <c r="W116" i="5"/>
  <c r="X116" i="5" s="1"/>
  <c r="W315" i="5"/>
  <c r="W345" i="5"/>
  <c r="W404" i="5"/>
  <c r="W499" i="5"/>
  <c r="AQ141" i="4"/>
  <c r="W363" i="5"/>
  <c r="W364" i="5"/>
  <c r="X364" i="5" s="1"/>
  <c r="W545" i="5"/>
  <c r="X545" i="5" s="1"/>
  <c r="W194" i="5"/>
  <c r="Y194" i="5" s="1"/>
  <c r="W131" i="5"/>
  <c r="X131" i="5" s="1"/>
  <c r="W188" i="5"/>
  <c r="X188" i="5" s="1"/>
  <c r="W555" i="5"/>
  <c r="X555" i="5" s="1"/>
  <c r="W41" i="5"/>
  <c r="X41" i="5" s="1"/>
  <c r="W202" i="5"/>
  <c r="Y202" i="5" s="1"/>
  <c r="W502" i="5"/>
  <c r="X502" i="5" s="1"/>
  <c r="W455" i="5"/>
  <c r="Y455" i="5" s="1"/>
  <c r="W514" i="5"/>
  <c r="X514" i="5" s="1"/>
  <c r="W495" i="5"/>
  <c r="Y495" i="5" s="1"/>
  <c r="W484" i="5"/>
  <c r="X484" i="5" s="1"/>
  <c r="W138" i="5"/>
  <c r="Y138" i="5" s="1"/>
  <c r="W155" i="5"/>
  <c r="Y155" i="5" s="1"/>
  <c r="W513" i="5"/>
  <c r="X513" i="5" s="1"/>
  <c r="W550" i="5"/>
  <c r="Y550" i="5" s="1"/>
  <c r="W87" i="5"/>
  <c r="X87" i="5" s="1"/>
  <c r="W482" i="5"/>
  <c r="Y482" i="5" s="1"/>
  <c r="W335" i="5"/>
  <c r="Y335" i="5" s="1"/>
  <c r="W427" i="5"/>
  <c r="AQ73" i="4"/>
  <c r="W420" i="5"/>
  <c r="Y420" i="5" s="1"/>
  <c r="W203" i="5"/>
  <c r="Y203" i="5" s="1"/>
  <c r="W434" i="5"/>
  <c r="Y434" i="5" s="1"/>
  <c r="W339" i="5"/>
  <c r="X339" i="5" s="1"/>
  <c r="W83" i="5"/>
  <c r="X83" i="5" s="1"/>
  <c r="W146" i="5"/>
  <c r="Y146" i="5" s="1"/>
  <c r="W529" i="5"/>
  <c r="X529" i="5" s="1"/>
  <c r="W284" i="5"/>
  <c r="X284" i="5" s="1"/>
  <c r="W186" i="5"/>
  <c r="X186" i="5" s="1"/>
  <c r="W516" i="5"/>
  <c r="Y516" i="5" s="1"/>
  <c r="W103" i="5"/>
  <c r="W73" i="5"/>
  <c r="Y73" i="5" s="1"/>
  <c r="W509" i="5"/>
  <c r="Y509" i="5" s="1"/>
  <c r="W227" i="5"/>
  <c r="Y227" i="5" s="1"/>
  <c r="W374" i="5"/>
  <c r="W42" i="5"/>
  <c r="X42" i="5" s="1"/>
  <c r="W70" i="5"/>
  <c r="X70" i="5" s="1"/>
  <c r="W418" i="5"/>
  <c r="X418" i="5" s="1"/>
  <c r="W217" i="5"/>
  <c r="X217" i="5" s="1"/>
  <c r="W446" i="5"/>
  <c r="X446" i="5" s="1"/>
  <c r="W470" i="5"/>
  <c r="Y470" i="5" s="1"/>
  <c r="W379" i="5"/>
  <c r="X379" i="5" s="1"/>
  <c r="W118" i="5"/>
  <c r="K36" i="5"/>
  <c r="K37" i="5" s="1"/>
  <c r="Q47" i="5"/>
  <c r="Q25" i="5"/>
  <c r="Q50" i="5"/>
  <c r="Q54" i="5"/>
  <c r="Q68" i="5"/>
  <c r="Q73" i="5"/>
  <c r="Q86" i="5"/>
  <c r="Q44" i="5"/>
  <c r="Q108" i="5"/>
  <c r="Q137" i="5"/>
  <c r="Q100" i="5"/>
  <c r="Q157" i="5"/>
  <c r="Q124" i="5"/>
  <c r="Q150" i="5"/>
  <c r="Q174" i="5"/>
  <c r="Q175" i="5"/>
  <c r="Q178" i="5"/>
  <c r="Q199" i="5"/>
  <c r="Q107" i="5"/>
  <c r="Q221" i="5"/>
  <c r="Q195" i="5"/>
  <c r="Q226" i="5"/>
  <c r="Q203" i="5"/>
  <c r="Q284" i="5"/>
  <c r="Q323" i="5"/>
  <c r="Q229" i="5"/>
  <c r="Q285" i="5"/>
  <c r="Q310" i="5"/>
  <c r="Q220" i="5"/>
  <c r="Q274" i="5"/>
  <c r="Q297" i="5"/>
  <c r="Q341" i="5"/>
  <c r="Q289" i="5"/>
  <c r="Q372" i="5"/>
  <c r="Q407" i="5"/>
  <c r="Q439" i="5"/>
  <c r="Q308" i="5"/>
  <c r="Q363" i="5"/>
  <c r="Q402" i="5"/>
  <c r="Q327" i="5"/>
  <c r="Q377" i="5"/>
  <c r="Q412" i="5"/>
  <c r="Q387" i="5"/>
  <c r="Q462" i="5"/>
  <c r="Q485" i="5"/>
  <c r="Q523" i="5"/>
  <c r="Q369" i="5"/>
  <c r="Q446" i="5"/>
  <c r="Q486" i="5"/>
  <c r="Q510" i="5"/>
  <c r="Q444" i="5"/>
  <c r="Q494" i="5"/>
  <c r="Q535" i="5"/>
  <c r="Q553" i="5"/>
  <c r="Q498" i="5"/>
  <c r="Q550" i="5"/>
  <c r="Q558" i="5"/>
  <c r="Q544" i="5"/>
  <c r="Q516" i="5"/>
  <c r="Q49" i="5"/>
  <c r="Q29" i="5"/>
  <c r="Q52" i="5"/>
  <c r="Q55" i="5"/>
  <c r="Q69" i="5"/>
  <c r="Q71" i="5"/>
  <c r="Q95" i="5"/>
  <c r="Q82" i="5"/>
  <c r="Q116" i="5"/>
  <c r="Q142" i="5"/>
  <c r="Q114" i="5"/>
  <c r="Q159" i="5"/>
  <c r="Q126" i="5"/>
  <c r="Q155" i="5"/>
  <c r="Q188" i="5"/>
  <c r="Q179" i="5"/>
  <c r="Q182" i="5"/>
  <c r="Q201" i="5"/>
  <c r="Q177" i="5"/>
  <c r="Q225" i="5"/>
  <c r="Q204" i="5"/>
  <c r="Q231" i="5"/>
  <c r="Q213" i="5"/>
  <c r="Q291" i="5"/>
  <c r="Q325" i="5"/>
  <c r="Q247" i="5"/>
  <c r="Q290" i="5"/>
  <c r="Q321" i="5"/>
  <c r="Q223" i="5"/>
  <c r="Q275" i="5"/>
  <c r="Q309" i="5"/>
  <c r="Q346" i="5"/>
  <c r="Q295" i="5"/>
  <c r="Q375" i="5"/>
  <c r="Q409" i="5"/>
  <c r="Q441" i="5"/>
  <c r="Q314" i="5"/>
  <c r="Q365" i="5"/>
  <c r="Q404" i="5"/>
  <c r="Q338" i="5"/>
  <c r="Q394" i="5"/>
  <c r="Q415" i="5"/>
  <c r="Q390" i="5"/>
  <c r="Q463" i="5"/>
  <c r="Q500" i="5"/>
  <c r="Q524" i="5"/>
  <c r="Q410" i="5"/>
  <c r="Q452" i="5"/>
  <c r="Q487" i="5"/>
  <c r="Q514" i="5"/>
  <c r="Q445" i="5"/>
  <c r="Q497" i="5"/>
  <c r="Q536" i="5"/>
  <c r="Q559" i="5"/>
  <c r="Q508" i="5"/>
  <c r="Q364" i="5"/>
  <c r="Q560" i="5"/>
  <c r="Q556" i="5"/>
  <c r="Q531" i="5"/>
  <c r="Q21" i="5"/>
  <c r="Q20" i="5"/>
  <c r="Q30" i="5"/>
  <c r="Q27" i="5"/>
  <c r="Q58" i="5"/>
  <c r="Q65" i="5"/>
  <c r="Q75" i="5"/>
  <c r="Q85" i="5"/>
  <c r="Q94" i="5"/>
  <c r="Q117" i="5"/>
  <c r="Q151" i="5"/>
  <c r="Q125" i="5"/>
  <c r="Q83" i="5"/>
  <c r="Q127" i="5"/>
  <c r="Q156" i="5"/>
  <c r="Q130" i="5"/>
  <c r="Q180" i="5"/>
  <c r="Q202" i="5"/>
  <c r="Q235" i="5"/>
  <c r="Q186" i="5"/>
  <c r="Q228" i="5"/>
  <c r="Q205" i="5"/>
  <c r="Q234" i="5"/>
  <c r="Q227" i="5"/>
  <c r="Q292" i="5"/>
  <c r="Q331" i="5"/>
  <c r="Q253" i="5"/>
  <c r="Q293" i="5"/>
  <c r="Q326" i="5"/>
  <c r="Q239" i="5"/>
  <c r="Q277" i="5"/>
  <c r="Q315" i="5"/>
  <c r="Q348" i="5"/>
  <c r="Q306" i="5"/>
  <c r="Q380" i="5"/>
  <c r="Q411" i="5"/>
  <c r="Q442" i="5"/>
  <c r="Q340" i="5"/>
  <c r="Q373" i="5"/>
  <c r="Q413" i="5"/>
  <c r="Q347" i="5"/>
  <c r="Q395" i="5"/>
  <c r="Q421" i="5"/>
  <c r="Q393" i="5"/>
  <c r="Q468" i="5"/>
  <c r="Q501" i="5"/>
  <c r="Q527" i="5"/>
  <c r="Q420" i="5"/>
  <c r="Q457" i="5"/>
  <c r="Q489" i="5"/>
  <c r="Q520" i="5"/>
  <c r="Q449" i="5"/>
  <c r="Q502" i="5"/>
  <c r="Q537" i="5"/>
  <c r="Q268" i="5"/>
  <c r="Q515" i="5"/>
  <c r="Q430" i="5"/>
  <c r="Q557" i="5"/>
  <c r="Q403" i="5"/>
  <c r="Q539" i="5"/>
  <c r="Q26" i="5"/>
  <c r="Q22" i="5"/>
  <c r="Q33" i="5"/>
  <c r="Q51" i="5"/>
  <c r="Q60" i="5"/>
  <c r="Q70" i="5"/>
  <c r="Q77" i="5"/>
  <c r="Q87" i="5"/>
  <c r="Q103" i="5"/>
  <c r="Q119" i="5"/>
  <c r="Q153" i="5"/>
  <c r="Q138" i="5"/>
  <c r="Q102" i="5"/>
  <c r="Q129" i="5"/>
  <c r="Q92" i="5"/>
  <c r="Q145" i="5"/>
  <c r="Q183" i="5"/>
  <c r="Q207" i="5"/>
  <c r="Q236" i="5"/>
  <c r="Q189" i="5"/>
  <c r="Q230" i="5"/>
  <c r="Q206" i="5"/>
  <c r="Q237" i="5"/>
  <c r="Q246" i="5"/>
  <c r="Q299" i="5"/>
  <c r="Q333" i="5"/>
  <c r="Q255" i="5"/>
  <c r="Q298" i="5"/>
  <c r="Q330" i="5"/>
  <c r="Q243" i="5"/>
  <c r="Q278" i="5"/>
  <c r="Q317" i="5"/>
  <c r="Q350" i="5"/>
  <c r="Q332" i="5"/>
  <c r="Q385" i="5"/>
  <c r="Q418" i="5"/>
  <c r="Q245" i="5"/>
  <c r="Q343" i="5"/>
  <c r="Q379" i="5"/>
  <c r="Q414" i="5"/>
  <c r="Q351" i="5"/>
  <c r="Q397" i="5"/>
  <c r="Q318" i="5"/>
  <c r="Q433" i="5"/>
  <c r="Q471" i="5"/>
  <c r="Q503" i="5"/>
  <c r="Q252" i="5"/>
  <c r="Q422" i="5"/>
  <c r="Q467" i="5"/>
  <c r="Q490" i="5"/>
  <c r="Q197" i="5"/>
  <c r="Q450" i="5"/>
  <c r="Q509" i="5"/>
  <c r="Q541" i="5"/>
  <c r="Q447" i="5"/>
  <c r="Q532" i="5"/>
  <c r="Q443" i="5"/>
  <c r="Q459" i="5"/>
  <c r="Q427" i="5"/>
  <c r="Q540" i="5"/>
  <c r="Q31" i="5"/>
  <c r="Q23" i="5"/>
  <c r="Q35" i="5"/>
  <c r="Q59" i="5"/>
  <c r="Q63" i="5"/>
  <c r="Q74" i="5"/>
  <c r="Q79" i="5"/>
  <c r="Q90" i="5"/>
  <c r="Q106" i="5"/>
  <c r="Q123" i="5"/>
  <c r="Q154" i="5"/>
  <c r="Q140" i="5"/>
  <c r="Q105" i="5"/>
  <c r="Q134" i="5"/>
  <c r="Q115" i="5"/>
  <c r="Q161" i="5"/>
  <c r="Q185" i="5"/>
  <c r="Q181" i="5"/>
  <c r="Q238" i="5"/>
  <c r="Q191" i="5"/>
  <c r="Q233" i="5"/>
  <c r="Q209" i="5"/>
  <c r="Q242" i="5"/>
  <c r="Q258" i="5"/>
  <c r="Q302" i="5"/>
  <c r="Q196" i="5"/>
  <c r="Q259" i="5"/>
  <c r="Q300" i="5"/>
  <c r="Q141" i="5"/>
  <c r="Q260" i="5"/>
  <c r="Q283" i="5"/>
  <c r="Q319" i="5"/>
  <c r="Q357" i="5"/>
  <c r="Q334" i="5"/>
  <c r="Q386" i="5"/>
  <c r="Q423" i="5"/>
  <c r="Q249" i="5"/>
  <c r="Q349" i="5"/>
  <c r="Q382" i="5"/>
  <c r="Q417" i="5"/>
  <c r="Q358" i="5"/>
  <c r="Q398" i="5"/>
  <c r="Q359" i="5"/>
  <c r="Q453" i="5"/>
  <c r="Q473" i="5"/>
  <c r="Q511" i="5"/>
  <c r="Q301" i="5"/>
  <c r="Q425" i="5"/>
  <c r="Q469" i="5"/>
  <c r="Q492" i="5"/>
  <c r="Q342" i="5"/>
  <c r="Q465" i="5"/>
  <c r="Q518" i="5"/>
  <c r="Q542" i="5"/>
  <c r="Q451" i="5"/>
  <c r="Q547" i="5"/>
  <c r="Q460" i="5"/>
  <c r="Q466" i="5"/>
  <c r="Q429" i="5"/>
  <c r="Q19" i="5"/>
  <c r="Q42" i="5"/>
  <c r="Q36" i="5"/>
  <c r="Q41" i="5"/>
  <c r="Q67" i="5"/>
  <c r="Q57" i="5"/>
  <c r="Q81" i="5"/>
  <c r="Q91" i="5"/>
  <c r="Q110" i="5"/>
  <c r="Q89" i="5"/>
  <c r="Q133" i="5"/>
  <c r="Q53" i="5"/>
  <c r="Q146" i="5"/>
  <c r="Q118" i="5"/>
  <c r="Q147" i="5"/>
  <c r="Q163" i="5"/>
  <c r="Q166" i="5"/>
  <c r="Q164" i="5"/>
  <c r="Q193" i="5"/>
  <c r="Q250" i="5"/>
  <c r="Q210" i="5"/>
  <c r="Q165" i="5"/>
  <c r="Q217" i="5"/>
  <c r="Q101" i="5"/>
  <c r="Q269" i="5"/>
  <c r="Q313" i="5"/>
  <c r="Q215" i="5"/>
  <c r="Q271" i="5"/>
  <c r="Q305" i="5"/>
  <c r="Q173" i="5"/>
  <c r="Q265" i="5"/>
  <c r="Q287" i="5"/>
  <c r="Q329" i="5"/>
  <c r="Q257" i="5"/>
  <c r="Q356" i="5"/>
  <c r="Q391" i="5"/>
  <c r="Q431" i="5"/>
  <c r="Q279" i="5"/>
  <c r="Q354" i="5"/>
  <c r="Q388" i="5"/>
  <c r="Q263" i="5"/>
  <c r="Q370" i="5"/>
  <c r="Q405" i="5"/>
  <c r="Q378" i="5"/>
  <c r="Q455" i="5"/>
  <c r="Q475" i="5"/>
  <c r="Q519" i="5"/>
  <c r="Q337" i="5"/>
  <c r="Q435" i="5"/>
  <c r="Q477" i="5"/>
  <c r="Q495" i="5"/>
  <c r="Q426" i="5"/>
  <c r="Q479" i="5"/>
  <c r="Q529" i="5"/>
  <c r="Q545" i="5"/>
  <c r="Q481" i="5"/>
  <c r="Q552" i="5"/>
  <c r="Q522" i="5"/>
  <c r="Q525" i="5"/>
  <c r="Q499" i="5"/>
  <c r="O11" i="5"/>
  <c r="Q45" i="5"/>
  <c r="Q43" i="5"/>
  <c r="Q46" i="5"/>
  <c r="Q38" i="5"/>
  <c r="Q61" i="5"/>
  <c r="Q28" i="5"/>
  <c r="Q76" i="5"/>
  <c r="Q111" i="5"/>
  <c r="Q99" i="5"/>
  <c r="Q135" i="5"/>
  <c r="Q98" i="5"/>
  <c r="Q149" i="5"/>
  <c r="Q121" i="5"/>
  <c r="Q148" i="5"/>
  <c r="Q169" i="5"/>
  <c r="Q172" i="5"/>
  <c r="Q170" i="5"/>
  <c r="Q198" i="5"/>
  <c r="Q251" i="5"/>
  <c r="Q219" i="5"/>
  <c r="Q171" i="5"/>
  <c r="Q222" i="5"/>
  <c r="Q187" i="5"/>
  <c r="Q276" i="5"/>
  <c r="Q316" i="5"/>
  <c r="Q218" i="5"/>
  <c r="Q281" i="5"/>
  <c r="Q307" i="5"/>
  <c r="Q211" i="5"/>
  <c r="Q267" i="5"/>
  <c r="Q294" i="5"/>
  <c r="Q339" i="5"/>
  <c r="Q273" i="5"/>
  <c r="Q371" i="5"/>
  <c r="Q396" i="5"/>
  <c r="Q438" i="5"/>
  <c r="Q282" i="5"/>
  <c r="Q361" i="5"/>
  <c r="Q399" i="5"/>
  <c r="Q322" i="5"/>
  <c r="Q374" i="5"/>
  <c r="Q406" i="5"/>
  <c r="Q381" i="5"/>
  <c r="Q461" i="5"/>
  <c r="Q483" i="5"/>
  <c r="Q521" i="5"/>
  <c r="Q345" i="5"/>
  <c r="Q436" i="5"/>
  <c r="Q482" i="5"/>
  <c r="Q506" i="5"/>
  <c r="Q437" i="5"/>
  <c r="Q484" i="5"/>
  <c r="Q530" i="5"/>
  <c r="Q548" i="5"/>
  <c r="Q491" i="5"/>
  <c r="Q555" i="5"/>
  <c r="Q549" i="5"/>
  <c r="Q533" i="5"/>
  <c r="Q505" i="5"/>
  <c r="Q93" i="5"/>
  <c r="Q162" i="5"/>
  <c r="Q266" i="5"/>
  <c r="Q324" i="5"/>
  <c r="Q419" i="5"/>
  <c r="Q434" i="5"/>
  <c r="Q551" i="5"/>
  <c r="Q39" i="5"/>
  <c r="Q109" i="5"/>
  <c r="Q132" i="5"/>
  <c r="Q311" i="5"/>
  <c r="Q254" i="5"/>
  <c r="Q367" i="5"/>
  <c r="Q470" i="5"/>
  <c r="Q507" i="5"/>
  <c r="Q34" i="5"/>
  <c r="Q131" i="5"/>
  <c r="Q190" i="5"/>
  <c r="Q212" i="5"/>
  <c r="Q355" i="5"/>
  <c r="Q401" i="5"/>
  <c r="Q493" i="5"/>
  <c r="Q513" i="5"/>
  <c r="Q37" i="5"/>
  <c r="Q158" i="5"/>
  <c r="Q241" i="5"/>
  <c r="Q261" i="5"/>
  <c r="Q389" i="5"/>
  <c r="Q366" i="5"/>
  <c r="Q362" i="5"/>
  <c r="Q458" i="5"/>
  <c r="Q78" i="5"/>
  <c r="Q139" i="5"/>
  <c r="Q214" i="5"/>
  <c r="Q262" i="5"/>
  <c r="Q353" i="5"/>
  <c r="Q517" i="5"/>
  <c r="Q543" i="5"/>
  <c r="Q84" i="5"/>
  <c r="Q122" i="5"/>
  <c r="Q244" i="5"/>
  <c r="Q286" i="5"/>
  <c r="Q383" i="5"/>
  <c r="Q335" i="5"/>
  <c r="Q478" i="5"/>
  <c r="Q167" i="5"/>
  <c r="Q62" i="5"/>
  <c r="Q428" i="5"/>
  <c r="Q66" i="5"/>
  <c r="Q270" i="5"/>
  <c r="Q474" i="5"/>
  <c r="Q143" i="5"/>
  <c r="Q454" i="5"/>
  <c r="Q113" i="5"/>
  <c r="Q97" i="5"/>
  <c r="Q528" i="5"/>
  <c r="Q303" i="5"/>
  <c r="Q194" i="5"/>
  <c r="Q476" i="5"/>
  <c r="B37" i="5"/>
  <c r="AN272" i="5"/>
  <c r="AO272" i="5"/>
  <c r="U64" i="5"/>
  <c r="V64" i="5"/>
  <c r="AM193" i="5"/>
  <c r="AS64" i="4"/>
  <c r="AS102" i="4"/>
  <c r="AM59" i="5"/>
  <c r="T554" i="5"/>
  <c r="T546" i="5"/>
  <c r="T432" i="5"/>
  <c r="T448" i="5"/>
  <c r="T408" i="5"/>
  <c r="T280" i="5"/>
  <c r="T296" i="5"/>
  <c r="AM104" i="5"/>
  <c r="AM379" i="5"/>
  <c r="AM307" i="5"/>
  <c r="AM91" i="5"/>
  <c r="AM292" i="5"/>
  <c r="AM20" i="5"/>
  <c r="T38" i="5"/>
  <c r="T34" i="5"/>
  <c r="T70" i="5"/>
  <c r="T55" i="5"/>
  <c r="T89" i="5"/>
  <c r="T105" i="5"/>
  <c r="T87" i="5"/>
  <c r="T84" i="5"/>
  <c r="T43" i="5"/>
  <c r="T33" i="5"/>
  <c r="T66" i="5"/>
  <c r="T25" i="5"/>
  <c r="T83" i="5"/>
  <c r="T121" i="5"/>
  <c r="T26" i="5"/>
  <c r="T47" i="5"/>
  <c r="T27" i="5"/>
  <c r="T41" i="5"/>
  <c r="T94" i="5"/>
  <c r="T117" i="5"/>
  <c r="T52" i="5"/>
  <c r="T59" i="5"/>
  <c r="T74" i="5"/>
  <c r="T98" i="5"/>
  <c r="T91" i="5"/>
  <c r="T139" i="5"/>
  <c r="T39" i="5"/>
  <c r="T35" i="5"/>
  <c r="T95" i="5"/>
  <c r="T155" i="5"/>
  <c r="T151" i="5"/>
  <c r="T187" i="5"/>
  <c r="T154" i="5"/>
  <c r="T201" i="5"/>
  <c r="T211" i="5"/>
  <c r="T159" i="5"/>
  <c r="T243" i="5"/>
  <c r="T225" i="5"/>
  <c r="T249" i="5"/>
  <c r="T274" i="5"/>
  <c r="T318" i="5"/>
  <c r="T250" i="5"/>
  <c r="T292" i="5"/>
  <c r="T259" i="5"/>
  <c r="T290" i="5"/>
  <c r="T310" i="5"/>
  <c r="T354" i="5"/>
  <c r="T362" i="5"/>
  <c r="T393" i="5"/>
  <c r="T317" i="5"/>
  <c r="T385" i="5"/>
  <c r="T162" i="5"/>
  <c r="T340" i="5"/>
  <c r="T379" i="5"/>
  <c r="T451" i="5"/>
  <c r="T494" i="5"/>
  <c r="T525" i="5"/>
  <c r="T431" i="5"/>
  <c r="T517" i="5"/>
  <c r="T374" i="5"/>
  <c r="T425" i="5"/>
  <c r="T461" i="5"/>
  <c r="T487" i="5"/>
  <c r="T531" i="5"/>
  <c r="T346" i="5"/>
  <c r="T22" i="5"/>
  <c r="T63" i="5"/>
  <c r="T107" i="5"/>
  <c r="T106" i="5"/>
  <c r="T156" i="5"/>
  <c r="T125" i="5"/>
  <c r="T118" i="5"/>
  <c r="T161" i="5"/>
  <c r="T204" i="5"/>
  <c r="T215" i="5"/>
  <c r="T166" i="5"/>
  <c r="T174" i="5"/>
  <c r="T230" i="5"/>
  <c r="T252" i="5"/>
  <c r="T279" i="5"/>
  <c r="T322" i="5"/>
  <c r="T251" i="5"/>
  <c r="T299" i="5"/>
  <c r="T331" i="5"/>
  <c r="T261" i="5"/>
  <c r="T293" i="5"/>
  <c r="T356" i="5"/>
  <c r="T315" i="5"/>
  <c r="T364" i="5"/>
  <c r="T429" i="5"/>
  <c r="T341" i="5"/>
  <c r="T386" i="5"/>
  <c r="T195" i="5"/>
  <c r="T348" i="5"/>
  <c r="T382" i="5"/>
  <c r="T411" i="5"/>
  <c r="T428" i="5"/>
  <c r="T458" i="5"/>
  <c r="T499" i="5"/>
  <c r="T532" i="5"/>
  <c r="T438" i="5"/>
  <c r="T468" i="5"/>
  <c r="T498" i="5"/>
  <c r="T519" i="5"/>
  <c r="T377" i="5"/>
  <c r="T434" i="5"/>
  <c r="T463" i="5"/>
  <c r="T489" i="5"/>
  <c r="T540" i="5"/>
  <c r="T544" i="5"/>
  <c r="T514" i="5"/>
  <c r="T555" i="5"/>
  <c r="T549" i="5"/>
  <c r="T479" i="5"/>
  <c r="T36" i="5"/>
  <c r="T76" i="5"/>
  <c r="T85" i="5"/>
  <c r="T109" i="5"/>
  <c r="T114" i="5"/>
  <c r="T134" i="5"/>
  <c r="T133" i="5"/>
  <c r="T172" i="5"/>
  <c r="T206" i="5"/>
  <c r="T223" i="5"/>
  <c r="T199" i="5"/>
  <c r="T180" i="5"/>
  <c r="T233" i="5"/>
  <c r="T254" i="5"/>
  <c r="T282" i="5"/>
  <c r="T327" i="5"/>
  <c r="T258" i="5"/>
  <c r="T302" i="5"/>
  <c r="T321" i="5"/>
  <c r="T262" i="5"/>
  <c r="T329" i="5"/>
  <c r="T366" i="5"/>
  <c r="T403" i="5"/>
  <c r="T433" i="5"/>
  <c r="T369" i="5"/>
  <c r="T389" i="5"/>
  <c r="T228" i="5"/>
  <c r="T353" i="5"/>
  <c r="T383" i="5"/>
  <c r="T414" i="5"/>
  <c r="T430" i="5"/>
  <c r="T460" i="5"/>
  <c r="T505" i="5"/>
  <c r="T533" i="5"/>
  <c r="T442" i="5"/>
  <c r="T471" i="5"/>
  <c r="O10" i="5"/>
  <c r="AJ10" i="5" s="1"/>
  <c r="T53" i="5"/>
  <c r="T57" i="5"/>
  <c r="T101" i="5"/>
  <c r="T115" i="5"/>
  <c r="T149" i="5"/>
  <c r="T140" i="5"/>
  <c r="T183" i="5"/>
  <c r="T188" i="5"/>
  <c r="T212" i="5"/>
  <c r="T191" i="5"/>
  <c r="T235" i="5"/>
  <c r="T260" i="5"/>
  <c r="T289" i="5"/>
  <c r="T332" i="5"/>
  <c r="T266" i="5"/>
  <c r="T311" i="5"/>
  <c r="T226" i="5"/>
  <c r="T268" i="5"/>
  <c r="T298" i="5"/>
  <c r="T326" i="5"/>
  <c r="T267" i="5"/>
  <c r="T337" i="5"/>
  <c r="T367" i="5"/>
  <c r="T405" i="5"/>
  <c r="T436" i="5"/>
  <c r="T371" i="5"/>
  <c r="T391" i="5"/>
  <c r="T355" i="5"/>
  <c r="T388" i="5"/>
  <c r="T417" i="5"/>
  <c r="T466" i="5"/>
  <c r="T507" i="5"/>
  <c r="T537" i="5"/>
  <c r="T453" i="5"/>
  <c r="T474" i="5"/>
  <c r="T501" i="5"/>
  <c r="T522" i="5"/>
  <c r="T398" i="5"/>
  <c r="T439" i="5"/>
  <c r="T470" i="5"/>
  <c r="T493" i="5"/>
  <c r="T557" i="5"/>
  <c r="T465" i="5"/>
  <c r="T545" i="5"/>
  <c r="T406" i="5"/>
  <c r="T524" i="5"/>
  <c r="T559" i="5"/>
  <c r="T502" i="5"/>
  <c r="T61" i="5"/>
  <c r="T37" i="5"/>
  <c r="T123" i="5"/>
  <c r="T119" i="5"/>
  <c r="T171" i="5"/>
  <c r="T169" i="5"/>
  <c r="T185" i="5"/>
  <c r="T196" i="5"/>
  <c r="T227" i="5"/>
  <c r="T222" i="5"/>
  <c r="T236" i="5"/>
  <c r="T263" i="5"/>
  <c r="T295" i="5"/>
  <c r="T334" i="5"/>
  <c r="T276" i="5"/>
  <c r="T313" i="5"/>
  <c r="T231" i="5"/>
  <c r="T269" i="5"/>
  <c r="T300" i="5"/>
  <c r="T330" i="5"/>
  <c r="T342" i="5"/>
  <c r="T378" i="5"/>
  <c r="T410" i="5"/>
  <c r="T437" i="5"/>
  <c r="T372" i="5"/>
  <c r="T396" i="5"/>
  <c r="T275" i="5"/>
  <c r="T361" i="5"/>
  <c r="T287" i="5"/>
  <c r="T441" i="5"/>
  <c r="T508" i="5"/>
  <c r="T339" i="5"/>
  <c r="T454" i="5"/>
  <c r="T475" i="5"/>
  <c r="T503" i="5"/>
  <c r="T333" i="5"/>
  <c r="T401" i="5"/>
  <c r="T446" i="5"/>
  <c r="T473" i="5"/>
  <c r="T495" i="5"/>
  <c r="T560" i="5"/>
  <c r="T484" i="5"/>
  <c r="T412" i="5"/>
  <c r="T527" i="5"/>
  <c r="T449" i="5"/>
  <c r="T397" i="5"/>
  <c r="T509" i="5"/>
  <c r="T30" i="5"/>
  <c r="T92" i="5"/>
  <c r="T93" i="5"/>
  <c r="T131" i="5"/>
  <c r="T130" i="5"/>
  <c r="T173" i="5"/>
  <c r="T170" i="5"/>
  <c r="T186" i="5"/>
  <c r="T203" i="5"/>
  <c r="T239" i="5"/>
  <c r="T229" i="5"/>
  <c r="T207" i="5"/>
  <c r="T265" i="5"/>
  <c r="T301" i="5"/>
  <c r="T135" i="5"/>
  <c r="T284" i="5"/>
  <c r="T316" i="5"/>
  <c r="T246" i="5"/>
  <c r="T271" i="5"/>
  <c r="T303" i="5"/>
  <c r="T335" i="5"/>
  <c r="T283" i="5"/>
  <c r="T345" i="5"/>
  <c r="T381" i="5"/>
  <c r="T415" i="5"/>
  <c r="T214" i="5"/>
  <c r="T375" i="5"/>
  <c r="T407" i="5"/>
  <c r="T294" i="5"/>
  <c r="T363" i="5"/>
  <c r="T399" i="5"/>
  <c r="T324" i="5"/>
  <c r="T443" i="5"/>
  <c r="T478" i="5"/>
  <c r="T513" i="5"/>
  <c r="T347" i="5"/>
  <c r="T358" i="5"/>
  <c r="T413" i="5"/>
  <c r="T452" i="5"/>
  <c r="T477" i="5"/>
  <c r="T506" i="5"/>
  <c r="T529" i="5"/>
  <c r="T548" i="5"/>
  <c r="T426" i="5"/>
  <c r="T543" i="5"/>
  <c r="T528" i="5"/>
  <c r="T423" i="5"/>
  <c r="T520" i="5"/>
  <c r="T28" i="5"/>
  <c r="T50" i="5"/>
  <c r="T82" i="5"/>
  <c r="T126" i="5"/>
  <c r="T137" i="5"/>
  <c r="T138" i="5"/>
  <c r="T177" i="5"/>
  <c r="T79" i="5"/>
  <c r="T190" i="5"/>
  <c r="T205" i="5"/>
  <c r="T245" i="5"/>
  <c r="T210" i="5"/>
  <c r="T241" i="5"/>
  <c r="T270" i="5"/>
  <c r="T306" i="5"/>
  <c r="T237" i="5"/>
  <c r="T323" i="5"/>
  <c r="T253" i="5"/>
  <c r="T281" i="5"/>
  <c r="T305" i="5"/>
  <c r="T343" i="5"/>
  <c r="T286" i="5"/>
  <c r="T350" i="5"/>
  <c r="T387" i="5"/>
  <c r="T420" i="5"/>
  <c r="T247" i="5"/>
  <c r="T409" i="5"/>
  <c r="T319" i="5"/>
  <c r="T365" i="5"/>
  <c r="T402" i="5"/>
  <c r="T357" i="5"/>
  <c r="T447" i="5"/>
  <c r="T481" i="5"/>
  <c r="T515" i="5"/>
  <c r="T351" i="5"/>
  <c r="T459" i="5"/>
  <c r="T483" i="5"/>
  <c r="T511" i="5"/>
  <c r="T455" i="5"/>
  <c r="T482" i="5"/>
  <c r="T510" i="5"/>
  <c r="T338" i="5"/>
  <c r="T550" i="5"/>
  <c r="T450" i="5"/>
  <c r="T551" i="5"/>
  <c r="T530" i="5"/>
  <c r="T445" i="5"/>
  <c r="T523" i="5"/>
  <c r="T44" i="5"/>
  <c r="T194" i="5"/>
  <c r="T244" i="5"/>
  <c r="T359" i="5"/>
  <c r="T404" i="5"/>
  <c r="T500" i="5"/>
  <c r="T467" i="5"/>
  <c r="T539" i="5"/>
  <c r="T552" i="5"/>
  <c r="T67" i="5"/>
  <c r="T291" i="5"/>
  <c r="T390" i="5"/>
  <c r="T370" i="5"/>
  <c r="T486" i="5"/>
  <c r="T542" i="5"/>
  <c r="T553" i="5"/>
  <c r="T19" i="5"/>
  <c r="T69" i="5"/>
  <c r="T150" i="5"/>
  <c r="T325" i="5"/>
  <c r="T421" i="5"/>
  <c r="T521" i="5"/>
  <c r="T492" i="5"/>
  <c r="T419" i="5"/>
  <c r="T141" i="5"/>
  <c r="T242" i="5"/>
  <c r="T297" i="5"/>
  <c r="T491" i="5"/>
  <c r="T541" i="5"/>
  <c r="T535" i="5"/>
  <c r="T142" i="5"/>
  <c r="T221" i="5"/>
  <c r="T285" i="5"/>
  <c r="T380" i="5"/>
  <c r="T516" i="5"/>
  <c r="T395" i="5"/>
  <c r="T556" i="5"/>
  <c r="T394" i="5"/>
  <c r="T547" i="5"/>
  <c r="T146" i="5"/>
  <c r="T307" i="5"/>
  <c r="T418" i="5"/>
  <c r="T427" i="5"/>
  <c r="T422" i="5"/>
  <c r="T490" i="5"/>
  <c r="T558" i="5"/>
  <c r="T181" i="5"/>
  <c r="T273" i="5"/>
  <c r="T349" i="5"/>
  <c r="T462" i="5"/>
  <c r="T435" i="5"/>
  <c r="T444" i="5"/>
  <c r="T497" i="5"/>
  <c r="T469" i="5"/>
  <c r="T457" i="5"/>
  <c r="T536" i="5"/>
  <c r="T518" i="5"/>
  <c r="T100" i="5"/>
  <c r="T476" i="5"/>
  <c r="T314" i="5"/>
  <c r="T309" i="5"/>
  <c r="T373" i="5"/>
  <c r="T485" i="5"/>
  <c r="AM35" i="5"/>
  <c r="AM99" i="5"/>
  <c r="AM448" i="5"/>
  <c r="T464" i="5"/>
  <c r="T480" i="5"/>
  <c r="T328" i="5"/>
  <c r="T344" i="5"/>
  <c r="T376" i="5"/>
  <c r="T392" i="5"/>
  <c r="T248" i="5"/>
  <c r="T264" i="5"/>
  <c r="AM280" i="5"/>
  <c r="T160" i="5"/>
  <c r="T24" i="5"/>
  <c r="AM387" i="5"/>
  <c r="AM123" i="5"/>
  <c r="AM107" i="5"/>
  <c r="AM300" i="5"/>
  <c r="AM177" i="5"/>
  <c r="AM57" i="5"/>
  <c r="AM464" i="5"/>
  <c r="AM480" i="5"/>
  <c r="T496" i="5"/>
  <c r="T512" i="5"/>
  <c r="T360" i="5"/>
  <c r="AM408" i="5"/>
  <c r="T224" i="5"/>
  <c r="AM248" i="5"/>
  <c r="AM120" i="5"/>
  <c r="AM184" i="5"/>
  <c r="T208" i="5"/>
  <c r="T88" i="5"/>
  <c r="AJ451" i="5"/>
  <c r="AL451" i="5" s="1"/>
  <c r="AJ465" i="5"/>
  <c r="AK465" i="5" s="1"/>
  <c r="AM308" i="5"/>
  <c r="AM121" i="5"/>
  <c r="T526" i="5"/>
  <c r="AM424" i="5"/>
  <c r="T440" i="5"/>
  <c r="AM344" i="5"/>
  <c r="AM376" i="5"/>
  <c r="T304" i="5"/>
  <c r="AM144" i="5"/>
  <c r="T32" i="5"/>
  <c r="T112" i="5"/>
  <c r="V150" i="4"/>
  <c r="AS30" i="4"/>
  <c r="U135" i="4"/>
  <c r="T424" i="5"/>
  <c r="T456" i="5"/>
  <c r="T336" i="5"/>
  <c r="T400" i="5"/>
  <c r="T272" i="5"/>
  <c r="AM208" i="5"/>
  <c r="T56" i="5"/>
  <c r="AM535" i="5"/>
  <c r="AM337" i="5"/>
  <c r="AM257" i="5"/>
  <c r="AM153" i="5"/>
  <c r="AM227" i="5"/>
  <c r="AM203" i="5"/>
  <c r="AM236" i="5"/>
  <c r="AM148" i="5"/>
  <c r="AM60" i="5"/>
  <c r="T538" i="5"/>
  <c r="AM440" i="5"/>
  <c r="T472" i="5"/>
  <c r="T504" i="5"/>
  <c r="AM336" i="5"/>
  <c r="T352" i="5"/>
  <c r="T368" i="5"/>
  <c r="T416" i="5"/>
  <c r="T232" i="5"/>
  <c r="T288" i="5"/>
  <c r="T192" i="5"/>
  <c r="T80" i="5"/>
  <c r="S96" i="5"/>
  <c r="R96" i="5"/>
  <c r="V103" i="4"/>
  <c r="AM36" i="5"/>
  <c r="AM67" i="5"/>
  <c r="AM75" i="5"/>
  <c r="AM74" i="5"/>
  <c r="AM100" i="5"/>
  <c r="AM124" i="5"/>
  <c r="AM166" i="5"/>
  <c r="AM201" i="5"/>
  <c r="AM196" i="5"/>
  <c r="AM215" i="5"/>
  <c r="AM291" i="5"/>
  <c r="AM317" i="5"/>
  <c r="AM295" i="5"/>
  <c r="AM357" i="5"/>
  <c r="AM411" i="5"/>
  <c r="AM22" i="5"/>
  <c r="AM21" i="5"/>
  <c r="AM102" i="5"/>
  <c r="AM117" i="5"/>
  <c r="AM170" i="5"/>
  <c r="AM165" i="5"/>
  <c r="AM214" i="5"/>
  <c r="AM237" i="5"/>
  <c r="AM303" i="5"/>
  <c r="AM321" i="5"/>
  <c r="AM309" i="5"/>
  <c r="AM218" i="5"/>
  <c r="AM414" i="5"/>
  <c r="AM375" i="5"/>
  <c r="AM461" i="5"/>
  <c r="AM381" i="5"/>
  <c r="AM545" i="5"/>
  <c r="AM553" i="5"/>
  <c r="AM541" i="5"/>
  <c r="AM37" i="5"/>
  <c r="AM52" i="5"/>
  <c r="AM76" i="5"/>
  <c r="AM86" i="5"/>
  <c r="AM101" i="5"/>
  <c r="AM180" i="5"/>
  <c r="AM190" i="5"/>
  <c r="AM217" i="5"/>
  <c r="AM191" i="5"/>
  <c r="AM323" i="5"/>
  <c r="AM188" i="5"/>
  <c r="AM310" i="5"/>
  <c r="AM316" i="5"/>
  <c r="AM428" i="5"/>
  <c r="AM377" i="5"/>
  <c r="AM333" i="5"/>
  <c r="AM515" i="5"/>
  <c r="AM468" i="5"/>
  <c r="AM405" i="5"/>
  <c r="AM489" i="5"/>
  <c r="AM229" i="5"/>
  <c r="AM558" i="5"/>
  <c r="AM542" i="5"/>
  <c r="AM30" i="5"/>
  <c r="AM63" i="5"/>
  <c r="AM77" i="5"/>
  <c r="AM94" i="5"/>
  <c r="AM126" i="5"/>
  <c r="AM134" i="5"/>
  <c r="AM213" i="5"/>
  <c r="AM226" i="5"/>
  <c r="AM327" i="5"/>
  <c r="AM241" i="5"/>
  <c r="AM315" i="5"/>
  <c r="AM319" i="5"/>
  <c r="AM386" i="5"/>
  <c r="AM531" i="5"/>
  <c r="AM470" i="5"/>
  <c r="AM441" i="5"/>
  <c r="AM494" i="5"/>
  <c r="AM297" i="5"/>
  <c r="AM559" i="5"/>
  <c r="AM44" i="5"/>
  <c r="AM55" i="5"/>
  <c r="AM84" i="5"/>
  <c r="AM138" i="5"/>
  <c r="AM143" i="5"/>
  <c r="AM242" i="5"/>
  <c r="AM246" i="5"/>
  <c r="AM247" i="5"/>
  <c r="AM329" i="5"/>
  <c r="AM250" i="5"/>
  <c r="AM399" i="5"/>
  <c r="AM342" i="5"/>
  <c r="AM401" i="5"/>
  <c r="AM382" i="5"/>
  <c r="AM443" i="5"/>
  <c r="AM502" i="5"/>
  <c r="AM425" i="5"/>
  <c r="AM524" i="5"/>
  <c r="AM46" i="5"/>
  <c r="AM54" i="5"/>
  <c r="AM146" i="5"/>
  <c r="AM158" i="5"/>
  <c r="AM230" i="5"/>
  <c r="AM244" i="5"/>
  <c r="AM266" i="5"/>
  <c r="AM269" i="5"/>
  <c r="AM255" i="5"/>
  <c r="AM330" i="5"/>
  <c r="AM373" i="5"/>
  <c r="AM277" i="5"/>
  <c r="AM402" i="5"/>
  <c r="AM364" i="5"/>
  <c r="AM452" i="5"/>
  <c r="AM391" i="5"/>
  <c r="AM507" i="5"/>
  <c r="AM453" i="5"/>
  <c r="AM503" i="5"/>
  <c r="AM513" i="5"/>
  <c r="AM544" i="5"/>
  <c r="AM483" i="5"/>
  <c r="AM90" i="5"/>
  <c r="AM154" i="5"/>
  <c r="AM181" i="5"/>
  <c r="AM183" i="5"/>
  <c r="AM271" i="5"/>
  <c r="AM268" i="5"/>
  <c r="AM339" i="5"/>
  <c r="AM345" i="5"/>
  <c r="AM417" i="5"/>
  <c r="AM366" i="5"/>
  <c r="AM460" i="5"/>
  <c r="AM403" i="5"/>
  <c r="AM511" i="5"/>
  <c r="AM466" i="5"/>
  <c r="AM509" i="5"/>
  <c r="AM517" i="5"/>
  <c r="AM407" i="5"/>
  <c r="AM19" i="5"/>
  <c r="AM151" i="5"/>
  <c r="AM275" i="5"/>
  <c r="AM398" i="5"/>
  <c r="AM479" i="5"/>
  <c r="AM119" i="5"/>
  <c r="AM351" i="5"/>
  <c r="AM471" i="5"/>
  <c r="AM522" i="5"/>
  <c r="AM150" i="5"/>
  <c r="AM393" i="5"/>
  <c r="AM478" i="5"/>
  <c r="AM523" i="5"/>
  <c r="AM187" i="5"/>
  <c r="AM350" i="5"/>
  <c r="AM429" i="5"/>
  <c r="AM529" i="5"/>
  <c r="AM34" i="5"/>
  <c r="AM182" i="5"/>
  <c r="AM361" i="5"/>
  <c r="AM439" i="5"/>
  <c r="AM548" i="5"/>
  <c r="AM202" i="5"/>
  <c r="AM245" i="5"/>
  <c r="AM516" i="5"/>
  <c r="AM78" i="5"/>
  <c r="AM279" i="5"/>
  <c r="AM254" i="5"/>
  <c r="AM353" i="5"/>
  <c r="AM501" i="5"/>
  <c r="AM95" i="5"/>
  <c r="AM290" i="5"/>
  <c r="AM378" i="5"/>
  <c r="AM469" i="5"/>
  <c r="AM456" i="5"/>
  <c r="T488" i="5"/>
  <c r="T320" i="5"/>
  <c r="AM368" i="5"/>
  <c r="T384" i="5"/>
  <c r="AM400" i="5"/>
  <c r="T256" i="5"/>
  <c r="AM288" i="5"/>
  <c r="T312" i="5"/>
  <c r="T152" i="5"/>
  <c r="AM216" i="5"/>
  <c r="T8" i="5"/>
  <c r="B206" i="2"/>
  <c r="B255" i="2"/>
  <c r="AL64" i="5"/>
  <c r="AK64" i="5"/>
  <c r="AJ195" i="5"/>
  <c r="AJ519" i="5"/>
  <c r="AJ171" i="5"/>
  <c r="AJ457" i="5"/>
  <c r="AJ131" i="5"/>
  <c r="AJ59" i="5"/>
  <c r="AJ115" i="5"/>
  <c r="AI234" i="5"/>
  <c r="AH234" i="5"/>
  <c r="AO506" i="5"/>
  <c r="AJ533" i="5"/>
  <c r="AJ351" i="5"/>
  <c r="AJ383" i="5"/>
  <c r="AJ263" i="5"/>
  <c r="AJ159" i="5"/>
  <c r="AJ191" i="5"/>
  <c r="AJ95" i="5"/>
  <c r="B51" i="2"/>
  <c r="AJ448" i="5"/>
  <c r="AJ504" i="5"/>
  <c r="AJ376" i="5"/>
  <c r="AJ120" i="5"/>
  <c r="AJ176" i="5"/>
  <c r="AJ112" i="5"/>
  <c r="AJ369" i="5"/>
  <c r="AJ281" i="5"/>
  <c r="AJ203" i="5"/>
  <c r="AJ395" i="5"/>
  <c r="AJ155" i="5"/>
  <c r="AI422" i="5"/>
  <c r="AS53" i="4"/>
  <c r="V53" i="4"/>
  <c r="U50" i="4"/>
  <c r="AJ447" i="5"/>
  <c r="AJ479" i="5"/>
  <c r="AJ231" i="5"/>
  <c r="AJ199" i="5"/>
  <c r="V153" i="5"/>
  <c r="U153" i="5"/>
  <c r="U132" i="5"/>
  <c r="V132" i="5"/>
  <c r="V165" i="5"/>
  <c r="U165" i="5"/>
  <c r="AJ512" i="5"/>
  <c r="AJ384" i="5"/>
  <c r="AJ256" i="5"/>
  <c r="AJ26" i="5"/>
  <c r="AJ33" i="5"/>
  <c r="AJ34" i="5"/>
  <c r="AJ36" i="5"/>
  <c r="AJ65" i="5"/>
  <c r="AJ58" i="5"/>
  <c r="AJ70" i="5"/>
  <c r="AJ141" i="5"/>
  <c r="AJ102" i="5"/>
  <c r="AJ188" i="5"/>
  <c r="AJ148" i="5"/>
  <c r="AJ214" i="5"/>
  <c r="AJ241" i="5"/>
  <c r="AJ253" i="5"/>
  <c r="AJ294" i="5"/>
  <c r="AJ329" i="5"/>
  <c r="AJ251" i="5"/>
  <c r="AJ213" i="5"/>
  <c r="AJ270" i="5"/>
  <c r="AJ297" i="5"/>
  <c r="AJ246" i="5"/>
  <c r="AJ345" i="5"/>
  <c r="AJ370" i="5"/>
  <c r="AJ38" i="5"/>
  <c r="AJ68" i="5"/>
  <c r="AJ101" i="5"/>
  <c r="AJ138" i="5"/>
  <c r="AJ116" i="5"/>
  <c r="AJ133" i="5"/>
  <c r="AJ180" i="5"/>
  <c r="AJ242" i="5"/>
  <c r="AJ234" i="5"/>
  <c r="AJ189" i="5"/>
  <c r="AJ218" i="5"/>
  <c r="AJ298" i="5"/>
  <c r="AJ330" i="5"/>
  <c r="AJ254" i="5"/>
  <c r="AJ314" i="5"/>
  <c r="AJ221" i="5"/>
  <c r="AJ333" i="5"/>
  <c r="AJ346" i="5"/>
  <c r="AJ342" i="5"/>
  <c r="AJ378" i="5"/>
  <c r="AJ420" i="5"/>
  <c r="AJ396" i="5"/>
  <c r="AJ338" i="5"/>
  <c r="AJ446" i="5"/>
  <c r="AJ506" i="5"/>
  <c r="AJ502" i="5"/>
  <c r="AJ517" i="5"/>
  <c r="AJ542" i="5"/>
  <c r="AJ550" i="5"/>
  <c r="AJ528" i="5"/>
  <c r="AJ548" i="5"/>
  <c r="AJ486" i="5"/>
  <c r="AJ44" i="5"/>
  <c r="AJ42" i="5"/>
  <c r="AJ50" i="5"/>
  <c r="AJ74" i="5"/>
  <c r="AJ78" i="5"/>
  <c r="AJ109" i="5"/>
  <c r="AJ100" i="5"/>
  <c r="AJ118" i="5"/>
  <c r="AJ149" i="5"/>
  <c r="AJ110" i="5"/>
  <c r="AJ186" i="5"/>
  <c r="AJ165" i="5"/>
  <c r="AJ194" i="5"/>
  <c r="AJ222" i="5"/>
  <c r="AJ193" i="5"/>
  <c r="AJ269" i="5"/>
  <c r="AJ305" i="5"/>
  <c r="AJ177" i="5"/>
  <c r="AJ257" i="5"/>
  <c r="AJ293" i="5"/>
  <c r="AJ250" i="5"/>
  <c r="AJ277" i="5"/>
  <c r="AJ308" i="5"/>
  <c r="AJ340" i="5"/>
  <c r="AJ356" i="5"/>
  <c r="AJ412" i="5"/>
  <c r="AJ349" i="5"/>
  <c r="AJ394" i="5"/>
  <c r="AJ401" i="5"/>
  <c r="AJ385" i="5"/>
  <c r="AJ461" i="5"/>
  <c r="AJ482" i="5"/>
  <c r="AJ418" i="5"/>
  <c r="AJ508" i="5"/>
  <c r="AJ417" i="5"/>
  <c r="AJ442" i="5"/>
  <c r="AJ527" i="5"/>
  <c r="AJ547" i="5"/>
  <c r="AJ556" i="5"/>
  <c r="AJ535" i="5"/>
  <c r="AJ497" i="5"/>
  <c r="AJ46" i="5"/>
  <c r="AJ45" i="5"/>
  <c r="AJ54" i="5"/>
  <c r="AJ84" i="5"/>
  <c r="AJ130" i="5"/>
  <c r="AJ157" i="5"/>
  <c r="AJ114" i="5"/>
  <c r="AJ164" i="5"/>
  <c r="AJ156" i="5"/>
  <c r="AJ170" i="5"/>
  <c r="AJ205" i="5"/>
  <c r="AJ226" i="5"/>
  <c r="AJ197" i="5"/>
  <c r="AJ198" i="5"/>
  <c r="AJ310" i="5"/>
  <c r="AJ322" i="5"/>
  <c r="AJ252" i="5"/>
  <c r="AJ282" i="5"/>
  <c r="AJ357" i="5"/>
  <c r="AJ380" i="5"/>
  <c r="AJ413" i="5"/>
  <c r="AJ354" i="5"/>
  <c r="AJ300" i="5"/>
  <c r="AJ381" i="5"/>
  <c r="AJ428" i="5"/>
  <c r="AJ484" i="5"/>
  <c r="AJ454" i="5"/>
  <c r="AJ509" i="5"/>
  <c r="AJ421" i="5"/>
  <c r="AJ445" i="5"/>
  <c r="AJ485" i="5"/>
  <c r="AJ552" i="5"/>
  <c r="AJ452" i="5"/>
  <c r="AJ22" i="5"/>
  <c r="AJ20" i="5"/>
  <c r="AJ21" i="5"/>
  <c r="AJ52" i="5"/>
  <c r="AJ61" i="5"/>
  <c r="AJ60" i="5"/>
  <c r="AJ85" i="5"/>
  <c r="AJ125" i="5"/>
  <c r="AJ158" i="5"/>
  <c r="AJ132" i="5"/>
  <c r="AJ150" i="5"/>
  <c r="AJ166" i="5"/>
  <c r="AJ173" i="5"/>
  <c r="AJ228" i="5"/>
  <c r="AJ172" i="5"/>
  <c r="AJ236" i="5"/>
  <c r="AJ278" i="5"/>
  <c r="AJ317" i="5"/>
  <c r="AJ230" i="5"/>
  <c r="AJ301" i="5"/>
  <c r="AJ324" i="5"/>
  <c r="AJ258" i="5"/>
  <c r="AJ286" i="5"/>
  <c r="AJ316" i="5"/>
  <c r="AJ274" i="5"/>
  <c r="AJ358" i="5"/>
  <c r="AJ398" i="5"/>
  <c r="AJ382" i="5"/>
  <c r="AJ405" i="5"/>
  <c r="AJ429" i="5"/>
  <c r="AJ492" i="5"/>
  <c r="AJ523" i="5"/>
  <c r="AJ436" i="5"/>
  <c r="AJ510" i="5"/>
  <c r="AJ422" i="5"/>
  <c r="AJ490" i="5"/>
  <c r="AJ558" i="5"/>
  <c r="AJ462" i="5"/>
  <c r="AJ514" i="5"/>
  <c r="AJ28" i="5"/>
  <c r="AJ57" i="5"/>
  <c r="AJ82" i="5"/>
  <c r="AJ106" i="5"/>
  <c r="AJ134" i="5"/>
  <c r="AJ140" i="5"/>
  <c r="AJ179" i="5"/>
  <c r="AJ204" i="5"/>
  <c r="AJ237" i="5"/>
  <c r="AJ232" i="5"/>
  <c r="AJ321" i="5"/>
  <c r="AJ287" i="5"/>
  <c r="AJ267" i="5"/>
  <c r="AJ355" i="5"/>
  <c r="AJ377" i="5"/>
  <c r="AJ434" i="5"/>
  <c r="AJ388" i="5"/>
  <c r="AJ372" i="5"/>
  <c r="AJ352" i="5"/>
  <c r="AJ480" i="5"/>
  <c r="AJ373" i="5"/>
  <c r="AJ481" i="5"/>
  <c r="AJ266" i="5"/>
  <c r="AJ437" i="5"/>
  <c r="AJ526" i="5"/>
  <c r="AJ404" i="5"/>
  <c r="AJ530" i="5"/>
  <c r="AJ498" i="5"/>
  <c r="AJ19" i="5"/>
  <c r="O13" i="5"/>
  <c r="AJ23" i="5"/>
  <c r="AJ39" i="5"/>
  <c r="AJ62" i="5"/>
  <c r="AJ93" i="5"/>
  <c r="AJ117" i="5"/>
  <c r="AJ136" i="5"/>
  <c r="AJ151" i="5"/>
  <c r="AJ137" i="5"/>
  <c r="AJ25" i="5"/>
  <c r="AJ63" i="5"/>
  <c r="AJ75" i="5"/>
  <c r="AJ94" i="5"/>
  <c r="AJ126" i="5"/>
  <c r="AJ145" i="5"/>
  <c r="AJ154" i="5"/>
  <c r="AJ182" i="5"/>
  <c r="AJ219" i="5"/>
  <c r="AJ181" i="5"/>
  <c r="AJ243" i="5"/>
  <c r="AJ331" i="5"/>
  <c r="AJ309" i="5"/>
  <c r="AJ289" i="5"/>
  <c r="AJ296" i="5"/>
  <c r="AJ390" i="5"/>
  <c r="AJ336" i="5"/>
  <c r="AJ406" i="5"/>
  <c r="AJ387" i="5"/>
  <c r="AJ440" i="5"/>
  <c r="AJ500" i="5"/>
  <c r="AJ441" i="5"/>
  <c r="AJ494" i="5"/>
  <c r="AJ393" i="5"/>
  <c r="AJ458" i="5"/>
  <c r="AJ538" i="5"/>
  <c r="AJ532" i="5"/>
  <c r="AJ551" i="5"/>
  <c r="AJ555" i="5"/>
  <c r="AJ37" i="5"/>
  <c r="AJ69" i="5"/>
  <c r="AJ76" i="5"/>
  <c r="AJ104" i="5"/>
  <c r="AJ128" i="5"/>
  <c r="AJ80" i="5"/>
  <c r="AJ139" i="5"/>
  <c r="AJ184" i="5"/>
  <c r="AJ235" i="5"/>
  <c r="AJ192" i="5"/>
  <c r="AJ247" i="5"/>
  <c r="AJ248" i="5"/>
  <c r="AJ315" i="5"/>
  <c r="AJ292" i="5"/>
  <c r="AJ337" i="5"/>
  <c r="AJ392" i="5"/>
  <c r="AJ341" i="5"/>
  <c r="AJ415" i="5"/>
  <c r="AJ391" i="5"/>
  <c r="AJ444" i="5"/>
  <c r="AJ505" i="5"/>
  <c r="AJ443" i="5"/>
  <c r="AJ499" i="5"/>
  <c r="AJ402" i="5"/>
  <c r="AJ460" i="5"/>
  <c r="AJ540" i="5"/>
  <c r="AJ549" i="5"/>
  <c r="AJ554" i="5"/>
  <c r="AJ557" i="5"/>
  <c r="AJ29" i="5"/>
  <c r="AJ53" i="5"/>
  <c r="AJ77" i="5"/>
  <c r="AJ90" i="5"/>
  <c r="AJ146" i="5"/>
  <c r="AJ86" i="5"/>
  <c r="AJ168" i="5"/>
  <c r="AJ196" i="5"/>
  <c r="AJ238" i="5"/>
  <c r="AJ206" i="5"/>
  <c r="AJ262" i="5"/>
  <c r="AJ249" i="5"/>
  <c r="AJ332" i="5"/>
  <c r="AJ304" i="5"/>
  <c r="AJ344" i="5"/>
  <c r="AJ408" i="5"/>
  <c r="AJ348" i="5"/>
  <c r="AJ259" i="5"/>
  <c r="AJ397" i="5"/>
  <c r="AJ453" i="5"/>
  <c r="AJ511" i="5"/>
  <c r="AJ450" i="5"/>
  <c r="AJ503" i="5"/>
  <c r="AJ414" i="5"/>
  <c r="AJ472" i="5"/>
  <c r="AJ544" i="5"/>
  <c r="AJ559" i="5"/>
  <c r="AJ560" i="5"/>
  <c r="AJ474" i="5"/>
  <c r="AJ30" i="5"/>
  <c r="AJ66" i="5"/>
  <c r="AJ73" i="5"/>
  <c r="AJ92" i="5"/>
  <c r="AJ161" i="5"/>
  <c r="AJ108" i="5"/>
  <c r="AJ174" i="5"/>
  <c r="AJ124" i="5"/>
  <c r="AJ244" i="5"/>
  <c r="AJ209" i="5"/>
  <c r="AJ284" i="5"/>
  <c r="AJ255" i="5"/>
  <c r="AJ190" i="5"/>
  <c r="AJ319" i="5"/>
  <c r="AJ350" i="5"/>
  <c r="AJ419" i="5"/>
  <c r="AJ364" i="5"/>
  <c r="AJ323" i="5"/>
  <c r="AJ407" i="5"/>
  <c r="AJ470" i="5"/>
  <c r="AJ537" i="5"/>
  <c r="AJ463" i="5"/>
  <c r="AJ513" i="5"/>
  <c r="AJ424" i="5"/>
  <c r="AJ491" i="5"/>
  <c r="AJ261" i="5"/>
  <c r="AJ468" i="5"/>
  <c r="AJ471" i="5"/>
  <c r="AJ529" i="5"/>
  <c r="AJ41" i="5"/>
  <c r="AJ27" i="5"/>
  <c r="AJ91" i="5"/>
  <c r="AJ98" i="5"/>
  <c r="AJ87" i="5"/>
  <c r="AJ123" i="5"/>
  <c r="AJ185" i="5"/>
  <c r="AJ142" i="5"/>
  <c r="AJ202" i="5"/>
  <c r="AJ220" i="5"/>
  <c r="AJ290" i="5"/>
  <c r="AJ268" i="5"/>
  <c r="AJ245" i="5"/>
  <c r="AJ325" i="5"/>
  <c r="AJ363" i="5"/>
  <c r="AJ426" i="5"/>
  <c r="AJ366" i="5"/>
  <c r="AJ343" i="5"/>
  <c r="AJ409" i="5"/>
  <c r="AJ476" i="5"/>
  <c r="AJ288" i="5"/>
  <c r="AJ466" i="5"/>
  <c r="AJ518" i="5"/>
  <c r="AJ425" i="5"/>
  <c r="AJ496" i="5"/>
  <c r="AJ279" i="5"/>
  <c r="AJ516" i="5"/>
  <c r="AJ475" i="5"/>
  <c r="AJ543" i="5"/>
  <c r="AJ24" i="5"/>
  <c r="AJ49" i="5"/>
  <c r="AJ67" i="5"/>
  <c r="AJ103" i="5"/>
  <c r="AJ122" i="5"/>
  <c r="AJ129" i="5"/>
  <c r="AJ178" i="5"/>
  <c r="AJ162" i="5"/>
  <c r="AJ215" i="5"/>
  <c r="AJ229" i="5"/>
  <c r="AJ302" i="5"/>
  <c r="AJ275" i="5"/>
  <c r="AJ260" i="5"/>
  <c r="AJ334" i="5"/>
  <c r="AJ365" i="5"/>
  <c r="AJ427" i="5"/>
  <c r="AJ374" i="5"/>
  <c r="AJ362" i="5"/>
  <c r="AJ410" i="5"/>
  <c r="AJ477" i="5"/>
  <c r="AJ361" i="5"/>
  <c r="AJ469" i="5"/>
  <c r="AJ520" i="5"/>
  <c r="AJ433" i="5"/>
  <c r="AJ501" i="5"/>
  <c r="AJ285" i="5"/>
  <c r="AJ522" i="5"/>
  <c r="AJ478" i="5"/>
  <c r="AJ545" i="5"/>
  <c r="AJ212" i="5"/>
  <c r="AJ493" i="5"/>
  <c r="AJ389" i="5"/>
  <c r="AJ375" i="5"/>
  <c r="AJ210" i="5"/>
  <c r="AJ318" i="5"/>
  <c r="AJ456" i="5"/>
  <c r="AJ175" i="5"/>
  <c r="AJ400" i="5"/>
  <c r="AJ536" i="5"/>
  <c r="AJ208" i="5"/>
  <c r="AJ386" i="5"/>
  <c r="AJ524" i="5"/>
  <c r="AJ326" i="5"/>
  <c r="AJ430" i="5"/>
  <c r="AJ546" i="5"/>
  <c r="AJ306" i="5"/>
  <c r="AJ495" i="5"/>
  <c r="AJ531" i="5"/>
  <c r="AJ276" i="5"/>
  <c r="AJ438" i="5"/>
  <c r="AJ233" i="5"/>
  <c r="AJ507" i="5"/>
  <c r="AJ201" i="5"/>
  <c r="AJ435" i="5"/>
  <c r="AJ163" i="5"/>
  <c r="B47" i="2"/>
  <c r="AI437" i="5"/>
  <c r="AH437" i="5"/>
  <c r="U144" i="4"/>
  <c r="AJ553" i="5"/>
  <c r="AJ359" i="5"/>
  <c r="AJ271" i="5"/>
  <c r="AJ135" i="5"/>
  <c r="AJ167" i="5"/>
  <c r="U31" i="5"/>
  <c r="V31" i="5"/>
  <c r="U110" i="5"/>
  <c r="V110" i="5"/>
  <c r="U277" i="5"/>
  <c r="V277" i="5"/>
  <c r="U124" i="5"/>
  <c r="V124" i="5"/>
  <c r="U158" i="5"/>
  <c r="V158" i="5"/>
  <c r="AJ160" i="5"/>
  <c r="AJ216" i="5"/>
  <c r="AJ449" i="5"/>
  <c r="AJ81" i="5"/>
  <c r="AJ515" i="5"/>
  <c r="AN66" i="5"/>
  <c r="U121" i="4"/>
  <c r="AJ423" i="5"/>
  <c r="AJ487" i="5"/>
  <c r="AJ327" i="5"/>
  <c r="AJ399" i="5"/>
  <c r="AJ31" i="5"/>
  <c r="AJ71" i="5"/>
  <c r="V108" i="5"/>
  <c r="V163" i="5"/>
  <c r="AJ534" i="5"/>
  <c r="AJ464" i="5"/>
  <c r="AJ473" i="5"/>
  <c r="AJ121" i="5"/>
  <c r="AJ89" i="5"/>
  <c r="AO449" i="5"/>
  <c r="AN449" i="5"/>
  <c r="AJ347" i="5"/>
  <c r="U75" i="5"/>
  <c r="AJ265" i="5"/>
  <c r="AJ411" i="5"/>
  <c r="AJ291" i="5"/>
  <c r="AH306" i="5"/>
  <c r="AN62" i="5"/>
  <c r="B223" i="2"/>
  <c r="B200" i="2"/>
  <c r="B212" i="2" s="1"/>
  <c r="H65" i="1" s="1"/>
  <c r="AJ455" i="5"/>
  <c r="AJ239" i="5"/>
  <c r="AJ207" i="5"/>
  <c r="AJ47" i="5"/>
  <c r="V157" i="5"/>
  <c r="U157" i="5"/>
  <c r="V238" i="5"/>
  <c r="AJ488" i="5"/>
  <c r="AJ320" i="5"/>
  <c r="AJ264" i="5"/>
  <c r="U168" i="5"/>
  <c r="V168" i="5"/>
  <c r="AJ48" i="5"/>
  <c r="AJ72" i="5"/>
  <c r="AJ96" i="5"/>
  <c r="AJ489" i="5"/>
  <c r="AJ113" i="5"/>
  <c r="AH211" i="5"/>
  <c r="AJ83" i="5"/>
  <c r="AJ313" i="5"/>
  <c r="AJ353" i="5"/>
  <c r="B174" i="2"/>
  <c r="B175" i="2"/>
  <c r="H54" i="1"/>
  <c r="AJ299" i="5"/>
  <c r="AJ211" i="5"/>
  <c r="AO547" i="5"/>
  <c r="AJ525" i="5"/>
  <c r="AJ431" i="5"/>
  <c r="AJ335" i="5"/>
  <c r="AJ295" i="5"/>
  <c r="AJ127" i="5"/>
  <c r="AJ143" i="5"/>
  <c r="AJ79" i="5"/>
  <c r="U198" i="5"/>
  <c r="V73" i="5"/>
  <c r="U73" i="5"/>
  <c r="U122" i="5"/>
  <c r="V122" i="5"/>
  <c r="AJ360" i="5"/>
  <c r="AJ272" i="5"/>
  <c r="AJ312" i="5"/>
  <c r="AJ107" i="5"/>
  <c r="AJ403" i="5"/>
  <c r="AH527" i="5"/>
  <c r="AI527" i="5"/>
  <c r="AJ467" i="5"/>
  <c r="AJ339" i="5"/>
  <c r="AJ119" i="5"/>
  <c r="AF539" i="5"/>
  <c r="AF448" i="5"/>
  <c r="AF467" i="5"/>
  <c r="AF256" i="5"/>
  <c r="AF511" i="5"/>
  <c r="AF248" i="5"/>
  <c r="AF298" i="5"/>
  <c r="AF444" i="5"/>
  <c r="AF281" i="5"/>
  <c r="AF398" i="5"/>
  <c r="AF523" i="5"/>
  <c r="AF526" i="5"/>
  <c r="AF293" i="5"/>
  <c r="AF207" i="5"/>
  <c r="AF81" i="5"/>
  <c r="AF455" i="5"/>
  <c r="AF364" i="5"/>
  <c r="AF313" i="5"/>
  <c r="AF128" i="5"/>
  <c r="AF544" i="5"/>
  <c r="AF488" i="5"/>
  <c r="AF473" i="5"/>
  <c r="AF459" i="5"/>
  <c r="AF434" i="5"/>
  <c r="AF306" i="5"/>
  <c r="AF272" i="5"/>
  <c r="AF205" i="5"/>
  <c r="AF132" i="5"/>
  <c r="AF27" i="5"/>
  <c r="AF525" i="5"/>
  <c r="AF520" i="5"/>
  <c r="AF512" i="5"/>
  <c r="AF516" i="5"/>
  <c r="AF320" i="5"/>
  <c r="AF265" i="5"/>
  <c r="AF304" i="5"/>
  <c r="AF173" i="5"/>
  <c r="AF64" i="5"/>
  <c r="AF46" i="5"/>
  <c r="AF93" i="5"/>
  <c r="AF167" i="5"/>
  <c r="AF213" i="5"/>
  <c r="AF266" i="5"/>
  <c r="AF288" i="5"/>
  <c r="AF331" i="5"/>
  <c r="AF393" i="5"/>
  <c r="AF383" i="5"/>
  <c r="AF413" i="5"/>
  <c r="AF490" i="5"/>
  <c r="AF79" i="5"/>
  <c r="AF155" i="5"/>
  <c r="AF186" i="5"/>
  <c r="AF194" i="5"/>
  <c r="AF311" i="5"/>
  <c r="AF247" i="5"/>
  <c r="AF277" i="5"/>
  <c r="AF257" i="5"/>
  <c r="AF335" i="5"/>
  <c r="AF406" i="5"/>
  <c r="AF134" i="5"/>
  <c r="AF117" i="5"/>
  <c r="AF74" i="5"/>
  <c r="AF40" i="5"/>
  <c r="AF130" i="5"/>
  <c r="AF121" i="5"/>
  <c r="AF160" i="5"/>
  <c r="AF75" i="5"/>
  <c r="AF44" i="5"/>
  <c r="AF7" i="5"/>
  <c r="AF9" i="5"/>
  <c r="AF430" i="5"/>
  <c r="AF362" i="5"/>
  <c r="AF514" i="5"/>
  <c r="AF316" i="5"/>
  <c r="AF461" i="5"/>
  <c r="AF318" i="5"/>
  <c r="AF228" i="5"/>
  <c r="AF478" i="5"/>
  <c r="AF250" i="5"/>
  <c r="AF513" i="5"/>
  <c r="AF500" i="5"/>
  <c r="AF485" i="5"/>
  <c r="AF330" i="5"/>
  <c r="AF157" i="5"/>
  <c r="AF70" i="5"/>
  <c r="AF426" i="5"/>
  <c r="AF377" i="5"/>
  <c r="AF227" i="5"/>
  <c r="AF54" i="5"/>
  <c r="AF518" i="5"/>
  <c r="AF429" i="5"/>
  <c r="AF463" i="5"/>
  <c r="AF439" i="5"/>
  <c r="AF397" i="5"/>
  <c r="AF208" i="5"/>
  <c r="AF215" i="5"/>
  <c r="AF240" i="5"/>
  <c r="AF144" i="5"/>
  <c r="AF550" i="5"/>
  <c r="AF451" i="5"/>
  <c r="AF506" i="5"/>
  <c r="AF498" i="5"/>
  <c r="AF496" i="5"/>
  <c r="AF402" i="5"/>
  <c r="AF350" i="5"/>
  <c r="AF278" i="5"/>
  <c r="AF159" i="5"/>
  <c r="AF63" i="5"/>
  <c r="AF33" i="5"/>
  <c r="AF116" i="5"/>
  <c r="AF164" i="5"/>
  <c r="AF225" i="5"/>
  <c r="AF279" i="5"/>
  <c r="AF303" i="5"/>
  <c r="AF352" i="5"/>
  <c r="AF409" i="5"/>
  <c r="AF404" i="5"/>
  <c r="AF336" i="5"/>
  <c r="AF39" i="5"/>
  <c r="AF96" i="5"/>
  <c r="AF127" i="5"/>
  <c r="AF216" i="5"/>
  <c r="AF203" i="5"/>
  <c r="AF327" i="5"/>
  <c r="AF268" i="5"/>
  <c r="AF324" i="5"/>
  <c r="AF295" i="5"/>
  <c r="AF357" i="5"/>
  <c r="AF433" i="5"/>
  <c r="AF182" i="5"/>
  <c r="AF107" i="5"/>
  <c r="AF78" i="5"/>
  <c r="AF42" i="5"/>
  <c r="AF172" i="5"/>
  <c r="AF103" i="5"/>
  <c r="AF142" i="5"/>
  <c r="AF35" i="5"/>
  <c r="AF37" i="5"/>
  <c r="AF12" i="5"/>
  <c r="AF471" i="5"/>
  <c r="AF243" i="5"/>
  <c r="AF517" i="5"/>
  <c r="AF199" i="5"/>
  <c r="AF437" i="5"/>
  <c r="AF235" i="5"/>
  <c r="AF510" i="5"/>
  <c r="AF483" i="5"/>
  <c r="AF146" i="5"/>
  <c r="AF559" i="5"/>
  <c r="AF446" i="5"/>
  <c r="AF412" i="5"/>
  <c r="AF285" i="5"/>
  <c r="AF91" i="5"/>
  <c r="AF560" i="5"/>
  <c r="AF468" i="5"/>
  <c r="AF332" i="5"/>
  <c r="AF226" i="5"/>
  <c r="AF55" i="5"/>
  <c r="AF541" i="5"/>
  <c r="AF545" i="5"/>
  <c r="AF432" i="5"/>
  <c r="AF536" i="5"/>
  <c r="AF389" i="5"/>
  <c r="AF372" i="5"/>
  <c r="AF261" i="5"/>
  <c r="AF187" i="5"/>
  <c r="AF109" i="5"/>
  <c r="AF549" i="5"/>
  <c r="AF499" i="5"/>
  <c r="AF476" i="5"/>
  <c r="AF462" i="5"/>
  <c r="AF435" i="5"/>
  <c r="AF309" i="5"/>
  <c r="AF275" i="5"/>
  <c r="AF210" i="5"/>
  <c r="AF136" i="5"/>
  <c r="AF28" i="5"/>
  <c r="AF71" i="5"/>
  <c r="AF153" i="5"/>
  <c r="AF179" i="5"/>
  <c r="AF177" i="5"/>
  <c r="AF308" i="5"/>
  <c r="AF234" i="5"/>
  <c r="AF274" i="5"/>
  <c r="AF254" i="5"/>
  <c r="AF334" i="5"/>
  <c r="AF403" i="5"/>
  <c r="AF41" i="5"/>
  <c r="AF106" i="5"/>
  <c r="AF181" i="5"/>
  <c r="AF178" i="5"/>
  <c r="AF237" i="5"/>
  <c r="AF259" i="5"/>
  <c r="AF305" i="5"/>
  <c r="AF368" i="5"/>
  <c r="AF347" i="5"/>
  <c r="AF384" i="5"/>
  <c r="AF458" i="5"/>
  <c r="AF143" i="5"/>
  <c r="AF124" i="5"/>
  <c r="AF66" i="5"/>
  <c r="AF211" i="5"/>
  <c r="AF122" i="5"/>
  <c r="AF147" i="5"/>
  <c r="AF99" i="5"/>
  <c r="AF53" i="5"/>
  <c r="AF36" i="5"/>
  <c r="AF13" i="5"/>
  <c r="AF537" i="5"/>
  <c r="AF540" i="5"/>
  <c r="AF415" i="5"/>
  <c r="AF151" i="5"/>
  <c r="AF501" i="5"/>
  <c r="AF180" i="5"/>
  <c r="AF547" i="5"/>
  <c r="AF408" i="5"/>
  <c r="AF24" i="5"/>
  <c r="AF548" i="5"/>
  <c r="AF223" i="5"/>
  <c r="AF338" i="5"/>
  <c r="AF319" i="5"/>
  <c r="AF92" i="5"/>
  <c r="AF502" i="5"/>
  <c r="AF424" i="5"/>
  <c r="AF428" i="5"/>
  <c r="AF233" i="5"/>
  <c r="AF67" i="5"/>
  <c r="AF557" i="5"/>
  <c r="AF528" i="5"/>
  <c r="AF345" i="5"/>
  <c r="AF527" i="5"/>
  <c r="AF363" i="5"/>
  <c r="AF340" i="5"/>
  <c r="AF328" i="5"/>
  <c r="AF220" i="5"/>
  <c r="AF98" i="5"/>
  <c r="AF538" i="5"/>
  <c r="AF431" i="5"/>
  <c r="AF465" i="5"/>
  <c r="AF452" i="5"/>
  <c r="AF400" i="5"/>
  <c r="AF239" i="5"/>
  <c r="AF218" i="5"/>
  <c r="AF139" i="5"/>
  <c r="AF150" i="5"/>
  <c r="AF32" i="5"/>
  <c r="AF87" i="5"/>
  <c r="AF114" i="5"/>
  <c r="AF209" i="5"/>
  <c r="AF202" i="5"/>
  <c r="AF325" i="5"/>
  <c r="AF267" i="5"/>
  <c r="AF301" i="5"/>
  <c r="AF283" i="5"/>
  <c r="AF346" i="5"/>
  <c r="AF425" i="5"/>
  <c r="AF60" i="5"/>
  <c r="AF148" i="5"/>
  <c r="AF137" i="5"/>
  <c r="AF195" i="5"/>
  <c r="AF246" i="5"/>
  <c r="AF271" i="5"/>
  <c r="AF326" i="5"/>
  <c r="AF386" i="5"/>
  <c r="AF369" i="5"/>
  <c r="AF399" i="5"/>
  <c r="AF475" i="5"/>
  <c r="AF115" i="5"/>
  <c r="AF104" i="5"/>
  <c r="AF47" i="5"/>
  <c r="AF189" i="5"/>
  <c r="AF184" i="5"/>
  <c r="AF133" i="5"/>
  <c r="AF100" i="5"/>
  <c r="AF30" i="5"/>
  <c r="AF45" i="5"/>
  <c r="AF11" i="5"/>
  <c r="AF534" i="5"/>
  <c r="AF531" i="5"/>
  <c r="AF337" i="5"/>
  <c r="AF494" i="5"/>
  <c r="AF382" i="5"/>
  <c r="AF89" i="5"/>
  <c r="AF551" i="5"/>
  <c r="AF373" i="5"/>
  <c r="AF553" i="5"/>
  <c r="AF552" i="5"/>
  <c r="AF480" i="5"/>
  <c r="AF375" i="5"/>
  <c r="AF258" i="5"/>
  <c r="AF23" i="5"/>
  <c r="AF535" i="5"/>
  <c r="AF533" i="5"/>
  <c r="AF355" i="5"/>
  <c r="AF242" i="5"/>
  <c r="AF20" i="5"/>
  <c r="AF508" i="5"/>
  <c r="AF519" i="5"/>
  <c r="AF507" i="5"/>
  <c r="AF515" i="5"/>
  <c r="AF314" i="5"/>
  <c r="AF260" i="5"/>
  <c r="AF299" i="5"/>
  <c r="AF82" i="5"/>
  <c r="AF29" i="5"/>
  <c r="AF443" i="5"/>
  <c r="AF374" i="5"/>
  <c r="AF454" i="5"/>
  <c r="AF423" i="5"/>
  <c r="AF263" i="5"/>
  <c r="AF407" i="5"/>
  <c r="AF300" i="5"/>
  <c r="AF222" i="5"/>
  <c r="AF111" i="5"/>
  <c r="AF34" i="5"/>
  <c r="AF84" i="5"/>
  <c r="AF145" i="5"/>
  <c r="AF229" i="5"/>
  <c r="AF214" i="5"/>
  <c r="AF171" i="5"/>
  <c r="AF284" i="5"/>
  <c r="AF349" i="5"/>
  <c r="AF312" i="5"/>
  <c r="AF370" i="5"/>
  <c r="AF436" i="5"/>
  <c r="AF49" i="5"/>
  <c r="AF102" i="5"/>
  <c r="AF175" i="5"/>
  <c r="AF217" i="5"/>
  <c r="AF270" i="5"/>
  <c r="AF291" i="5"/>
  <c r="AF341" i="5"/>
  <c r="AF396" i="5"/>
  <c r="AF385" i="5"/>
  <c r="AF416" i="5"/>
  <c r="AF174" i="5"/>
  <c r="AF88" i="5"/>
  <c r="AF95" i="5"/>
  <c r="AF65" i="5"/>
  <c r="AF158" i="5"/>
  <c r="AF169" i="5"/>
  <c r="AF125" i="5"/>
  <c r="AF83" i="5"/>
  <c r="AF58" i="5"/>
  <c r="AF482" i="5"/>
  <c r="AF487" i="5"/>
  <c r="AF90" i="5"/>
  <c r="AF481" i="5"/>
  <c r="AF280" i="5"/>
  <c r="AF19" i="5"/>
  <c r="AF294" i="5"/>
  <c r="AF356" i="5"/>
  <c r="AF421" i="5"/>
  <c r="AF310" i="5"/>
  <c r="AF59" i="5"/>
  <c r="AF492" i="5"/>
  <c r="AF365" i="5"/>
  <c r="AF190" i="5"/>
  <c r="AF73" i="5"/>
  <c r="AF191" i="5"/>
  <c r="AF302" i="5"/>
  <c r="AF418" i="5"/>
  <c r="AF77" i="5"/>
  <c r="AF230" i="5"/>
  <c r="AF290" i="5"/>
  <c r="AF249" i="5"/>
  <c r="AF149" i="5"/>
  <c r="AF21" i="5"/>
  <c r="AF105" i="5"/>
  <c r="AF245" i="5"/>
  <c r="AF427" i="5"/>
  <c r="AF555" i="5"/>
  <c r="AF543" i="5"/>
  <c r="AF391" i="5"/>
  <c r="AF509" i="5"/>
  <c r="AF286" i="5"/>
  <c r="AF530" i="5"/>
  <c r="AF491" i="5"/>
  <c r="AF296" i="5"/>
  <c r="AF50" i="5"/>
  <c r="AF440" i="5"/>
  <c r="AF353" i="5"/>
  <c r="AF224" i="5"/>
  <c r="AF94" i="5"/>
  <c r="AF236" i="5"/>
  <c r="AF321" i="5"/>
  <c r="AF380" i="5"/>
  <c r="AF86" i="5"/>
  <c r="AF238" i="5"/>
  <c r="AF358" i="5"/>
  <c r="AF371" i="5"/>
  <c r="AF131" i="5"/>
  <c r="AF192" i="5"/>
  <c r="AF85" i="5"/>
  <c r="AF445" i="5"/>
  <c r="AF505" i="5"/>
  <c r="AF495" i="5"/>
  <c r="AF469" i="5"/>
  <c r="AF262" i="5"/>
  <c r="AF479" i="5"/>
  <c r="AF176" i="5"/>
  <c r="AF322" i="5"/>
  <c r="AF460" i="5"/>
  <c r="AF276" i="5"/>
  <c r="AF493" i="5"/>
  <c r="AF420" i="5"/>
  <c r="AF376" i="5"/>
  <c r="AF108" i="5"/>
  <c r="AF126" i="5"/>
  <c r="AF231" i="5"/>
  <c r="AF252" i="5"/>
  <c r="AF395" i="5"/>
  <c r="AF123" i="5"/>
  <c r="AF219" i="5"/>
  <c r="AF255" i="5"/>
  <c r="AF348" i="5"/>
  <c r="AF156" i="5"/>
  <c r="AF168" i="5"/>
  <c r="AF97" i="5"/>
  <c r="AF10" i="5"/>
  <c r="AF521" i="5"/>
  <c r="AF417" i="5"/>
  <c r="AF366" i="5"/>
  <c r="AF556" i="5"/>
  <c r="AF197" i="5"/>
  <c r="AF504" i="5"/>
  <c r="AF161" i="5"/>
  <c r="AF503" i="5"/>
  <c r="AF419" i="5"/>
  <c r="AF241" i="5"/>
  <c r="AF542" i="5"/>
  <c r="AF477" i="5"/>
  <c r="AF342" i="5"/>
  <c r="AF101" i="5"/>
  <c r="AF135" i="5"/>
  <c r="AF201" i="5"/>
  <c r="AF367" i="5"/>
  <c r="AF388" i="5"/>
  <c r="AF140" i="5"/>
  <c r="AF282" i="5"/>
  <c r="AF354" i="5"/>
  <c r="AF394" i="5"/>
  <c r="AF57" i="5"/>
  <c r="AF152" i="5"/>
  <c r="AF48" i="5"/>
  <c r="AF31" i="5"/>
  <c r="AF453" i="5"/>
  <c r="AF438" i="5"/>
  <c r="AF387" i="5"/>
  <c r="AF470" i="5"/>
  <c r="AF212" i="5"/>
  <c r="AF497" i="5"/>
  <c r="AF68" i="5"/>
  <c r="AF484" i="5"/>
  <c r="AF390" i="5"/>
  <c r="AF221" i="5"/>
  <c r="AF558" i="5"/>
  <c r="AF359" i="5"/>
  <c r="AF317" i="5"/>
  <c r="AF80" i="5"/>
  <c r="AF170" i="5"/>
  <c r="AF292" i="5"/>
  <c r="AF381" i="5"/>
  <c r="AF456" i="5"/>
  <c r="AF120" i="5"/>
  <c r="AF297" i="5"/>
  <c r="AF410" i="5"/>
  <c r="AF442" i="5"/>
  <c r="AF61" i="5"/>
  <c r="AF138" i="5"/>
  <c r="AF76" i="5"/>
  <c r="AF8" i="5"/>
  <c r="AF273" i="5"/>
  <c r="AF289" i="5"/>
  <c r="AF329" i="5"/>
  <c r="AF457" i="5"/>
  <c r="AF113" i="5"/>
  <c r="AF447" i="5"/>
  <c r="AF524" i="5"/>
  <c r="AF449" i="5"/>
  <c r="AF351" i="5"/>
  <c r="AF185" i="5"/>
  <c r="AF546" i="5"/>
  <c r="AF532" i="5"/>
  <c r="AF264" i="5"/>
  <c r="AF51" i="5"/>
  <c r="AF119" i="5"/>
  <c r="AF253" i="5"/>
  <c r="AF441" i="5"/>
  <c r="AF472" i="5"/>
  <c r="AF166" i="5"/>
  <c r="AF183" i="5"/>
  <c r="AF193" i="5"/>
  <c r="AF118" i="5"/>
  <c r="AF69" i="5"/>
  <c r="AF141" i="5"/>
  <c r="AF72" i="5"/>
  <c r="AF522" i="5"/>
  <c r="AF287" i="5"/>
  <c r="AF379" i="5"/>
  <c r="AF206" i="5"/>
  <c r="AF378" i="5"/>
  <c r="AF165" i="5"/>
  <c r="AF414" i="5"/>
  <c r="AF489" i="5"/>
  <c r="AF486" i="5"/>
  <c r="AF405" i="5"/>
  <c r="AF188" i="5"/>
  <c r="AF554" i="5"/>
  <c r="AF464" i="5"/>
  <c r="AF333" i="5"/>
  <c r="AF26" i="5"/>
  <c r="AF200" i="5"/>
  <c r="AF269" i="5"/>
  <c r="AF343" i="5"/>
  <c r="AF43" i="5"/>
  <c r="AF204" i="5"/>
  <c r="AF307" i="5"/>
  <c r="AF315" i="5"/>
  <c r="AF162" i="5"/>
  <c r="AF52" i="5"/>
  <c r="AF154" i="5"/>
  <c r="AF62" i="5"/>
  <c r="AF466" i="5"/>
  <c r="AF196" i="5"/>
  <c r="AF339" i="5"/>
  <c r="AF450" i="5"/>
  <c r="AF422" i="5"/>
  <c r="AF129" i="5"/>
  <c r="AF360" i="5"/>
  <c r="AF401" i="5"/>
  <c r="AF474" i="5"/>
  <c r="AF344" i="5"/>
  <c r="AF110" i="5"/>
  <c r="AF529" i="5"/>
  <c r="AF392" i="5"/>
  <c r="AF244" i="5"/>
  <c r="AF56" i="5"/>
  <c r="AF251" i="5"/>
  <c r="AF323" i="5"/>
  <c r="AF361" i="5"/>
  <c r="AF38" i="5"/>
  <c r="AF232" i="5"/>
  <c r="AF198" i="5"/>
  <c r="AF411" i="5"/>
  <c r="AF163" i="5"/>
  <c r="AF25" i="5"/>
  <c r="AF112" i="5"/>
  <c r="AF22" i="5"/>
  <c r="AH233" i="5"/>
  <c r="AI233" i="5"/>
  <c r="U90" i="4"/>
  <c r="U17" i="4"/>
  <c r="AJ367" i="5"/>
  <c r="AJ223" i="5"/>
  <c r="AJ303" i="5"/>
  <c r="AJ111" i="5"/>
  <c r="AJ7" i="5"/>
  <c r="AG7" i="5"/>
  <c r="AM7" i="5"/>
  <c r="T7" i="5"/>
  <c r="Q7" i="5"/>
  <c r="W7" i="5"/>
  <c r="AJ368" i="5"/>
  <c r="AJ416" i="5"/>
  <c r="AJ240" i="5"/>
  <c r="AJ144" i="5"/>
  <c r="AJ32" i="5"/>
  <c r="AJ56" i="5"/>
  <c r="AJ97" i="5"/>
  <c r="AJ459" i="5"/>
  <c r="AJ541" i="5"/>
  <c r="AJ35" i="5"/>
  <c r="AJ99" i="5"/>
  <c r="AJ8" i="5"/>
  <c r="AH262" i="5"/>
  <c r="U58" i="4"/>
  <c r="AS117" i="4"/>
  <c r="V104" i="4"/>
  <c r="U104" i="4"/>
  <c r="U113" i="4"/>
  <c r="AJ439" i="5"/>
  <c r="AJ311" i="5"/>
  <c r="AJ183" i="5"/>
  <c r="AJ55" i="5"/>
  <c r="AJ432" i="5"/>
  <c r="AJ328" i="5"/>
  <c r="AJ224" i="5"/>
  <c r="AJ280" i="5"/>
  <c r="AJ152" i="5"/>
  <c r="AJ200" i="5"/>
  <c r="AJ40" i="5"/>
  <c r="AJ88" i="5"/>
  <c r="AJ217" i="5"/>
  <c r="V220" i="5" l="1"/>
  <c r="AI556" i="5"/>
  <c r="AO293" i="5"/>
  <c r="AS120" i="4"/>
  <c r="AO206" i="5"/>
  <c r="V44" i="4"/>
  <c r="B28" i="2"/>
  <c r="AI74" i="5"/>
  <c r="V64" i="4"/>
  <c r="AM64" i="4" s="1"/>
  <c r="AN64" i="4" s="1"/>
  <c r="AS150" i="4"/>
  <c r="U146" i="4"/>
  <c r="V99" i="4"/>
  <c r="V137" i="4"/>
  <c r="AS113" i="4"/>
  <c r="AS156" i="4"/>
  <c r="V156" i="4"/>
  <c r="U119" i="4"/>
  <c r="AN127" i="5"/>
  <c r="AH510" i="5"/>
  <c r="AS50" i="4"/>
  <c r="U147" i="4"/>
  <c r="AH147" i="4" s="1"/>
  <c r="AS36" i="4"/>
  <c r="V36" i="4"/>
  <c r="AH261" i="5"/>
  <c r="AN263" i="5"/>
  <c r="AO234" i="5"/>
  <c r="U128" i="5"/>
  <c r="V71" i="5"/>
  <c r="V68" i="5"/>
  <c r="V189" i="5"/>
  <c r="V62" i="5"/>
  <c r="U65" i="5"/>
  <c r="U148" i="5"/>
  <c r="V255" i="5"/>
  <c r="U308" i="5"/>
  <c r="U81" i="5"/>
  <c r="V184" i="5"/>
  <c r="V200" i="5"/>
  <c r="U20" i="5"/>
  <c r="V116" i="5"/>
  <c r="U129" i="5"/>
  <c r="AH184" i="5"/>
  <c r="AI355" i="5"/>
  <c r="AN334" i="5"/>
  <c r="AO285" i="5"/>
  <c r="AO533" i="5"/>
  <c r="AI515" i="5"/>
  <c r="V114" i="4"/>
  <c r="AM114" i="4" s="1"/>
  <c r="AN114" i="4" s="1"/>
  <c r="AS13" i="4"/>
  <c r="V92" i="4"/>
  <c r="AM92" i="4" s="1"/>
  <c r="AN92" i="4" s="1"/>
  <c r="U152" i="4"/>
  <c r="U80" i="4"/>
  <c r="U15" i="4"/>
  <c r="AS128" i="4"/>
  <c r="U64" i="4"/>
  <c r="AH64" i="4" s="1"/>
  <c r="V138" i="4"/>
  <c r="W138" i="4" s="1"/>
  <c r="Y138" i="4" s="1"/>
  <c r="AS138" i="4"/>
  <c r="V65" i="4"/>
  <c r="AM65" i="4" s="1"/>
  <c r="AN65" i="4" s="1"/>
  <c r="U65" i="4"/>
  <c r="AH65" i="4" s="1"/>
  <c r="AS144" i="4"/>
  <c r="U72" i="4"/>
  <c r="AH72" i="4" s="1"/>
  <c r="AS68" i="4"/>
  <c r="AS65" i="4"/>
  <c r="U82" i="4"/>
  <c r="V68" i="4"/>
  <c r="W68" i="4" s="1"/>
  <c r="U56" i="4"/>
  <c r="AH56" i="4" s="1"/>
  <c r="AS151" i="4"/>
  <c r="U53" i="4"/>
  <c r="AH53" i="4" s="1"/>
  <c r="AS85" i="4"/>
  <c r="U150" i="4"/>
  <c r="AH150" i="4" s="1"/>
  <c r="V32" i="4"/>
  <c r="W32" i="4" s="1"/>
  <c r="Y32" i="4" s="1"/>
  <c r="V69" i="4"/>
  <c r="AS78" i="4"/>
  <c r="AS112" i="4"/>
  <c r="U41" i="4"/>
  <c r="AH41" i="4" s="1"/>
  <c r="AS91" i="4"/>
  <c r="AS107" i="4"/>
  <c r="V139" i="4"/>
  <c r="AM139" i="4" s="1"/>
  <c r="AN139" i="4" s="1"/>
  <c r="V112" i="4"/>
  <c r="AM112" i="4" s="1"/>
  <c r="AN112" i="4" s="1"/>
  <c r="V41" i="4"/>
  <c r="AM41" i="4" s="1"/>
  <c r="AN41" i="4" s="1"/>
  <c r="U124" i="4"/>
  <c r="AH124" i="4" s="1"/>
  <c r="AS41" i="4"/>
  <c r="V149" i="4"/>
  <c r="U33" i="4"/>
  <c r="AS19" i="4"/>
  <c r="U26" i="4"/>
  <c r="AH26" i="4" s="1"/>
  <c r="V50" i="4"/>
  <c r="W50" i="4" s="1"/>
  <c r="Y50" i="4" s="1"/>
  <c r="Z50" i="4" s="1"/>
  <c r="U122" i="4"/>
  <c r="AH122" i="4" s="1"/>
  <c r="AS153" i="4"/>
  <c r="U47" i="4"/>
  <c r="AH47" i="4" s="1"/>
  <c r="V107" i="4"/>
  <c r="AM107" i="4" s="1"/>
  <c r="AN107" i="4" s="1"/>
  <c r="V90" i="4"/>
  <c r="AS147" i="4"/>
  <c r="U99" i="4"/>
  <c r="AS134" i="4"/>
  <c r="U103" i="4"/>
  <c r="AH103" i="4" s="1"/>
  <c r="V19" i="4"/>
  <c r="AM19" i="4" s="1"/>
  <c r="AN19" i="4" s="1"/>
  <c r="U45" i="4"/>
  <c r="AH45" i="4" s="1"/>
  <c r="U107" i="4"/>
  <c r="AH107" i="4" s="1"/>
  <c r="U28" i="4"/>
  <c r="AH28" i="4" s="1"/>
  <c r="AS90" i="4"/>
  <c r="V122" i="4"/>
  <c r="AS99" i="4"/>
  <c r="AS129" i="4"/>
  <c r="AS103" i="4"/>
  <c r="U93" i="4"/>
  <c r="AH93" i="4" s="1"/>
  <c r="AS122" i="4"/>
  <c r="AS89" i="4"/>
  <c r="AS22" i="4"/>
  <c r="U40" i="4"/>
  <c r="AH40" i="4" s="1"/>
  <c r="V42" i="4"/>
  <c r="AM42" i="4" s="1"/>
  <c r="AN42" i="4" s="1"/>
  <c r="U156" i="4"/>
  <c r="AH156" i="4" s="1"/>
  <c r="U112" i="4"/>
  <c r="AS45" i="4"/>
  <c r="AS66" i="4"/>
  <c r="U69" i="4"/>
  <c r="AH69" i="4" s="1"/>
  <c r="V113" i="4"/>
  <c r="AM113" i="4" s="1"/>
  <c r="AN113" i="4" s="1"/>
  <c r="AS16" i="4"/>
  <c r="AS119" i="4"/>
  <c r="AS43" i="4"/>
  <c r="B32" i="2"/>
  <c r="V81" i="4"/>
  <c r="AS148" i="4"/>
  <c r="V147" i="4"/>
  <c r="V119" i="4"/>
  <c r="AM119" i="4" s="1"/>
  <c r="AN119" i="4" s="1"/>
  <c r="U19" i="4"/>
  <c r="AS114" i="4"/>
  <c r="U13" i="4"/>
  <c r="AH13" i="4" s="1"/>
  <c r="V51" i="4"/>
  <c r="AM51" i="4" s="1"/>
  <c r="AN51" i="4" s="1"/>
  <c r="AS51" i="4"/>
  <c r="AS83" i="4"/>
  <c r="V131" i="4"/>
  <c r="U131" i="4"/>
  <c r="U51" i="4"/>
  <c r="V13" i="4"/>
  <c r="AM13" i="4" s="1"/>
  <c r="AN13" i="4" s="1"/>
  <c r="AS127" i="4"/>
  <c r="V143" i="4"/>
  <c r="W143" i="4" s="1"/>
  <c r="Y143" i="4" s="1"/>
  <c r="Z143" i="4" s="1"/>
  <c r="AS124" i="4"/>
  <c r="V87" i="4"/>
  <c r="W87" i="4" s="1"/>
  <c r="Y87" i="4" s="1"/>
  <c r="U32" i="4"/>
  <c r="AH32" i="4" s="1"/>
  <c r="AS69" i="4"/>
  <c r="V71" i="4"/>
  <c r="U114" i="4"/>
  <c r="U83" i="4"/>
  <c r="V124" i="4"/>
  <c r="AM124" i="4" s="1"/>
  <c r="AN124" i="4" s="1"/>
  <c r="U36" i="4"/>
  <c r="AH36" i="4" s="1"/>
  <c r="AS32" i="4"/>
  <c r="AH117" i="5"/>
  <c r="AI348" i="5"/>
  <c r="AH146" i="5"/>
  <c r="AO235" i="5"/>
  <c r="AO520" i="5"/>
  <c r="AO161" i="5"/>
  <c r="AN159" i="5"/>
  <c r="AK147" i="5"/>
  <c r="AH505" i="5"/>
  <c r="AN282" i="5"/>
  <c r="AH281" i="5"/>
  <c r="AO79" i="5"/>
  <c r="AN348" i="5"/>
  <c r="AN486" i="5"/>
  <c r="AI260" i="5"/>
  <c r="AO459" i="5"/>
  <c r="AH218" i="5"/>
  <c r="AH506" i="5"/>
  <c r="AN26" i="5"/>
  <c r="AH194" i="5"/>
  <c r="AO430" i="5"/>
  <c r="AO286" i="5"/>
  <c r="AN189" i="5"/>
  <c r="AN500" i="5"/>
  <c r="AI77" i="5"/>
  <c r="AN560" i="5"/>
  <c r="AN194" i="5"/>
  <c r="AH524" i="5"/>
  <c r="AN200" i="5"/>
  <c r="AI521" i="5"/>
  <c r="AN304" i="5"/>
  <c r="AO362" i="5"/>
  <c r="AI160" i="5"/>
  <c r="AI91" i="5"/>
  <c r="AH228" i="5"/>
  <c r="AH426" i="5"/>
  <c r="AH370" i="5"/>
  <c r="AH502" i="5"/>
  <c r="AI486" i="5"/>
  <c r="AI522" i="5"/>
  <c r="AH530" i="5"/>
  <c r="AI395" i="5"/>
  <c r="AK273" i="5"/>
  <c r="AH65" i="5"/>
  <c r="AI378" i="5"/>
  <c r="AO505" i="5"/>
  <c r="AI318" i="5"/>
  <c r="AI478" i="5"/>
  <c r="AH410" i="5"/>
  <c r="AI473" i="5"/>
  <c r="AH480" i="5"/>
  <c r="AH500" i="5"/>
  <c r="AI381" i="5"/>
  <c r="AI56" i="5"/>
  <c r="AH335" i="5"/>
  <c r="AI491" i="5"/>
  <c r="AH258" i="5"/>
  <c r="AH558" i="5"/>
  <c r="AH190" i="5"/>
  <c r="AH162" i="5"/>
  <c r="AH537" i="5"/>
  <c r="AH300" i="5"/>
  <c r="AI87" i="5"/>
  <c r="AI70" i="5"/>
  <c r="AI72" i="5"/>
  <c r="AH284" i="5"/>
  <c r="AH135" i="5"/>
  <c r="AH523" i="5"/>
  <c r="AH494" i="5"/>
  <c r="AH164" i="5"/>
  <c r="AH400" i="5"/>
  <c r="AH424" i="5"/>
  <c r="AH183" i="5"/>
  <c r="AH237" i="5"/>
  <c r="AI552" i="5"/>
  <c r="AI299" i="5"/>
  <c r="AI220" i="5"/>
  <c r="AH157" i="5"/>
  <c r="AI464" i="5"/>
  <c r="AI158" i="5"/>
  <c r="AH408" i="5"/>
  <c r="AH519" i="5"/>
  <c r="AI343" i="5"/>
  <c r="AH145" i="5"/>
  <c r="AH419" i="5"/>
  <c r="AH89" i="5"/>
  <c r="AI226" i="5"/>
  <c r="AI36" i="5"/>
  <c r="AH235" i="5"/>
  <c r="AH380" i="5"/>
  <c r="AH373" i="5"/>
  <c r="AH338" i="5"/>
  <c r="AH24" i="5"/>
  <c r="AH460" i="5"/>
  <c r="AH129" i="5"/>
  <c r="AH417" i="5"/>
  <c r="AH243" i="5"/>
  <c r="AI267" i="5"/>
  <c r="AI389" i="5"/>
  <c r="AI212" i="5"/>
  <c r="AI428" i="5"/>
  <c r="AI316" i="5"/>
  <c r="AH327" i="5"/>
  <c r="AI416" i="5"/>
  <c r="AH346" i="5"/>
  <c r="AH153" i="5"/>
  <c r="AI239" i="5"/>
  <c r="AI154" i="5"/>
  <c r="AI51" i="5"/>
  <c r="AI229" i="5"/>
  <c r="AH176" i="5"/>
  <c r="AH526" i="5"/>
  <c r="AI199" i="5"/>
  <c r="AI221" i="5"/>
  <c r="AI106" i="5"/>
  <c r="AO87" i="5"/>
  <c r="AI286" i="5"/>
  <c r="AO122" i="5"/>
  <c r="AH238" i="5"/>
  <c r="AI131" i="5"/>
  <c r="AO383" i="5"/>
  <c r="AH320" i="5"/>
  <c r="AI433" i="5"/>
  <c r="AN434" i="5"/>
  <c r="AO131" i="5"/>
  <c r="AH182" i="5"/>
  <c r="AN152" i="5"/>
  <c r="AO265" i="5"/>
  <c r="AI214" i="5"/>
  <c r="AI425" i="5"/>
  <c r="AI90" i="5"/>
  <c r="AH452" i="5"/>
  <c r="AI448" i="5"/>
  <c r="AO394" i="5"/>
  <c r="AN111" i="5"/>
  <c r="AH382" i="5"/>
  <c r="AN477" i="5"/>
  <c r="AI80" i="5"/>
  <c r="AH200" i="5"/>
  <c r="AI98" i="5"/>
  <c r="AI375" i="5"/>
  <c r="AO455" i="5"/>
  <c r="AH512" i="5"/>
  <c r="AH29" i="5"/>
  <c r="AN514" i="5"/>
  <c r="AH333" i="5"/>
  <c r="AI280" i="5"/>
  <c r="AO141" i="5"/>
  <c r="AI270" i="5"/>
  <c r="AH192" i="5"/>
  <c r="AI487" i="5"/>
  <c r="AO426" i="5"/>
  <c r="AO31" i="5"/>
  <c r="AO540" i="5"/>
  <c r="AI22" i="5"/>
  <c r="AH351" i="5"/>
  <c r="AO301" i="5"/>
  <c r="AI244" i="5"/>
  <c r="AN162" i="5"/>
  <c r="AI34" i="5"/>
  <c r="AH538" i="5"/>
  <c r="AO343" i="5"/>
  <c r="AH441" i="5"/>
  <c r="AH459" i="5"/>
  <c r="AH469" i="5"/>
  <c r="AI108" i="5"/>
  <c r="AH407" i="5"/>
  <c r="AI477" i="5"/>
  <c r="AH451" i="5"/>
  <c r="AH321" i="5"/>
  <c r="AL307" i="5"/>
  <c r="AI44" i="5"/>
  <c r="AI136" i="5"/>
  <c r="AI152" i="5"/>
  <c r="AI46" i="5"/>
  <c r="AI242" i="5"/>
  <c r="AI213" i="5"/>
  <c r="AI308" i="5"/>
  <c r="AH215" i="5"/>
  <c r="AO41" i="5"/>
  <c r="AN493" i="5"/>
  <c r="AH257" i="5"/>
  <c r="AI48" i="5"/>
  <c r="AH166" i="5"/>
  <c r="AH535" i="5"/>
  <c r="AI79" i="5"/>
  <c r="AH485" i="5"/>
  <c r="AH360" i="5"/>
  <c r="AH113" i="5"/>
  <c r="AH394" i="5"/>
  <c r="AH178" i="5"/>
  <c r="AH364" i="5"/>
  <c r="AN157" i="5"/>
  <c r="AH134" i="5"/>
  <c r="AN262" i="5"/>
  <c r="AI288" i="5"/>
  <c r="AH155" i="5"/>
  <c r="AI559" i="5"/>
  <c r="AI204" i="5"/>
  <c r="AO274" i="5"/>
  <c r="AN167" i="5"/>
  <c r="AO537" i="5"/>
  <c r="AO135" i="5"/>
  <c r="AO233" i="5"/>
  <c r="AN385" i="5"/>
  <c r="AN207" i="5"/>
  <c r="AN294" i="5"/>
  <c r="AO527" i="5"/>
  <c r="AO284" i="5"/>
  <c r="AN487" i="5"/>
  <c r="AN83" i="5"/>
  <c r="AN438" i="5"/>
  <c r="AO372" i="5"/>
  <c r="AO299" i="5"/>
  <c r="AO168" i="5"/>
  <c r="AN287" i="5"/>
  <c r="AN454" i="5"/>
  <c r="AO210" i="5"/>
  <c r="AO68" i="5"/>
  <c r="AL539" i="5"/>
  <c r="AO228" i="5"/>
  <c r="AN369" i="5"/>
  <c r="AN356" i="5"/>
  <c r="AO197" i="5"/>
  <c r="AN125" i="5"/>
  <c r="AN105" i="5"/>
  <c r="AO419" i="5"/>
  <c r="AN204" i="5"/>
  <c r="AN473" i="5"/>
  <c r="AH396" i="5"/>
  <c r="AH421" i="5"/>
  <c r="AI405" i="5"/>
  <c r="AI69" i="5"/>
  <c r="AI138" i="5"/>
  <c r="AH340" i="5"/>
  <c r="AH392" i="5"/>
  <c r="AH41" i="5"/>
  <c r="AI366" i="5"/>
  <c r="AH175" i="5"/>
  <c r="AH240" i="5"/>
  <c r="AH294" i="5"/>
  <c r="AI105" i="5"/>
  <c r="AH38" i="5"/>
  <c r="AH548" i="5"/>
  <c r="AI109" i="5"/>
  <c r="AI314" i="5"/>
  <c r="AI328" i="5"/>
  <c r="AI45" i="5"/>
  <c r="AH205" i="5"/>
  <c r="AI25" i="5"/>
  <c r="AI488" i="5"/>
  <c r="AI455" i="5"/>
  <c r="AH142" i="5"/>
  <c r="AH103" i="5"/>
  <c r="AH287" i="5"/>
  <c r="AI330" i="5"/>
  <c r="AI232" i="5"/>
  <c r="AI404" i="5"/>
  <c r="AH128" i="5"/>
  <c r="AI383" i="5"/>
  <c r="AI149" i="5"/>
  <c r="AI81" i="5"/>
  <c r="AI285" i="5"/>
  <c r="AH305" i="5"/>
  <c r="AI472" i="5"/>
  <c r="AH114" i="5"/>
  <c r="AI59" i="5"/>
  <c r="AH393" i="5"/>
  <c r="AI88" i="5"/>
  <c r="AH377" i="5"/>
  <c r="AI456" i="5"/>
  <c r="AK43" i="5"/>
  <c r="AI99" i="5"/>
  <c r="AI216" i="5"/>
  <c r="AH42" i="5"/>
  <c r="AH304" i="5"/>
  <c r="AI474" i="5"/>
  <c r="AL283" i="5"/>
  <c r="AI468" i="5"/>
  <c r="AH544" i="5"/>
  <c r="AH104" i="5"/>
  <c r="AI496" i="5"/>
  <c r="AI252" i="5"/>
  <c r="AI470" i="5"/>
  <c r="AI119" i="5"/>
  <c r="AI384" i="5"/>
  <c r="AH533" i="5"/>
  <c r="AH93" i="5"/>
  <c r="AI189" i="5"/>
  <c r="AH341" i="5"/>
  <c r="AH326" i="5"/>
  <c r="AH466" i="5"/>
  <c r="AH372" i="5"/>
  <c r="AI37" i="5"/>
  <c r="AH461" i="5"/>
  <c r="AH409" i="5"/>
  <c r="AH353" i="5"/>
  <c r="AH76" i="5"/>
  <c r="AI518" i="5"/>
  <c r="AH311" i="5"/>
  <c r="AI130" i="5"/>
  <c r="AI363" i="5"/>
  <c r="AH546" i="5"/>
  <c r="AI269" i="5"/>
  <c r="AH97" i="5"/>
  <c r="AH31" i="5"/>
  <c r="AH501" i="5"/>
  <c r="AI423" i="5"/>
  <c r="AH390" i="5"/>
  <c r="AH359" i="5"/>
  <c r="AI539" i="5"/>
  <c r="AH323" i="5"/>
  <c r="AH47" i="5"/>
  <c r="AI418" i="5"/>
  <c r="AH498" i="5"/>
  <c r="AH457" i="5"/>
  <c r="AH376" i="5"/>
  <c r="AH332" i="5"/>
  <c r="AH476" i="5"/>
  <c r="AH96" i="5"/>
  <c r="AI509" i="5"/>
  <c r="AH101" i="5"/>
  <c r="AN392" i="5"/>
  <c r="AH345" i="5"/>
  <c r="AI365" i="5"/>
  <c r="AH436" i="5"/>
  <c r="AI278" i="5"/>
  <c r="AI40" i="5"/>
  <c r="AI554" i="5"/>
  <c r="AI180" i="5"/>
  <c r="AI453" i="5"/>
  <c r="AH64" i="5"/>
  <c r="AI291" i="5"/>
  <c r="AO519" i="5"/>
  <c r="AI553" i="5"/>
  <c r="AI499" i="5"/>
  <c r="AI259" i="5"/>
  <c r="AH296" i="5"/>
  <c r="AH463" i="5"/>
  <c r="AH458" i="5"/>
  <c r="AN137" i="5"/>
  <c r="AH28" i="5"/>
  <c r="AN457" i="5"/>
  <c r="AI62" i="5"/>
  <c r="AH236" i="5"/>
  <c r="AI511" i="5"/>
  <c r="AH368" i="5"/>
  <c r="AI23" i="5"/>
  <c r="AH255" i="5"/>
  <c r="AO205" i="5"/>
  <c r="AN306" i="5"/>
  <c r="AI540" i="5"/>
  <c r="AH58" i="5"/>
  <c r="AH560" i="5"/>
  <c r="AI387" i="5"/>
  <c r="AH283" i="5"/>
  <c r="AO389" i="5"/>
  <c r="AI210" i="5"/>
  <c r="AI245" i="5"/>
  <c r="AP539" i="5"/>
  <c r="AR539" i="5" s="1"/>
  <c r="AH26" i="5"/>
  <c r="AH551" i="5"/>
  <c r="AN549" i="5"/>
  <c r="AN360" i="5"/>
  <c r="AO238" i="5"/>
  <c r="AH542" i="5"/>
  <c r="AI181" i="5"/>
  <c r="AH148" i="5"/>
  <c r="AI8" i="5"/>
  <c r="AH517" i="5"/>
  <c r="AI356" i="5"/>
  <c r="AH412" i="5"/>
  <c r="AI121" i="5"/>
  <c r="AI516" i="5"/>
  <c r="AH420" i="5"/>
  <c r="AH397" i="5"/>
  <c r="AO185" i="5"/>
  <c r="AH256" i="5"/>
  <c r="AH55" i="5"/>
  <c r="AH449" i="5"/>
  <c r="AH513" i="5"/>
  <c r="AH361" i="5"/>
  <c r="AI156" i="5"/>
  <c r="AH179" i="5"/>
  <c r="AI489" i="5"/>
  <c r="AH201" i="5"/>
  <c r="AI174" i="5"/>
  <c r="AI123" i="5"/>
  <c r="AI39" i="5"/>
  <c r="AI92" i="5"/>
  <c r="AH434" i="5"/>
  <c r="AH492" i="5"/>
  <c r="AO42" i="5"/>
  <c r="AI302" i="5"/>
  <c r="AH144" i="5"/>
  <c r="AH406" i="5"/>
  <c r="AI206" i="5"/>
  <c r="AN530" i="5"/>
  <c r="AH127" i="5"/>
  <c r="AO298" i="5"/>
  <c r="AH379" i="5"/>
  <c r="AN32" i="5"/>
  <c r="AN341" i="5"/>
  <c r="AH447" i="5"/>
  <c r="AN374" i="5"/>
  <c r="AI454" i="5"/>
  <c r="AH219" i="5"/>
  <c r="AL51" i="5"/>
  <c r="AI439" i="5"/>
  <c r="AO109" i="5"/>
  <c r="AI140" i="5"/>
  <c r="AI126" i="5"/>
  <c r="AI547" i="5"/>
  <c r="AI227" i="5"/>
  <c r="AI86" i="5"/>
  <c r="AH303" i="5"/>
  <c r="AH309" i="5"/>
  <c r="AH411" i="5"/>
  <c r="AH481" i="5"/>
  <c r="AH495" i="5"/>
  <c r="AI497" i="5"/>
  <c r="AI440" i="5"/>
  <c r="AI198" i="5"/>
  <c r="AH349" i="5"/>
  <c r="AH277" i="5"/>
  <c r="AH514" i="5"/>
  <c r="AN525" i="5"/>
  <c r="AN139" i="5"/>
  <c r="AO50" i="5"/>
  <c r="AK521" i="5"/>
  <c r="AP521" i="5"/>
  <c r="AQ521" i="5" s="1"/>
  <c r="AO115" i="5"/>
  <c r="AO38" i="5"/>
  <c r="AN174" i="5"/>
  <c r="AN253" i="5"/>
  <c r="AO445" i="5"/>
  <c r="AN220" i="5"/>
  <c r="AN508" i="5"/>
  <c r="AN130" i="5"/>
  <c r="AO118" i="5"/>
  <c r="AN72" i="5"/>
  <c r="AO481" i="5"/>
  <c r="AN48" i="5"/>
  <c r="AO326" i="5"/>
  <c r="AL379" i="5"/>
  <c r="AN349" i="5"/>
  <c r="AN149" i="5"/>
  <c r="AO484" i="5"/>
  <c r="AN176" i="5"/>
  <c r="AN554" i="5"/>
  <c r="AN222" i="5"/>
  <c r="AO482" i="5"/>
  <c r="AN492" i="5"/>
  <c r="AO409" i="5"/>
  <c r="AN476" i="5"/>
  <c r="AO437" i="5"/>
  <c r="AP283" i="5"/>
  <c r="AR283" i="5" s="1"/>
  <c r="AH94" i="5"/>
  <c r="AI264" i="5"/>
  <c r="AO278" i="5"/>
  <c r="AL169" i="5"/>
  <c r="AI50" i="5"/>
  <c r="AH324" i="5"/>
  <c r="AH133" i="5"/>
  <c r="AH347" i="5"/>
  <c r="AH57" i="5"/>
  <c r="AH532" i="5"/>
  <c r="AI224" i="5"/>
  <c r="AO338" i="5"/>
  <c r="AI78" i="5"/>
  <c r="AI173" i="5"/>
  <c r="AN281" i="5"/>
  <c r="AO85" i="5"/>
  <c r="AI30" i="5"/>
  <c r="AN347" i="5"/>
  <c r="AH171" i="5"/>
  <c r="AI196" i="5"/>
  <c r="AI462" i="5"/>
  <c r="AH82" i="5"/>
  <c r="AN110" i="5"/>
  <c r="AN53" i="5"/>
  <c r="AN518" i="5"/>
  <c r="AO155" i="5"/>
  <c r="AH367" i="5"/>
  <c r="AH313" i="5"/>
  <c r="AN354" i="5"/>
  <c r="AN431" i="5"/>
  <c r="AN474" i="5"/>
  <c r="AO388" i="5"/>
  <c r="AN93" i="5"/>
  <c r="AN498" i="5"/>
  <c r="AI250" i="5"/>
  <c r="AO325" i="5"/>
  <c r="AO435" i="5"/>
  <c r="AN475" i="5"/>
  <c r="AH120" i="5"/>
  <c r="AH403" i="5"/>
  <c r="AI137" i="5"/>
  <c r="AI253" i="5"/>
  <c r="AH102" i="5"/>
  <c r="AI116" i="5"/>
  <c r="AH111" i="5"/>
  <c r="AI73" i="5"/>
  <c r="AH185" i="5"/>
  <c r="AH490" i="5"/>
  <c r="AH151" i="5"/>
  <c r="AH483" i="5"/>
  <c r="AI203" i="5"/>
  <c r="AI413" i="5"/>
  <c r="AH246" i="5"/>
  <c r="AI427" i="5"/>
  <c r="AI249" i="5"/>
  <c r="AH295" i="5"/>
  <c r="AH531" i="5"/>
  <c r="AI20" i="5"/>
  <c r="AN128" i="5"/>
  <c r="AN510" i="5"/>
  <c r="AO211" i="5"/>
  <c r="AN251" i="5"/>
  <c r="AN145" i="5"/>
  <c r="AO521" i="5"/>
  <c r="AI63" i="5"/>
  <c r="AI169" i="5"/>
  <c r="AH465" i="5"/>
  <c r="AH334" i="5"/>
  <c r="AI139" i="5"/>
  <c r="AH107" i="5"/>
  <c r="AI482" i="5"/>
  <c r="AI507" i="5"/>
  <c r="AI207" i="5"/>
  <c r="AI471" i="5"/>
  <c r="AN410" i="5"/>
  <c r="AH159" i="5"/>
  <c r="AN324" i="5"/>
  <c r="AO142" i="5"/>
  <c r="AN221" i="5"/>
  <c r="AH443" i="5"/>
  <c r="AH177" i="5"/>
  <c r="AI75" i="5"/>
  <c r="AH122" i="5"/>
  <c r="AH297" i="5"/>
  <c r="AN160" i="5"/>
  <c r="AN314" i="5"/>
  <c r="AO335" i="5"/>
  <c r="AN546" i="5"/>
  <c r="AN395" i="5"/>
  <c r="AN28" i="5"/>
  <c r="AP552" i="5"/>
  <c r="AQ552" i="5" s="1"/>
  <c r="AP234" i="5"/>
  <c r="AR234" i="5" s="1"/>
  <c r="AO133" i="5"/>
  <c r="AN370" i="5"/>
  <c r="AN40" i="5"/>
  <c r="AN296" i="5"/>
  <c r="AO173" i="5"/>
  <c r="AP51" i="5"/>
  <c r="AQ51" i="5" s="1"/>
  <c r="AO258" i="5"/>
  <c r="AO436" i="5"/>
  <c r="AN442" i="5"/>
  <c r="AO496" i="5"/>
  <c r="AO186" i="5"/>
  <c r="AO71" i="5"/>
  <c r="AO528" i="5"/>
  <c r="AN311" i="5"/>
  <c r="AN446" i="5"/>
  <c r="AO45" i="5"/>
  <c r="AO536" i="5"/>
  <c r="AN113" i="5"/>
  <c r="AH217" i="5"/>
  <c r="AH504" i="5"/>
  <c r="AN80" i="5"/>
  <c r="AI555" i="5"/>
  <c r="AI168" i="5"/>
  <c r="AO543" i="5"/>
  <c r="AO365" i="5"/>
  <c r="AN243" i="5"/>
  <c r="AH317" i="5"/>
  <c r="AO413" i="5"/>
  <c r="AN103" i="5"/>
  <c r="AH391" i="5"/>
  <c r="AI254" i="5"/>
  <c r="AH358" i="5"/>
  <c r="AH85" i="5"/>
  <c r="AN98" i="5"/>
  <c r="AH429" i="5"/>
  <c r="AH33" i="5"/>
  <c r="AH344" i="5"/>
  <c r="AI415" i="5"/>
  <c r="AN195" i="5"/>
  <c r="AN358" i="5"/>
  <c r="AO322" i="5"/>
  <c r="AH402" i="5"/>
  <c r="AK187" i="5"/>
  <c r="AN367" i="5"/>
  <c r="AN534" i="5"/>
  <c r="AO423" i="5"/>
  <c r="AI520" i="5"/>
  <c r="AI165" i="5"/>
  <c r="AN380" i="5"/>
  <c r="AN289" i="5"/>
  <c r="AI71" i="5"/>
  <c r="AH71" i="5"/>
  <c r="AP383" i="5"/>
  <c r="AQ383" i="5" s="1"/>
  <c r="AI195" i="5"/>
  <c r="AH230" i="5"/>
  <c r="AH83" i="5"/>
  <c r="AI83" i="5"/>
  <c r="AO27" i="5"/>
  <c r="AI265" i="5"/>
  <c r="AI282" i="5"/>
  <c r="AH282" i="5"/>
  <c r="Q12" i="5"/>
  <c r="S12" i="5" s="1"/>
  <c r="AN70" i="5"/>
  <c r="V193" i="5"/>
  <c r="U209" i="5"/>
  <c r="V113" i="5"/>
  <c r="V202" i="5"/>
  <c r="V216" i="5"/>
  <c r="U179" i="5"/>
  <c r="V164" i="5"/>
  <c r="V176" i="5"/>
  <c r="U51" i="5"/>
  <c r="U144" i="5"/>
  <c r="V278" i="5"/>
  <c r="U78" i="5"/>
  <c r="V42" i="5"/>
  <c r="U240" i="5"/>
  <c r="V49" i="5"/>
  <c r="U111" i="5"/>
  <c r="V96" i="5"/>
  <c r="U58" i="5"/>
  <c r="V197" i="5"/>
  <c r="U40" i="5"/>
  <c r="U175" i="5"/>
  <c r="AN8" i="5"/>
  <c r="AN260" i="5"/>
  <c r="AO283" i="5"/>
  <c r="AO488" i="5"/>
  <c r="AO497" i="5"/>
  <c r="AN219" i="5"/>
  <c r="AN538" i="5"/>
  <c r="AN43" i="5"/>
  <c r="AN112" i="5"/>
  <c r="AN340" i="5"/>
  <c r="AN526" i="5"/>
  <c r="AO256" i="5"/>
  <c r="AK153" i="5"/>
  <c r="AO96" i="5"/>
  <c r="AN172" i="5"/>
  <c r="AO390" i="5"/>
  <c r="AH222" i="5"/>
  <c r="AI110" i="5"/>
  <c r="AH386" i="5"/>
  <c r="AH337" i="5"/>
  <c r="AI112" i="5"/>
  <c r="AI534" i="5"/>
  <c r="AH188" i="5"/>
  <c r="AH225" i="5"/>
  <c r="AH292" i="5"/>
  <c r="AI354" i="5"/>
  <c r="AI398" i="5"/>
  <c r="AH319" i="5"/>
  <c r="AH19" i="5"/>
  <c r="AI467" i="5"/>
  <c r="AI289" i="5"/>
  <c r="AH115" i="5"/>
  <c r="AI172" i="5"/>
  <c r="AI273" i="5"/>
  <c r="AI528" i="5"/>
  <c r="AI66" i="5"/>
  <c r="AI438" i="5"/>
  <c r="AH450" i="5"/>
  <c r="AH118" i="5"/>
  <c r="AI401" i="5"/>
  <c r="AI49" i="5"/>
  <c r="AH315" i="5"/>
  <c r="AI336" i="5"/>
  <c r="AH432" i="5"/>
  <c r="AH350" i="5"/>
  <c r="AI525" i="5"/>
  <c r="AI170" i="5"/>
  <c r="AI445" i="5"/>
  <c r="AH32" i="5"/>
  <c r="AP307" i="5"/>
  <c r="AR307" i="5" s="1"/>
  <c r="AP548" i="5"/>
  <c r="AQ548" i="5" s="1"/>
  <c r="AI35" i="5"/>
  <c r="AN192" i="5"/>
  <c r="AN552" i="5"/>
  <c r="AN33" i="5"/>
  <c r="AN129" i="5"/>
  <c r="AO97" i="5"/>
  <c r="AN328" i="5"/>
  <c r="AO23" i="5"/>
  <c r="AN318" i="5"/>
  <c r="AO465" i="5"/>
  <c r="AN179" i="5"/>
  <c r="AH536" i="5"/>
  <c r="AH493" i="5"/>
  <c r="AI202" i="5"/>
  <c r="AN231" i="5"/>
  <c r="AN223" i="5"/>
  <c r="AH549" i="5"/>
  <c r="AI475" i="5"/>
  <c r="AH475" i="5"/>
  <c r="AH61" i="5"/>
  <c r="AI61" i="5"/>
  <c r="AN463" i="5"/>
  <c r="AP356" i="5"/>
  <c r="AR356" i="5" s="1"/>
  <c r="AP437" i="5"/>
  <c r="AQ437" i="5" s="1"/>
  <c r="AN302" i="5"/>
  <c r="AN169" i="5"/>
  <c r="AN359" i="5"/>
  <c r="AH301" i="5"/>
  <c r="AI21" i="5"/>
  <c r="AH444" i="5"/>
  <c r="AI557" i="5"/>
  <c r="AO512" i="5"/>
  <c r="AN82" i="5"/>
  <c r="AO490" i="5"/>
  <c r="AO551" i="5"/>
  <c r="AN249" i="5"/>
  <c r="AO261" i="5"/>
  <c r="AH352" i="5"/>
  <c r="AO156" i="5"/>
  <c r="AN39" i="5"/>
  <c r="AN276" i="5"/>
  <c r="AI167" i="5"/>
  <c r="AH147" i="5"/>
  <c r="AI550" i="5"/>
  <c r="AH68" i="5"/>
  <c r="AI68" i="5"/>
  <c r="AO164" i="5"/>
  <c r="AI248" i="5"/>
  <c r="AI385" i="5"/>
  <c r="AI357" i="5"/>
  <c r="AH193" i="5"/>
  <c r="AI279" i="5"/>
  <c r="AH247" i="5"/>
  <c r="AI247" i="5"/>
  <c r="AI272" i="5"/>
  <c r="AH272" i="5"/>
  <c r="AI187" i="5"/>
  <c r="AI307" i="5"/>
  <c r="AH374" i="5"/>
  <c r="AH266" i="5"/>
  <c r="AI529" i="5"/>
  <c r="AH529" i="5"/>
  <c r="AH414" i="5"/>
  <c r="AI414" i="5"/>
  <c r="AI322" i="5"/>
  <c r="AH322" i="5"/>
  <c r="AH503" i="5"/>
  <c r="AI503" i="5"/>
  <c r="AO346" i="5"/>
  <c r="AI143" i="5"/>
  <c r="AN69" i="5"/>
  <c r="AP129" i="5"/>
  <c r="AR129" i="5" s="1"/>
  <c r="AP222" i="5"/>
  <c r="AQ222" i="5" s="1"/>
  <c r="AP516" i="5"/>
  <c r="AQ516" i="5" s="1"/>
  <c r="AP465" i="5"/>
  <c r="AQ465" i="5" s="1"/>
  <c r="AP109" i="5"/>
  <c r="AR109" i="5" s="1"/>
  <c r="AO320" i="5"/>
  <c r="AI545" i="5"/>
  <c r="AN312" i="5"/>
  <c r="AP187" i="5"/>
  <c r="AQ187" i="5" s="1"/>
  <c r="AN47" i="5"/>
  <c r="AN270" i="5"/>
  <c r="AN556" i="5"/>
  <c r="AO178" i="5"/>
  <c r="AP169" i="5"/>
  <c r="AR169" i="5" s="1"/>
  <c r="AH274" i="5"/>
  <c r="AH208" i="5"/>
  <c r="AH223" i="5"/>
  <c r="AO422" i="5"/>
  <c r="AP147" i="5"/>
  <c r="AQ147" i="5" s="1"/>
  <c r="AO495" i="5"/>
  <c r="AN198" i="5"/>
  <c r="AN418" i="5"/>
  <c r="AI54" i="5"/>
  <c r="AI290" i="5"/>
  <c r="AI276" i="5"/>
  <c r="AO175" i="5"/>
  <c r="AN224" i="5"/>
  <c r="AO89" i="5"/>
  <c r="AH27" i="5"/>
  <c r="AI161" i="5"/>
  <c r="AP192" i="5"/>
  <c r="AR192" i="5" s="1"/>
  <c r="AP133" i="5"/>
  <c r="AQ133" i="5" s="1"/>
  <c r="AP281" i="5"/>
  <c r="AQ281" i="5" s="1"/>
  <c r="AN332" i="5"/>
  <c r="AI141" i="5"/>
  <c r="AI312" i="5"/>
  <c r="AN485" i="5"/>
  <c r="AH209" i="5"/>
  <c r="AI508" i="5"/>
  <c r="AL465" i="5"/>
  <c r="AN404" i="5"/>
  <c r="AN25" i="5"/>
  <c r="AO147" i="5"/>
  <c r="AN259" i="5"/>
  <c r="AI275" i="5"/>
  <c r="AN472" i="5"/>
  <c r="AP176" i="5"/>
  <c r="AQ176" i="5" s="1"/>
  <c r="AO92" i="5"/>
  <c r="U29" i="5"/>
  <c r="V120" i="5"/>
  <c r="V72" i="5"/>
  <c r="AS139" i="4"/>
  <c r="AS17" i="4"/>
  <c r="V89" i="4"/>
  <c r="AM89" i="4" s="1"/>
  <c r="AN89" i="4" s="1"/>
  <c r="U137" i="4"/>
  <c r="AH137" i="4" s="1"/>
  <c r="V93" i="4"/>
  <c r="AM93" i="4" s="1"/>
  <c r="AN93" i="4" s="1"/>
  <c r="AS40" i="4"/>
  <c r="U139" i="4"/>
  <c r="AH139" i="4" s="1"/>
  <c r="U89" i="4"/>
  <c r="AH89" i="4" s="1"/>
  <c r="AS93" i="4"/>
  <c r="V40" i="4"/>
  <c r="V88" i="4"/>
  <c r="U153" i="4"/>
  <c r="AH153" i="4" s="1"/>
  <c r="U151" i="4"/>
  <c r="AH151" i="4" s="1"/>
  <c r="AS92" i="4"/>
  <c r="V153" i="4"/>
  <c r="AM153" i="4" s="1"/>
  <c r="AN153" i="4" s="1"/>
  <c r="V151" i="4"/>
  <c r="AM151" i="4" s="1"/>
  <c r="AN151" i="4" s="1"/>
  <c r="U92" i="4"/>
  <c r="AH92" i="4" s="1"/>
  <c r="V23" i="4"/>
  <c r="W23" i="4" s="1"/>
  <c r="U27" i="4"/>
  <c r="AH27" i="4" s="1"/>
  <c r="U78" i="4"/>
  <c r="U88" i="4"/>
  <c r="U85" i="4"/>
  <c r="U23" i="4"/>
  <c r="AH23" i="4" s="1"/>
  <c r="U44" i="4"/>
  <c r="AH44" i="4" s="1"/>
  <c r="AS27" i="4"/>
  <c r="V17" i="4"/>
  <c r="AM17" i="4" s="1"/>
  <c r="AN17" i="4" s="1"/>
  <c r="V78" i="4"/>
  <c r="AM78" i="4" s="1"/>
  <c r="AN78" i="4" s="1"/>
  <c r="AS88" i="4"/>
  <c r="V85" i="4"/>
  <c r="AS23" i="4"/>
  <c r="AS44" i="4"/>
  <c r="V27" i="4"/>
  <c r="AM27" i="4" s="1"/>
  <c r="AN27" i="4" s="1"/>
  <c r="AI442" i="5"/>
  <c r="AH442" i="5"/>
  <c r="AS104" i="4"/>
  <c r="AS28" i="4"/>
  <c r="AP26" i="5"/>
  <c r="AQ26" i="5" s="1"/>
  <c r="AP141" i="5"/>
  <c r="AQ141" i="5" s="1"/>
  <c r="AP386" i="5"/>
  <c r="AQ386" i="5" s="1"/>
  <c r="AP227" i="5"/>
  <c r="AR227" i="5" s="1"/>
  <c r="U138" i="4"/>
  <c r="AH138" i="4" s="1"/>
  <c r="U60" i="4"/>
  <c r="AH60" i="4" s="1"/>
  <c r="AM12" i="5"/>
  <c r="AO12" i="5" s="1"/>
  <c r="V45" i="4"/>
  <c r="W45" i="4" s="1"/>
  <c r="V96" i="4"/>
  <c r="AM96" i="4" s="1"/>
  <c r="AN96" i="4" s="1"/>
  <c r="AS24" i="4"/>
  <c r="AI231" i="5"/>
  <c r="AH293" i="5"/>
  <c r="AI293" i="5"/>
  <c r="AH84" i="5"/>
  <c r="AI84" i="5"/>
  <c r="AH339" i="5"/>
  <c r="AH125" i="5"/>
  <c r="AI125" i="5"/>
  <c r="AH124" i="5"/>
  <c r="AI124" i="5"/>
  <c r="V54" i="4"/>
  <c r="AM54" i="4" s="1"/>
  <c r="AN54" i="4" s="1"/>
  <c r="AN355" i="5"/>
  <c r="AH371" i="5"/>
  <c r="AH362" i="5"/>
  <c r="AI60" i="5"/>
  <c r="AI100" i="5"/>
  <c r="AH100" i="5"/>
  <c r="AH186" i="5"/>
  <c r="AI186" i="5"/>
  <c r="V98" i="4"/>
  <c r="W98" i="4" s="1"/>
  <c r="Y98" i="4" s="1"/>
  <c r="AH197" i="5"/>
  <c r="AI298" i="5"/>
  <c r="AH298" i="5"/>
  <c r="U11" i="4"/>
  <c r="AH11" i="4" s="1"/>
  <c r="U154" i="4"/>
  <c r="AH154" i="4" s="1"/>
  <c r="AN232" i="5"/>
  <c r="AS54" i="4"/>
  <c r="U136" i="4"/>
  <c r="AH136" i="4" s="1"/>
  <c r="AP43" i="5"/>
  <c r="AR43" i="5" s="1"/>
  <c r="AP379" i="5"/>
  <c r="AQ379" i="5" s="1"/>
  <c r="V80" i="4"/>
  <c r="W80" i="4" s="1"/>
  <c r="Y80" i="4" s="1"/>
  <c r="Z80" i="4" s="1"/>
  <c r="AS154" i="4"/>
  <c r="AO29" i="5"/>
  <c r="V217" i="5"/>
  <c r="U90" i="5"/>
  <c r="AN532" i="5"/>
  <c r="AN136" i="5"/>
  <c r="AG12" i="5"/>
  <c r="AI12" i="5" s="1"/>
  <c r="AO163" i="5"/>
  <c r="AS8" i="4"/>
  <c r="U108" i="4"/>
  <c r="AH108" i="4" s="1"/>
  <c r="U54" i="4"/>
  <c r="AH54" i="4" s="1"/>
  <c r="AI310" i="5"/>
  <c r="AI479" i="5"/>
  <c r="AH479" i="5"/>
  <c r="AI268" i="5"/>
  <c r="AH268" i="5"/>
  <c r="AS82" i="4"/>
  <c r="V136" i="4"/>
  <c r="AM136" i="4" s="1"/>
  <c r="AN136" i="4" s="1"/>
  <c r="AK483" i="5"/>
  <c r="V82" i="4"/>
  <c r="AM82" i="4" s="1"/>
  <c r="AN82" i="4" s="1"/>
  <c r="V108" i="4"/>
  <c r="AM108" i="4" s="1"/>
  <c r="AN108" i="4" s="1"/>
  <c r="AS136" i="4"/>
  <c r="AO458" i="5"/>
  <c r="V218" i="5"/>
  <c r="U178" i="5"/>
  <c r="U127" i="5"/>
  <c r="V154" i="4"/>
  <c r="AM154" i="4" s="1"/>
  <c r="AN154" i="4" s="1"/>
  <c r="AN421" i="5"/>
  <c r="V213" i="5"/>
  <c r="V120" i="4"/>
  <c r="W120" i="4" s="1"/>
  <c r="Y120" i="4" s="1"/>
  <c r="U81" i="4"/>
  <c r="AH81" i="4" s="1"/>
  <c r="AJ12" i="5"/>
  <c r="U126" i="4"/>
  <c r="AH126" i="4" s="1"/>
  <c r="V8" i="4"/>
  <c r="AM8" i="4" s="1"/>
  <c r="AN8" i="4" s="1"/>
  <c r="AS108" i="4"/>
  <c r="AI435" i="5"/>
  <c r="AH435" i="5"/>
  <c r="AH67" i="5"/>
  <c r="AI67" i="5"/>
  <c r="AH271" i="5"/>
  <c r="AI271" i="5"/>
  <c r="AH163" i="5"/>
  <c r="AI163" i="5"/>
  <c r="AS86" i="4"/>
  <c r="AS80" i="4"/>
  <c r="W12" i="5"/>
  <c r="Y12" i="5" s="1"/>
  <c r="V28" i="4"/>
  <c r="AM28" i="4" s="1"/>
  <c r="AN28" i="4" s="1"/>
  <c r="AP394" i="5"/>
  <c r="AQ394" i="5" s="1"/>
  <c r="AP270" i="5"/>
  <c r="AQ270" i="5" s="1"/>
  <c r="AP382" i="5"/>
  <c r="AQ382" i="5" s="1"/>
  <c r="AP148" i="5"/>
  <c r="AQ148" i="5" s="1"/>
  <c r="AP202" i="5"/>
  <c r="AR202" i="5" s="1"/>
  <c r="AP540" i="5"/>
  <c r="AR540" i="5" s="1"/>
  <c r="AP510" i="5"/>
  <c r="AQ510" i="5" s="1"/>
  <c r="AP313" i="5"/>
  <c r="AQ313" i="5" s="1"/>
  <c r="U120" i="4"/>
  <c r="AH120" i="4" s="1"/>
  <c r="AS81" i="4"/>
  <c r="AN352" i="5"/>
  <c r="U8" i="4"/>
  <c r="AH8" i="4" s="1"/>
  <c r="U96" i="4"/>
  <c r="AH96" i="4" s="1"/>
  <c r="AI251" i="5"/>
  <c r="AH251" i="5"/>
  <c r="AH132" i="5"/>
  <c r="AI132" i="5"/>
  <c r="S526" i="5"/>
  <c r="AO209" i="5"/>
  <c r="AN462" i="5"/>
  <c r="AP371" i="5"/>
  <c r="AR371" i="5" s="1"/>
  <c r="AN240" i="5"/>
  <c r="V219" i="5"/>
  <c r="AN467" i="5"/>
  <c r="AS126" i="4"/>
  <c r="U38" i="4"/>
  <c r="AH38" i="4" s="1"/>
  <c r="V102" i="4"/>
  <c r="AM102" i="4" s="1"/>
  <c r="AN102" i="4" s="1"/>
  <c r="AO58" i="5"/>
  <c r="AN61" i="5"/>
  <c r="U77" i="5"/>
  <c r="AO132" i="5"/>
  <c r="AO114" i="5"/>
  <c r="AO106" i="5"/>
  <c r="V49" i="4"/>
  <c r="W49" i="4" s="1"/>
  <c r="Y49" i="4" s="1"/>
  <c r="V47" i="4"/>
  <c r="AO433" i="5"/>
  <c r="U71" i="4"/>
  <c r="V91" i="4"/>
  <c r="AM91" i="4" s="1"/>
  <c r="AN91" i="4" s="1"/>
  <c r="V127" i="4"/>
  <c r="AM127" i="4" s="1"/>
  <c r="AN127" i="4" s="1"/>
  <c r="AS38" i="4"/>
  <c r="U141" i="4"/>
  <c r="AH141" i="4" s="1"/>
  <c r="U73" i="4"/>
  <c r="AH73" i="4" s="1"/>
  <c r="V29" i="4"/>
  <c r="AM29" i="4" s="1"/>
  <c r="AN29" i="4" s="1"/>
  <c r="AL371" i="5"/>
  <c r="AN81" i="5"/>
  <c r="AS97" i="4"/>
  <c r="U49" i="4"/>
  <c r="AH49" i="4" s="1"/>
  <c r="U86" i="5"/>
  <c r="AS47" i="4"/>
  <c r="AS71" i="4"/>
  <c r="AS111" i="4"/>
  <c r="U70" i="4"/>
  <c r="AH70" i="4" s="1"/>
  <c r="U127" i="4"/>
  <c r="AH127" i="4" s="1"/>
  <c r="V38" i="4"/>
  <c r="AM38" i="4" s="1"/>
  <c r="AN38" i="4" s="1"/>
  <c r="V136" i="5"/>
  <c r="AO491" i="5"/>
  <c r="AS11" i="4"/>
  <c r="V182" i="5"/>
  <c r="U29" i="4"/>
  <c r="AH29" i="4" s="1"/>
  <c r="AO24" i="5"/>
  <c r="AN384" i="5"/>
  <c r="AN444" i="5"/>
  <c r="AO447" i="5"/>
  <c r="AS49" i="4"/>
  <c r="V116" i="4"/>
  <c r="W116" i="4" s="1"/>
  <c r="V111" i="4"/>
  <c r="AN140" i="5"/>
  <c r="U100" i="4"/>
  <c r="AH100" i="4" s="1"/>
  <c r="AN267" i="5"/>
  <c r="AO555" i="5"/>
  <c r="V18" i="4"/>
  <c r="AM18" i="4" s="1"/>
  <c r="AN18" i="4" s="1"/>
  <c r="V97" i="4"/>
  <c r="W97" i="4" s="1"/>
  <c r="Y97" i="4" s="1"/>
  <c r="AS29" i="4"/>
  <c r="AO550" i="5"/>
  <c r="AP166" i="5"/>
  <c r="AQ166" i="5" s="1"/>
  <c r="AP65" i="5"/>
  <c r="AQ65" i="5" s="1"/>
  <c r="U55" i="4"/>
  <c r="AN396" i="5"/>
  <c r="U97" i="4"/>
  <c r="AH97" i="4" s="1"/>
  <c r="V167" i="5"/>
  <c r="AN412" i="5"/>
  <c r="AO450" i="5"/>
  <c r="U116" i="4"/>
  <c r="AH116" i="4" s="1"/>
  <c r="U30" i="4"/>
  <c r="AH30" i="4" s="1"/>
  <c r="U111" i="4"/>
  <c r="AH111" i="4" s="1"/>
  <c r="AS100" i="4"/>
  <c r="AO504" i="5"/>
  <c r="AN65" i="5"/>
  <c r="AO49" i="5"/>
  <c r="AN557" i="5"/>
  <c r="Y365" i="5"/>
  <c r="U76" i="4"/>
  <c r="AH76" i="4" s="1"/>
  <c r="AP491" i="5"/>
  <c r="AQ491" i="5" s="1"/>
  <c r="AS55" i="4"/>
  <c r="AO116" i="5"/>
  <c r="V103" i="5"/>
  <c r="AS60" i="4"/>
  <c r="AN397" i="5"/>
  <c r="AS116" i="4"/>
  <c r="V86" i="4"/>
  <c r="AM86" i="4" s="1"/>
  <c r="AN86" i="4" s="1"/>
  <c r="V100" i="4"/>
  <c r="AM100" i="4" s="1"/>
  <c r="AN100" i="4" s="1"/>
  <c r="AS70" i="4"/>
  <c r="U10" i="4"/>
  <c r="AH10" i="4" s="1"/>
  <c r="AS76" i="4"/>
  <c r="V55" i="4"/>
  <c r="AM55" i="4" s="1"/>
  <c r="AN55" i="4" s="1"/>
  <c r="V11" i="4"/>
  <c r="W11" i="4" s="1"/>
  <c r="Y11" i="4" s="1"/>
  <c r="Z11" i="4" s="1"/>
  <c r="V60" i="4"/>
  <c r="AM60" i="4" s="1"/>
  <c r="AN60" i="4" s="1"/>
  <c r="U68" i="4"/>
  <c r="AH68" i="4" s="1"/>
  <c r="V126" i="4"/>
  <c r="W126" i="4" s="1"/>
  <c r="X126" i="4" s="1"/>
  <c r="U86" i="4"/>
  <c r="AH86" i="4" s="1"/>
  <c r="V30" i="4"/>
  <c r="AM30" i="4" s="1"/>
  <c r="AN30" i="4" s="1"/>
  <c r="V70" i="4"/>
  <c r="W70" i="4" s="1"/>
  <c r="Y70" i="4" s="1"/>
  <c r="U102" i="4"/>
  <c r="AH102" i="4" s="1"/>
  <c r="AO225" i="5"/>
  <c r="AP273" i="5"/>
  <c r="AR273" i="5" s="1"/>
  <c r="V23" i="5"/>
  <c r="AS25" i="4"/>
  <c r="V104" i="5"/>
  <c r="AO432" i="5"/>
  <c r="U48" i="4"/>
  <c r="AH48" i="4" s="1"/>
  <c r="AO252" i="5"/>
  <c r="AO264" i="5"/>
  <c r="V106" i="4"/>
  <c r="W106" i="4" s="1"/>
  <c r="Y106" i="4" s="1"/>
  <c r="V46" i="5"/>
  <c r="AN199" i="5"/>
  <c r="AO56" i="5"/>
  <c r="AN406" i="5"/>
  <c r="AS52" i="4"/>
  <c r="AO212" i="5"/>
  <c r="AO88" i="5"/>
  <c r="V146" i="4"/>
  <c r="W146" i="4" s="1"/>
  <c r="Y146" i="4" s="1"/>
  <c r="Z146" i="4" s="1"/>
  <c r="AP25" i="5"/>
  <c r="AR25" i="5" s="1"/>
  <c r="AP287" i="5"/>
  <c r="AQ287" i="5" s="1"/>
  <c r="AP410" i="5"/>
  <c r="AQ410" i="5" s="1"/>
  <c r="AP135" i="5"/>
  <c r="AR135" i="5" s="1"/>
  <c r="AP380" i="5"/>
  <c r="AR380" i="5" s="1"/>
  <c r="AP153" i="5"/>
  <c r="AR153" i="5" s="1"/>
  <c r="AS48" i="4"/>
  <c r="U106" i="4"/>
  <c r="AH106" i="4" s="1"/>
  <c r="AS31" i="4"/>
  <c r="AO371" i="5"/>
  <c r="AN363" i="5"/>
  <c r="AP225" i="5"/>
  <c r="AQ225" i="5" s="1"/>
  <c r="AO239" i="5"/>
  <c r="AN420" i="5"/>
  <c r="V60" i="5"/>
  <c r="V48" i="5"/>
  <c r="V147" i="5"/>
  <c r="V75" i="4"/>
  <c r="W75" i="4" s="1"/>
  <c r="Y75" i="4" s="1"/>
  <c r="U95" i="4"/>
  <c r="AH95" i="4" s="1"/>
  <c r="AS146" i="4"/>
  <c r="AP105" i="5"/>
  <c r="AQ105" i="5" s="1"/>
  <c r="V234" i="5"/>
  <c r="AP214" i="5"/>
  <c r="AR214" i="5" s="1"/>
  <c r="AP527" i="5"/>
  <c r="AR527" i="5" s="1"/>
  <c r="AP199" i="5"/>
  <c r="AQ199" i="5" s="1"/>
  <c r="AP250" i="5"/>
  <c r="AR250" i="5" s="1"/>
  <c r="AS110" i="4"/>
  <c r="U75" i="4"/>
  <c r="AH75" i="4" s="1"/>
  <c r="AS95" i="4"/>
  <c r="AO415" i="5"/>
  <c r="AN415" i="5"/>
  <c r="V74" i="4"/>
  <c r="W74" i="4" s="1"/>
  <c r="Y74" i="4" s="1"/>
  <c r="U25" i="4"/>
  <c r="AH25" i="4" s="1"/>
  <c r="V110" i="4"/>
  <c r="AL225" i="5"/>
  <c r="AO451" i="5"/>
  <c r="AN451" i="5"/>
  <c r="AS7" i="4"/>
  <c r="V118" i="4"/>
  <c r="AM118" i="4" s="1"/>
  <c r="AO331" i="5"/>
  <c r="AN331" i="5"/>
  <c r="AI388" i="5"/>
  <c r="AH388" i="5"/>
  <c r="AH331" i="5"/>
  <c r="AI331" i="5"/>
  <c r="AH52" i="5"/>
  <c r="AI52" i="5"/>
  <c r="AH263" i="5"/>
  <c r="AI263" i="5"/>
  <c r="AN51" i="5"/>
  <c r="AO51" i="5"/>
  <c r="AP556" i="5"/>
  <c r="AQ556" i="5" s="1"/>
  <c r="AP58" i="5"/>
  <c r="AR58" i="5" s="1"/>
  <c r="AP175" i="5"/>
  <c r="AQ175" i="5" s="1"/>
  <c r="AP130" i="5"/>
  <c r="AQ130" i="5" s="1"/>
  <c r="V25" i="4"/>
  <c r="W25" i="4" s="1"/>
  <c r="Y25" i="4" s="1"/>
  <c r="Z25" i="4" s="1"/>
  <c r="AF25" i="4" s="1"/>
  <c r="U257" i="5"/>
  <c r="AS75" i="4"/>
  <c r="V63" i="4"/>
  <c r="W63" i="4" s="1"/>
  <c r="S480" i="5"/>
  <c r="V35" i="4"/>
  <c r="AM35" i="4" s="1"/>
  <c r="AN35" i="4" s="1"/>
  <c r="V76" i="4"/>
  <c r="AM76" i="4" s="1"/>
  <c r="AN76" i="4" s="1"/>
  <c r="AI399" i="5"/>
  <c r="AH399" i="5"/>
  <c r="AH329" i="5"/>
  <c r="AI329" i="5"/>
  <c r="AO499" i="5"/>
  <c r="AN499" i="5"/>
  <c r="AP333" i="5"/>
  <c r="AQ333" i="5" s="1"/>
  <c r="U63" i="4"/>
  <c r="AH63" i="4" s="1"/>
  <c r="AS35" i="4"/>
  <c r="V9" i="4"/>
  <c r="AM9" i="4" s="1"/>
  <c r="AN9" i="4" s="1"/>
  <c r="AI369" i="5"/>
  <c r="AH369" i="5"/>
  <c r="AI241" i="5"/>
  <c r="AH241" i="5"/>
  <c r="AH431" i="5"/>
  <c r="AI431" i="5"/>
  <c r="AN427" i="5"/>
  <c r="AO427" i="5"/>
  <c r="AN539" i="5"/>
  <c r="AO539" i="5"/>
  <c r="AP354" i="5"/>
  <c r="AQ354" i="5" s="1"/>
  <c r="AP450" i="5"/>
  <c r="AR450" i="5" s="1"/>
  <c r="AP324" i="5"/>
  <c r="AQ324" i="5" s="1"/>
  <c r="U35" i="4"/>
  <c r="AH35" i="4" s="1"/>
  <c r="AS63" i="4"/>
  <c r="U12" i="4"/>
  <c r="AH12" i="4" s="1"/>
  <c r="U9" i="4"/>
  <c r="AH9" i="4" s="1"/>
  <c r="AO305" i="5"/>
  <c r="AH53" i="5"/>
  <c r="AI53" i="5"/>
  <c r="AI95" i="5"/>
  <c r="AH95" i="5"/>
  <c r="AI191" i="5"/>
  <c r="AH191" i="5"/>
  <c r="AN73" i="5"/>
  <c r="AO73" i="5"/>
  <c r="AP432" i="5"/>
  <c r="AQ432" i="5" s="1"/>
  <c r="AP69" i="5"/>
  <c r="AR69" i="5" s="1"/>
  <c r="AP390" i="5"/>
  <c r="AQ390" i="5" s="1"/>
  <c r="AP178" i="5"/>
  <c r="AR178" i="5" s="1"/>
  <c r="AP355" i="5"/>
  <c r="AR355" i="5" s="1"/>
  <c r="AP217" i="5"/>
  <c r="AR217" i="5" s="1"/>
  <c r="AP290" i="5"/>
  <c r="AQ290" i="5" s="1"/>
  <c r="AP365" i="5"/>
  <c r="AQ365" i="5" s="1"/>
  <c r="AP396" i="5"/>
  <c r="AR396" i="5" s="1"/>
  <c r="AP314" i="5"/>
  <c r="AQ314" i="5" s="1"/>
  <c r="AP301" i="5"/>
  <c r="AR301" i="5" s="1"/>
  <c r="AP528" i="5"/>
  <c r="AQ528" i="5" s="1"/>
  <c r="AP173" i="5"/>
  <c r="AR173" i="5" s="1"/>
  <c r="U74" i="4"/>
  <c r="AH74" i="4" s="1"/>
  <c r="AS106" i="4"/>
  <c r="V31" i="4"/>
  <c r="U110" i="4"/>
  <c r="AP348" i="5"/>
  <c r="AQ348" i="5" s="1"/>
  <c r="AP387" i="5"/>
  <c r="AQ387" i="5" s="1"/>
  <c r="AK105" i="5"/>
  <c r="V123" i="4"/>
  <c r="W123" i="4" s="1"/>
  <c r="Y123" i="4" s="1"/>
  <c r="R554" i="5"/>
  <c r="AS12" i="4"/>
  <c r="AS9" i="4"/>
  <c r="U84" i="4"/>
  <c r="AH84" i="4" s="1"/>
  <c r="AI543" i="5"/>
  <c r="AH543" i="5"/>
  <c r="AH150" i="5"/>
  <c r="AI150" i="5"/>
  <c r="AI43" i="5"/>
  <c r="AH43" i="5"/>
  <c r="AN313" i="5"/>
  <c r="AO313" i="5"/>
  <c r="AO108" i="5"/>
  <c r="AN108" i="5"/>
  <c r="AP494" i="5"/>
  <c r="AQ494" i="5" s="1"/>
  <c r="AP520" i="5"/>
  <c r="AR520" i="5" s="1"/>
  <c r="AP48" i="5"/>
  <c r="AR48" i="5" s="1"/>
  <c r="AP267" i="5"/>
  <c r="AR267" i="5" s="1"/>
  <c r="AP338" i="5"/>
  <c r="AR338" i="5" s="1"/>
  <c r="AP332" i="5"/>
  <c r="AQ332" i="5" s="1"/>
  <c r="AP157" i="5"/>
  <c r="AR157" i="5" s="1"/>
  <c r="AP304" i="5"/>
  <c r="AQ304" i="5" s="1"/>
  <c r="V48" i="4"/>
  <c r="AM48" i="4" s="1"/>
  <c r="AN48" i="4" s="1"/>
  <c r="AS74" i="4"/>
  <c r="U31" i="4"/>
  <c r="AH31" i="4" s="1"/>
  <c r="AP434" i="5"/>
  <c r="AR434" i="5" s="1"/>
  <c r="U7" i="4"/>
  <c r="AH7" i="4" s="1"/>
  <c r="U123" i="4"/>
  <c r="V52" i="4"/>
  <c r="W52" i="4" s="1"/>
  <c r="AN273" i="5"/>
  <c r="AO416" i="5"/>
  <c r="AH325" i="5"/>
  <c r="AI325" i="5"/>
  <c r="AI541" i="5"/>
  <c r="AH541" i="5"/>
  <c r="AP405" i="5"/>
  <c r="AR405" i="5" s="1"/>
  <c r="AP212" i="5"/>
  <c r="AQ212" i="5" s="1"/>
  <c r="AP461" i="5"/>
  <c r="AQ461" i="5" s="1"/>
  <c r="V7" i="4"/>
  <c r="AM7" i="4" s="1"/>
  <c r="AN7" i="4" s="1"/>
  <c r="AS123" i="4"/>
  <c r="U52" i="4"/>
  <c r="AH52" i="4" s="1"/>
  <c r="V95" i="4"/>
  <c r="W95" i="4" s="1"/>
  <c r="AH430" i="5"/>
  <c r="AI430" i="5"/>
  <c r="AI342" i="5"/>
  <c r="AH342" i="5"/>
  <c r="AN171" i="5"/>
  <c r="AO171" i="5"/>
  <c r="B24" i="2"/>
  <c r="R88" i="5"/>
  <c r="R328" i="5"/>
  <c r="Y65" i="5"/>
  <c r="Y135" i="5"/>
  <c r="Y181" i="5"/>
  <c r="Y416" i="5"/>
  <c r="X206" i="5"/>
  <c r="X204" i="5"/>
  <c r="X74" i="5"/>
  <c r="Z560" i="5"/>
  <c r="AA560" i="5" s="1"/>
  <c r="Z552" i="5"/>
  <c r="AB552" i="5" s="1"/>
  <c r="Z544" i="5"/>
  <c r="AB544" i="5" s="1"/>
  <c r="Z536" i="5"/>
  <c r="Z528" i="5"/>
  <c r="Z520" i="5"/>
  <c r="AB520" i="5" s="1"/>
  <c r="Z512" i="5"/>
  <c r="Z504" i="5"/>
  <c r="AB504" i="5" s="1"/>
  <c r="Z496" i="5"/>
  <c r="Z488" i="5"/>
  <c r="AB488" i="5" s="1"/>
  <c r="Z480" i="5"/>
  <c r="AB480" i="5" s="1"/>
  <c r="Z472" i="5"/>
  <c r="AA472" i="5" s="1"/>
  <c r="Z464" i="5"/>
  <c r="AA464" i="5" s="1"/>
  <c r="Z456" i="5"/>
  <c r="AA456" i="5" s="1"/>
  <c r="Z448" i="5"/>
  <c r="AA448" i="5" s="1"/>
  <c r="Z440" i="5"/>
  <c r="Z432" i="5"/>
  <c r="Z424" i="5"/>
  <c r="AB424" i="5" s="1"/>
  <c r="Z416" i="5"/>
  <c r="AA416" i="5" s="1"/>
  <c r="Z408" i="5"/>
  <c r="AB408" i="5" s="1"/>
  <c r="Z400" i="5"/>
  <c r="AA400" i="5" s="1"/>
  <c r="Z392" i="5"/>
  <c r="AB392" i="5" s="1"/>
  <c r="Z384" i="5"/>
  <c r="AA384" i="5" s="1"/>
  <c r="Z376" i="5"/>
  <c r="AB376" i="5" s="1"/>
  <c r="Z368" i="5"/>
  <c r="AA368" i="5" s="1"/>
  <c r="Z360" i="5"/>
  <c r="AA360" i="5" s="1"/>
  <c r="Z352" i="5"/>
  <c r="AB352" i="5" s="1"/>
  <c r="Z344" i="5"/>
  <c r="Z336" i="5"/>
  <c r="AB336" i="5" s="1"/>
  <c r="Z328" i="5"/>
  <c r="AB328" i="5" s="1"/>
  <c r="Z320" i="5"/>
  <c r="AA320" i="5" s="1"/>
  <c r="Z312" i="5"/>
  <c r="AA312" i="5" s="1"/>
  <c r="Z304" i="5"/>
  <c r="AB304" i="5" s="1"/>
  <c r="Z296" i="5"/>
  <c r="AB296" i="5" s="1"/>
  <c r="Z288" i="5"/>
  <c r="AA288" i="5" s="1"/>
  <c r="Z280" i="5"/>
  <c r="Z272" i="5"/>
  <c r="AA272" i="5" s="1"/>
  <c r="Z264" i="5"/>
  <c r="Z256" i="5"/>
  <c r="AB256" i="5" s="1"/>
  <c r="Z248" i="5"/>
  <c r="Z240" i="5"/>
  <c r="Z232" i="5"/>
  <c r="Z224" i="5"/>
  <c r="AB224" i="5" s="1"/>
  <c r="Z216" i="5"/>
  <c r="Z208" i="5"/>
  <c r="AA208" i="5" s="1"/>
  <c r="Z200" i="5"/>
  <c r="Z192" i="5"/>
  <c r="AB192" i="5" s="1"/>
  <c r="Z184" i="5"/>
  <c r="Z176" i="5"/>
  <c r="AB176" i="5" s="1"/>
  <c r="Z168" i="5"/>
  <c r="AB168" i="5" s="1"/>
  <c r="Z160" i="5"/>
  <c r="AB160" i="5" s="1"/>
  <c r="Z152" i="5"/>
  <c r="AB152" i="5" s="1"/>
  <c r="Z144" i="5"/>
  <c r="AA144" i="5" s="1"/>
  <c r="Z136" i="5"/>
  <c r="Z128" i="5"/>
  <c r="AA128" i="5" s="1"/>
  <c r="Z112" i="5"/>
  <c r="AA112" i="5" s="1"/>
  <c r="Z96" i="5"/>
  <c r="AA96" i="5" s="1"/>
  <c r="Z80" i="5"/>
  <c r="AA80" i="5" s="1"/>
  <c r="Z56" i="5"/>
  <c r="AB56" i="5" s="1"/>
  <c r="Z34" i="5"/>
  <c r="AA34" i="5" s="1"/>
  <c r="Z29" i="5"/>
  <c r="AB29" i="5" s="1"/>
  <c r="Z559" i="5"/>
  <c r="Z551" i="5"/>
  <c r="AB551" i="5" s="1"/>
  <c r="Z543" i="5"/>
  <c r="AB543" i="5" s="1"/>
  <c r="Z535" i="5"/>
  <c r="AA535" i="5" s="1"/>
  <c r="Z527" i="5"/>
  <c r="AA527" i="5" s="1"/>
  <c r="Z519" i="5"/>
  <c r="AB519" i="5" s="1"/>
  <c r="Z511" i="5"/>
  <c r="AA511" i="5" s="1"/>
  <c r="Z503" i="5"/>
  <c r="AB503" i="5" s="1"/>
  <c r="Z495" i="5"/>
  <c r="AB495" i="5" s="1"/>
  <c r="Z487" i="5"/>
  <c r="AA487" i="5" s="1"/>
  <c r="Z479" i="5"/>
  <c r="Z471" i="5"/>
  <c r="AA471" i="5" s="1"/>
  <c r="Z463" i="5"/>
  <c r="AA463" i="5" s="1"/>
  <c r="Z455" i="5"/>
  <c r="AB455" i="5" s="1"/>
  <c r="Z447" i="5"/>
  <c r="AA447" i="5" s="1"/>
  <c r="Z439" i="5"/>
  <c r="AA439" i="5" s="1"/>
  <c r="Z431" i="5"/>
  <c r="AA431" i="5" s="1"/>
  <c r="Z423" i="5"/>
  <c r="AB423" i="5" s="1"/>
  <c r="Z415" i="5"/>
  <c r="AB415" i="5" s="1"/>
  <c r="Z407" i="5"/>
  <c r="AB407" i="5" s="1"/>
  <c r="Z399" i="5"/>
  <c r="Z391" i="5"/>
  <c r="AB391" i="5" s="1"/>
  <c r="Z383" i="5"/>
  <c r="AB383" i="5" s="1"/>
  <c r="Z375" i="5"/>
  <c r="AB375" i="5" s="1"/>
  <c r="Z367" i="5"/>
  <c r="AA367" i="5" s="1"/>
  <c r="Z359" i="5"/>
  <c r="AA359" i="5" s="1"/>
  <c r="Z351" i="5"/>
  <c r="AA351" i="5" s="1"/>
  <c r="Z343" i="5"/>
  <c r="AB343" i="5" s="1"/>
  <c r="Z335" i="5"/>
  <c r="AA335" i="5" s="1"/>
  <c r="Z327" i="5"/>
  <c r="AA327" i="5" s="1"/>
  <c r="Z319" i="5"/>
  <c r="AB319" i="5" s="1"/>
  <c r="Z311" i="5"/>
  <c r="AB311" i="5" s="1"/>
  <c r="Z303" i="5"/>
  <c r="AB303" i="5" s="1"/>
  <c r="Z295" i="5"/>
  <c r="Z287" i="5"/>
  <c r="AA287" i="5" s="1"/>
  <c r="Z279" i="5"/>
  <c r="Z271" i="5"/>
  <c r="AA271" i="5" s="1"/>
  <c r="Z263" i="5"/>
  <c r="AB263" i="5" s="1"/>
  <c r="Z255" i="5"/>
  <c r="AA255" i="5" s="1"/>
  <c r="Z247" i="5"/>
  <c r="AA247" i="5" s="1"/>
  <c r="Z239" i="5"/>
  <c r="AB239" i="5" s="1"/>
  <c r="Z231" i="5"/>
  <c r="AB231" i="5" s="1"/>
  <c r="Z223" i="5"/>
  <c r="AB223" i="5" s="1"/>
  <c r="Z215" i="5"/>
  <c r="AA215" i="5" s="1"/>
  <c r="Z207" i="5"/>
  <c r="AB207" i="5" s="1"/>
  <c r="Z199" i="5"/>
  <c r="AB199" i="5" s="1"/>
  <c r="Z191" i="5"/>
  <c r="AA191" i="5" s="1"/>
  <c r="Z183" i="5"/>
  <c r="Z175" i="5"/>
  <c r="AB175" i="5" s="1"/>
  <c r="Z167" i="5"/>
  <c r="AB167" i="5" s="1"/>
  <c r="Z159" i="5"/>
  <c r="AA159" i="5" s="1"/>
  <c r="Z151" i="5"/>
  <c r="AA151" i="5" s="1"/>
  <c r="Z143" i="5"/>
  <c r="AA143" i="5" s="1"/>
  <c r="Z135" i="5"/>
  <c r="AA135" i="5" s="1"/>
  <c r="Z127" i="5"/>
  <c r="Z119" i="5"/>
  <c r="AB119" i="5" s="1"/>
  <c r="Z111" i="5"/>
  <c r="AB111" i="5" s="1"/>
  <c r="Z103" i="5"/>
  <c r="AA103" i="5" s="1"/>
  <c r="Z95" i="5"/>
  <c r="AB95" i="5" s="1"/>
  <c r="Z87" i="5"/>
  <c r="AB87" i="5" s="1"/>
  <c r="Z79" i="5"/>
  <c r="AB79" i="5" s="1"/>
  <c r="Z71" i="5"/>
  <c r="AA71" i="5" s="1"/>
  <c r="Z63" i="5"/>
  <c r="AB63" i="5" s="1"/>
  <c r="Z55" i="5"/>
  <c r="AB55" i="5" s="1"/>
  <c r="Z47" i="5"/>
  <c r="AB47" i="5" s="1"/>
  <c r="Z39" i="5"/>
  <c r="AA39" i="5" s="1"/>
  <c r="Z33" i="5"/>
  <c r="Z25" i="5"/>
  <c r="AA25" i="5" s="1"/>
  <c r="Z12" i="5"/>
  <c r="Z166" i="5"/>
  <c r="AA166" i="5" s="1"/>
  <c r="Z150" i="5"/>
  <c r="AA150" i="5" s="1"/>
  <c r="Z134" i="5"/>
  <c r="Z118" i="5"/>
  <c r="AB118" i="5" s="1"/>
  <c r="Z102" i="5"/>
  <c r="Z78" i="5"/>
  <c r="Z62" i="5"/>
  <c r="AB62" i="5" s="1"/>
  <c r="Z54" i="5"/>
  <c r="AA54" i="5" s="1"/>
  <c r="Z32" i="5"/>
  <c r="AB32" i="5" s="1"/>
  <c r="Z10" i="5"/>
  <c r="AB10" i="5" s="1"/>
  <c r="Z131" i="5"/>
  <c r="AA131" i="5" s="1"/>
  <c r="Z91" i="5"/>
  <c r="AA91" i="5" s="1"/>
  <c r="Z43" i="5"/>
  <c r="AB43" i="5" s="1"/>
  <c r="Z558" i="5"/>
  <c r="Z550" i="5"/>
  <c r="AB550" i="5" s="1"/>
  <c r="Z542" i="5"/>
  <c r="AA542" i="5" s="1"/>
  <c r="Z534" i="5"/>
  <c r="Z526" i="5"/>
  <c r="AA526" i="5" s="1"/>
  <c r="Z518" i="5"/>
  <c r="AB518" i="5" s="1"/>
  <c r="Z510" i="5"/>
  <c r="AB510" i="5" s="1"/>
  <c r="Z502" i="5"/>
  <c r="AB502" i="5" s="1"/>
  <c r="Z494" i="5"/>
  <c r="AB494" i="5" s="1"/>
  <c r="Z486" i="5"/>
  <c r="AB486" i="5" s="1"/>
  <c r="Z478" i="5"/>
  <c r="AB478" i="5" s="1"/>
  <c r="Z470" i="5"/>
  <c r="AB470" i="5" s="1"/>
  <c r="Z462" i="5"/>
  <c r="AB462" i="5" s="1"/>
  <c r="Z454" i="5"/>
  <c r="AB454" i="5" s="1"/>
  <c r="Z446" i="5"/>
  <c r="Z438" i="5"/>
  <c r="AB438" i="5" s="1"/>
  <c r="Z430" i="5"/>
  <c r="AA430" i="5" s="1"/>
  <c r="Z422" i="5"/>
  <c r="AB422" i="5" s="1"/>
  <c r="Z414" i="5"/>
  <c r="AB414" i="5" s="1"/>
  <c r="Z406" i="5"/>
  <c r="AA406" i="5" s="1"/>
  <c r="Z398" i="5"/>
  <c r="Z390" i="5"/>
  <c r="AA390" i="5" s="1"/>
  <c r="Z382" i="5"/>
  <c r="AB382" i="5" s="1"/>
  <c r="Z374" i="5"/>
  <c r="AB374" i="5" s="1"/>
  <c r="Z366" i="5"/>
  <c r="AA366" i="5" s="1"/>
  <c r="Z358" i="5"/>
  <c r="AB358" i="5" s="1"/>
  <c r="Z350" i="5"/>
  <c r="AA350" i="5" s="1"/>
  <c r="Z342" i="5"/>
  <c r="Z334" i="5"/>
  <c r="AB334" i="5" s="1"/>
  <c r="Z326" i="5"/>
  <c r="AA326" i="5" s="1"/>
  <c r="Z318" i="5"/>
  <c r="AB318" i="5" s="1"/>
  <c r="Z310" i="5"/>
  <c r="Z302" i="5"/>
  <c r="AA302" i="5" s="1"/>
  <c r="Z294" i="5"/>
  <c r="AB294" i="5" s="1"/>
  <c r="Z286" i="5"/>
  <c r="AB286" i="5" s="1"/>
  <c r="Z278" i="5"/>
  <c r="AA278" i="5" s="1"/>
  <c r="Z270" i="5"/>
  <c r="AA270" i="5" s="1"/>
  <c r="Z262" i="5"/>
  <c r="AA262" i="5" s="1"/>
  <c r="Z254" i="5"/>
  <c r="AA254" i="5" s="1"/>
  <c r="Z246" i="5"/>
  <c r="AA246" i="5" s="1"/>
  <c r="Z238" i="5"/>
  <c r="Z230" i="5"/>
  <c r="AA230" i="5" s="1"/>
  <c r="Z222" i="5"/>
  <c r="AB222" i="5" s="1"/>
  <c r="Z214" i="5"/>
  <c r="AA214" i="5" s="1"/>
  <c r="Z206" i="5"/>
  <c r="AA206" i="5" s="1"/>
  <c r="Z198" i="5"/>
  <c r="Z190" i="5"/>
  <c r="AB190" i="5" s="1"/>
  <c r="Z182" i="5"/>
  <c r="Z174" i="5"/>
  <c r="AA174" i="5" s="1"/>
  <c r="Z158" i="5"/>
  <c r="Z142" i="5"/>
  <c r="AB142" i="5" s="1"/>
  <c r="Z126" i="5"/>
  <c r="Z110" i="5"/>
  <c r="AA110" i="5" s="1"/>
  <c r="Z94" i="5"/>
  <c r="AA94" i="5" s="1"/>
  <c r="Z86" i="5"/>
  <c r="AA86" i="5" s="1"/>
  <c r="Z70" i="5"/>
  <c r="AB70" i="5" s="1"/>
  <c r="Z46" i="5"/>
  <c r="Z38" i="5"/>
  <c r="AA38" i="5" s="1"/>
  <c r="Z24" i="5"/>
  <c r="Z147" i="5"/>
  <c r="Z107" i="5"/>
  <c r="AB107" i="5" s="1"/>
  <c r="Z67" i="5"/>
  <c r="Z7" i="5"/>
  <c r="AB7" i="5" s="1"/>
  <c r="Z557" i="5"/>
  <c r="AA557" i="5" s="1"/>
  <c r="Z549" i="5"/>
  <c r="AB549" i="5" s="1"/>
  <c r="Z541" i="5"/>
  <c r="Z533" i="5"/>
  <c r="AA533" i="5" s="1"/>
  <c r="Z525" i="5"/>
  <c r="AA525" i="5" s="1"/>
  <c r="Z517" i="5"/>
  <c r="AB517" i="5" s="1"/>
  <c r="Z509" i="5"/>
  <c r="AA509" i="5" s="1"/>
  <c r="Z501" i="5"/>
  <c r="AB501" i="5" s="1"/>
  <c r="Z493" i="5"/>
  <c r="AA493" i="5" s="1"/>
  <c r="Z485" i="5"/>
  <c r="AA485" i="5" s="1"/>
  <c r="Z477" i="5"/>
  <c r="AA477" i="5" s="1"/>
  <c r="Z469" i="5"/>
  <c r="AA469" i="5" s="1"/>
  <c r="Z461" i="5"/>
  <c r="AB461" i="5" s="1"/>
  <c r="Z453" i="5"/>
  <c r="AA453" i="5" s="1"/>
  <c r="Z445" i="5"/>
  <c r="AB445" i="5" s="1"/>
  <c r="Z437" i="5"/>
  <c r="AA437" i="5" s="1"/>
  <c r="Z429" i="5"/>
  <c r="AA429" i="5" s="1"/>
  <c r="Z421" i="5"/>
  <c r="AA421" i="5" s="1"/>
  <c r="Z413" i="5"/>
  <c r="AA413" i="5" s="1"/>
  <c r="Z405" i="5"/>
  <c r="AB405" i="5" s="1"/>
  <c r="Z397" i="5"/>
  <c r="AB397" i="5" s="1"/>
  <c r="Z389" i="5"/>
  <c r="AA389" i="5" s="1"/>
  <c r="Z381" i="5"/>
  <c r="Z373" i="5"/>
  <c r="AB373" i="5" s="1"/>
  <c r="Z365" i="5"/>
  <c r="Z357" i="5"/>
  <c r="AA357" i="5" s="1"/>
  <c r="Z349" i="5"/>
  <c r="Z341" i="5"/>
  <c r="AA341" i="5" s="1"/>
  <c r="Z333" i="5"/>
  <c r="AB333" i="5" s="1"/>
  <c r="Z325" i="5"/>
  <c r="Z317" i="5"/>
  <c r="AB317" i="5" s="1"/>
  <c r="Z309" i="5"/>
  <c r="AA309" i="5" s="1"/>
  <c r="Z301" i="5"/>
  <c r="AA301" i="5" s="1"/>
  <c r="Z293" i="5"/>
  <c r="AA293" i="5" s="1"/>
  <c r="Z285" i="5"/>
  <c r="Z277" i="5"/>
  <c r="AB277" i="5" s="1"/>
  <c r="Z269" i="5"/>
  <c r="AB269" i="5" s="1"/>
  <c r="Z261" i="5"/>
  <c r="AA261" i="5" s="1"/>
  <c r="Z253" i="5"/>
  <c r="Z245" i="5"/>
  <c r="Z237" i="5"/>
  <c r="Z229" i="5"/>
  <c r="Z221" i="5"/>
  <c r="AB221" i="5" s="1"/>
  <c r="Z213" i="5"/>
  <c r="AB213" i="5" s="1"/>
  <c r="Z205" i="5"/>
  <c r="AB205" i="5" s="1"/>
  <c r="Z197" i="5"/>
  <c r="Z189" i="5"/>
  <c r="AA189" i="5" s="1"/>
  <c r="Z181" i="5"/>
  <c r="AA181" i="5" s="1"/>
  <c r="Z173" i="5"/>
  <c r="Z165" i="5"/>
  <c r="AA165" i="5" s="1"/>
  <c r="Z157" i="5"/>
  <c r="AB157" i="5" s="1"/>
  <c r="Z149" i="5"/>
  <c r="AB149" i="5" s="1"/>
  <c r="Z141" i="5"/>
  <c r="Z133" i="5"/>
  <c r="AA133" i="5" s="1"/>
  <c r="Z125" i="5"/>
  <c r="AB125" i="5" s="1"/>
  <c r="Z117" i="5"/>
  <c r="AA117" i="5" s="1"/>
  <c r="Z109" i="5"/>
  <c r="AA109" i="5" s="1"/>
  <c r="Z101" i="5"/>
  <c r="AA101" i="5" s="1"/>
  <c r="Z93" i="5"/>
  <c r="AA93" i="5" s="1"/>
  <c r="Z85" i="5"/>
  <c r="AA85" i="5" s="1"/>
  <c r="Z77" i="5"/>
  <c r="AA77" i="5" s="1"/>
  <c r="Z69" i="5"/>
  <c r="AB69" i="5" s="1"/>
  <c r="Z61" i="5"/>
  <c r="AA61" i="5" s="1"/>
  <c r="Z53" i="5"/>
  <c r="AB53" i="5" s="1"/>
  <c r="Z45" i="5"/>
  <c r="Z37" i="5"/>
  <c r="AA37" i="5" s="1"/>
  <c r="Z31" i="5"/>
  <c r="AA31" i="5" s="1"/>
  <c r="Z23" i="5"/>
  <c r="AB23" i="5" s="1"/>
  <c r="Z148" i="5"/>
  <c r="AB148" i="5" s="1"/>
  <c r="Z132" i="5"/>
  <c r="AA132" i="5" s="1"/>
  <c r="Z124" i="5"/>
  <c r="AA124" i="5" s="1"/>
  <c r="Z108" i="5"/>
  <c r="AB108" i="5" s="1"/>
  <c r="Z92" i="5"/>
  <c r="AA92" i="5" s="1"/>
  <c r="Z84" i="5"/>
  <c r="AB84" i="5" s="1"/>
  <c r="Z68" i="5"/>
  <c r="Z52" i="5"/>
  <c r="AB52" i="5" s="1"/>
  <c r="Z36" i="5"/>
  <c r="AB36" i="5" s="1"/>
  <c r="Z22" i="5"/>
  <c r="Z171" i="5"/>
  <c r="AA171" i="5" s="1"/>
  <c r="Z139" i="5"/>
  <c r="AA139" i="5" s="1"/>
  <c r="Z123" i="5"/>
  <c r="AA123" i="5" s="1"/>
  <c r="Z83" i="5"/>
  <c r="AA83" i="5" s="1"/>
  <c r="Z51" i="5"/>
  <c r="AA51" i="5" s="1"/>
  <c r="Z556" i="5"/>
  <c r="Z548" i="5"/>
  <c r="AB548" i="5" s="1"/>
  <c r="Z540" i="5"/>
  <c r="AB540" i="5" s="1"/>
  <c r="Z532" i="5"/>
  <c r="AA532" i="5" s="1"/>
  <c r="Z524" i="5"/>
  <c r="AA524" i="5" s="1"/>
  <c r="Z516" i="5"/>
  <c r="AB516" i="5" s="1"/>
  <c r="Z508" i="5"/>
  <c r="Z500" i="5"/>
  <c r="Z492" i="5"/>
  <c r="AB492" i="5" s="1"/>
  <c r="Z484" i="5"/>
  <c r="AB484" i="5" s="1"/>
  <c r="Z476" i="5"/>
  <c r="Z468" i="5"/>
  <c r="AB468" i="5" s="1"/>
  <c r="Z460" i="5"/>
  <c r="AA460" i="5" s="1"/>
  <c r="Z452" i="5"/>
  <c r="AA452" i="5" s="1"/>
  <c r="Z444" i="5"/>
  <c r="AB444" i="5" s="1"/>
  <c r="Z436" i="5"/>
  <c r="AA436" i="5" s="1"/>
  <c r="Z428" i="5"/>
  <c r="AB428" i="5" s="1"/>
  <c r="Z420" i="5"/>
  <c r="AB420" i="5" s="1"/>
  <c r="Z412" i="5"/>
  <c r="AA412" i="5" s="1"/>
  <c r="Z404" i="5"/>
  <c r="AB404" i="5" s="1"/>
  <c r="Z396" i="5"/>
  <c r="AA396" i="5" s="1"/>
  <c r="Z388" i="5"/>
  <c r="AA388" i="5" s="1"/>
  <c r="Z380" i="5"/>
  <c r="AA380" i="5" s="1"/>
  <c r="Z372" i="5"/>
  <c r="AB372" i="5" s="1"/>
  <c r="Z364" i="5"/>
  <c r="AB364" i="5" s="1"/>
  <c r="Z356" i="5"/>
  <c r="AA356" i="5" s="1"/>
  <c r="Z348" i="5"/>
  <c r="AA348" i="5" s="1"/>
  <c r="Z340" i="5"/>
  <c r="AB340" i="5" s="1"/>
  <c r="Z332" i="5"/>
  <c r="AA332" i="5" s="1"/>
  <c r="Z324" i="5"/>
  <c r="AB324" i="5" s="1"/>
  <c r="Z316" i="5"/>
  <c r="AA316" i="5" s="1"/>
  <c r="Z308" i="5"/>
  <c r="Z300" i="5"/>
  <c r="Z292" i="5"/>
  <c r="AA292" i="5" s="1"/>
  <c r="Z284" i="5"/>
  <c r="AB284" i="5" s="1"/>
  <c r="Z276" i="5"/>
  <c r="AB276" i="5" s="1"/>
  <c r="Z268" i="5"/>
  <c r="AA268" i="5" s="1"/>
  <c r="Z260" i="5"/>
  <c r="AB260" i="5" s="1"/>
  <c r="Z252" i="5"/>
  <c r="AB252" i="5" s="1"/>
  <c r="Z244" i="5"/>
  <c r="AB244" i="5" s="1"/>
  <c r="Z236" i="5"/>
  <c r="AB236" i="5" s="1"/>
  <c r="Z228" i="5"/>
  <c r="AA228" i="5" s="1"/>
  <c r="Z220" i="5"/>
  <c r="AA220" i="5" s="1"/>
  <c r="Z212" i="5"/>
  <c r="AB212" i="5" s="1"/>
  <c r="Z204" i="5"/>
  <c r="Z196" i="5"/>
  <c r="AA196" i="5" s="1"/>
  <c r="Z188" i="5"/>
  <c r="AB188" i="5" s="1"/>
  <c r="Z180" i="5"/>
  <c r="AB180" i="5" s="1"/>
  <c r="Z172" i="5"/>
  <c r="AB172" i="5" s="1"/>
  <c r="Z164" i="5"/>
  <c r="AB164" i="5" s="1"/>
  <c r="Z156" i="5"/>
  <c r="AA156" i="5" s="1"/>
  <c r="Z140" i="5"/>
  <c r="AB140" i="5" s="1"/>
  <c r="Z116" i="5"/>
  <c r="AB116" i="5" s="1"/>
  <c r="Z100" i="5"/>
  <c r="AB100" i="5" s="1"/>
  <c r="Z76" i="5"/>
  <c r="AA76" i="5" s="1"/>
  <c r="Z60" i="5"/>
  <c r="AB60" i="5" s="1"/>
  <c r="Z44" i="5"/>
  <c r="Z30" i="5"/>
  <c r="AA30" i="5" s="1"/>
  <c r="Z8" i="5"/>
  <c r="AA8" i="5" s="1"/>
  <c r="Z155" i="5"/>
  <c r="AB155" i="5" s="1"/>
  <c r="Z99" i="5"/>
  <c r="Z59" i="5"/>
  <c r="AB59" i="5" s="1"/>
  <c r="Z555" i="5"/>
  <c r="Z547" i="5"/>
  <c r="AB547" i="5" s="1"/>
  <c r="Z539" i="5"/>
  <c r="AB539" i="5" s="1"/>
  <c r="Z531" i="5"/>
  <c r="AB531" i="5" s="1"/>
  <c r="Z523" i="5"/>
  <c r="AB523" i="5" s="1"/>
  <c r="Z515" i="5"/>
  <c r="AB515" i="5" s="1"/>
  <c r="Z507" i="5"/>
  <c r="AA507" i="5" s="1"/>
  <c r="Z499" i="5"/>
  <c r="AB499" i="5" s="1"/>
  <c r="Z491" i="5"/>
  <c r="AA491" i="5" s="1"/>
  <c r="Z483" i="5"/>
  <c r="Z475" i="5"/>
  <c r="AB475" i="5" s="1"/>
  <c r="Z467" i="5"/>
  <c r="AB467" i="5" s="1"/>
  <c r="Z459" i="5"/>
  <c r="AA459" i="5" s="1"/>
  <c r="Z451" i="5"/>
  <c r="Z443" i="5"/>
  <c r="AA443" i="5" s="1"/>
  <c r="Z435" i="5"/>
  <c r="AB435" i="5" s="1"/>
  <c r="Z427" i="5"/>
  <c r="Z419" i="5"/>
  <c r="AA419" i="5" s="1"/>
  <c r="Z411" i="5"/>
  <c r="AA411" i="5" s="1"/>
  <c r="Z403" i="5"/>
  <c r="AA403" i="5" s="1"/>
  <c r="Z395" i="5"/>
  <c r="Z387" i="5"/>
  <c r="AB387" i="5" s="1"/>
  <c r="Z379" i="5"/>
  <c r="AA379" i="5" s="1"/>
  <c r="Z371" i="5"/>
  <c r="AA371" i="5" s="1"/>
  <c r="Z363" i="5"/>
  <c r="AB363" i="5" s="1"/>
  <c r="Z355" i="5"/>
  <c r="AB355" i="5" s="1"/>
  <c r="Z347" i="5"/>
  <c r="AA347" i="5" s="1"/>
  <c r="Z339" i="5"/>
  <c r="Z331" i="5"/>
  <c r="AA331" i="5" s="1"/>
  <c r="Z323" i="5"/>
  <c r="Z315" i="5"/>
  <c r="AB315" i="5" s="1"/>
  <c r="Z307" i="5"/>
  <c r="AA307" i="5" s="1"/>
  <c r="Z299" i="5"/>
  <c r="AA299" i="5" s="1"/>
  <c r="Z291" i="5"/>
  <c r="AA291" i="5" s="1"/>
  <c r="Z283" i="5"/>
  <c r="AB283" i="5" s="1"/>
  <c r="Z275" i="5"/>
  <c r="AB275" i="5" s="1"/>
  <c r="Z267" i="5"/>
  <c r="AB267" i="5" s="1"/>
  <c r="Z259" i="5"/>
  <c r="AA259" i="5" s="1"/>
  <c r="Z251" i="5"/>
  <c r="AB251" i="5" s="1"/>
  <c r="Z243" i="5"/>
  <c r="AB243" i="5" s="1"/>
  <c r="Z235" i="5"/>
  <c r="AA235" i="5" s="1"/>
  <c r="Z227" i="5"/>
  <c r="AB227" i="5" s="1"/>
  <c r="Z219" i="5"/>
  <c r="AA219" i="5" s="1"/>
  <c r="Z211" i="5"/>
  <c r="AA211" i="5" s="1"/>
  <c r="Z203" i="5"/>
  <c r="AA203" i="5" s="1"/>
  <c r="Z195" i="5"/>
  <c r="AA195" i="5" s="1"/>
  <c r="Z187" i="5"/>
  <c r="AB187" i="5" s="1"/>
  <c r="Z179" i="5"/>
  <c r="AA179" i="5" s="1"/>
  <c r="Z163" i="5"/>
  <c r="AA163" i="5" s="1"/>
  <c r="Z115" i="5"/>
  <c r="Z75" i="5"/>
  <c r="Z554" i="5"/>
  <c r="AA554" i="5" s="1"/>
  <c r="Z546" i="5"/>
  <c r="AA546" i="5" s="1"/>
  <c r="Z538" i="5"/>
  <c r="AB538" i="5" s="1"/>
  <c r="Z530" i="5"/>
  <c r="Z522" i="5"/>
  <c r="AA522" i="5" s="1"/>
  <c r="Z514" i="5"/>
  <c r="AB514" i="5" s="1"/>
  <c r="Z506" i="5"/>
  <c r="AB506" i="5" s="1"/>
  <c r="Z498" i="5"/>
  <c r="AA498" i="5" s="1"/>
  <c r="Z490" i="5"/>
  <c r="AB490" i="5" s="1"/>
  <c r="Z482" i="5"/>
  <c r="Z474" i="5"/>
  <c r="AA474" i="5" s="1"/>
  <c r="Z466" i="5"/>
  <c r="Z458" i="5"/>
  <c r="AA458" i="5" s="1"/>
  <c r="Z450" i="5"/>
  <c r="Z442" i="5"/>
  <c r="AB442" i="5" s="1"/>
  <c r="Z434" i="5"/>
  <c r="Z426" i="5"/>
  <c r="AA426" i="5" s="1"/>
  <c r="Z418" i="5"/>
  <c r="AB418" i="5" s="1"/>
  <c r="Z410" i="5"/>
  <c r="AB410" i="5" s="1"/>
  <c r="Z402" i="5"/>
  <c r="AB402" i="5" s="1"/>
  <c r="Z394" i="5"/>
  <c r="AB394" i="5" s="1"/>
  <c r="Z386" i="5"/>
  <c r="AA386" i="5" s="1"/>
  <c r="Z378" i="5"/>
  <c r="Z370" i="5"/>
  <c r="AA370" i="5" s="1"/>
  <c r="Z362" i="5"/>
  <c r="AA362" i="5" s="1"/>
  <c r="Z354" i="5"/>
  <c r="AA354" i="5" s="1"/>
  <c r="Z346" i="5"/>
  <c r="AB346" i="5" s="1"/>
  <c r="Z338" i="5"/>
  <c r="AB338" i="5" s="1"/>
  <c r="Z330" i="5"/>
  <c r="AB330" i="5" s="1"/>
  <c r="Z322" i="5"/>
  <c r="AA322" i="5" s="1"/>
  <c r="Z314" i="5"/>
  <c r="AB314" i="5" s="1"/>
  <c r="Z306" i="5"/>
  <c r="AB306" i="5" s="1"/>
  <c r="Z298" i="5"/>
  <c r="AA298" i="5" s="1"/>
  <c r="Z290" i="5"/>
  <c r="AB290" i="5" s="1"/>
  <c r="Z282" i="5"/>
  <c r="AB282" i="5" s="1"/>
  <c r="Z274" i="5"/>
  <c r="AA274" i="5" s="1"/>
  <c r="Z266" i="5"/>
  <c r="Z258" i="5"/>
  <c r="AB258" i="5" s="1"/>
  <c r="Z250" i="5"/>
  <c r="AB250" i="5" s="1"/>
  <c r="Z242" i="5"/>
  <c r="AA242" i="5" s="1"/>
  <c r="Z234" i="5"/>
  <c r="Z226" i="5"/>
  <c r="AA226" i="5" s="1"/>
  <c r="Z218" i="5"/>
  <c r="Z210" i="5"/>
  <c r="Z202" i="5"/>
  <c r="AA202" i="5" s="1"/>
  <c r="Z194" i="5"/>
  <c r="AB194" i="5" s="1"/>
  <c r="Z186" i="5"/>
  <c r="Z178" i="5"/>
  <c r="Z170" i="5"/>
  <c r="AB170" i="5" s="1"/>
  <c r="Z162" i="5"/>
  <c r="AB162" i="5" s="1"/>
  <c r="Z154" i="5"/>
  <c r="AA154" i="5" s="1"/>
  <c r="Z146" i="5"/>
  <c r="AB146" i="5" s="1"/>
  <c r="Z138" i="5"/>
  <c r="AB138" i="5" s="1"/>
  <c r="Z130" i="5"/>
  <c r="AA130" i="5" s="1"/>
  <c r="Z122" i="5"/>
  <c r="Z114" i="5"/>
  <c r="AB114" i="5" s="1"/>
  <c r="Z106" i="5"/>
  <c r="AB106" i="5" s="1"/>
  <c r="Z98" i="5"/>
  <c r="AA98" i="5" s="1"/>
  <c r="Z90" i="5"/>
  <c r="AB90" i="5" s="1"/>
  <c r="Z82" i="5"/>
  <c r="AB82" i="5" s="1"/>
  <c r="Z74" i="5"/>
  <c r="AA74" i="5" s="1"/>
  <c r="Z66" i="5"/>
  <c r="AB66" i="5" s="1"/>
  <c r="Z58" i="5"/>
  <c r="Z50" i="5"/>
  <c r="AB50" i="5" s="1"/>
  <c r="Z42" i="5"/>
  <c r="AA42" i="5" s="1"/>
  <c r="Z35" i="5"/>
  <c r="Z28" i="5"/>
  <c r="AB28" i="5" s="1"/>
  <c r="Z20" i="5"/>
  <c r="Z121" i="5"/>
  <c r="AA121" i="5" s="1"/>
  <c r="Z105" i="5"/>
  <c r="AA105" i="5" s="1"/>
  <c r="Z89" i="5"/>
  <c r="AB89" i="5" s="1"/>
  <c r="Z73" i="5"/>
  <c r="Z57" i="5"/>
  <c r="AB57" i="5" s="1"/>
  <c r="Z41" i="5"/>
  <c r="AA41" i="5" s="1"/>
  <c r="Z27" i="5"/>
  <c r="AB27" i="5" s="1"/>
  <c r="Z19" i="5"/>
  <c r="AA19" i="5" s="1"/>
  <c r="Z120" i="5"/>
  <c r="AA120" i="5" s="1"/>
  <c r="Z104" i="5"/>
  <c r="AB104" i="5" s="1"/>
  <c r="Z88" i="5"/>
  <c r="AA88" i="5" s="1"/>
  <c r="Z64" i="5"/>
  <c r="AB64" i="5" s="1"/>
  <c r="Z40" i="5"/>
  <c r="AA40" i="5" s="1"/>
  <c r="Z13" i="5"/>
  <c r="Z553" i="5"/>
  <c r="AB553" i="5" s="1"/>
  <c r="Z545" i="5"/>
  <c r="AA545" i="5" s="1"/>
  <c r="Z537" i="5"/>
  <c r="AA537" i="5" s="1"/>
  <c r="Z529" i="5"/>
  <c r="AA529" i="5" s="1"/>
  <c r="Z521" i="5"/>
  <c r="AA521" i="5" s="1"/>
  <c r="Z513" i="5"/>
  <c r="AA513" i="5" s="1"/>
  <c r="Z505" i="5"/>
  <c r="Z497" i="5"/>
  <c r="AB497" i="5" s="1"/>
  <c r="Z489" i="5"/>
  <c r="AB489" i="5" s="1"/>
  <c r="Z481" i="5"/>
  <c r="Z473" i="5"/>
  <c r="AA473" i="5" s="1"/>
  <c r="Z465" i="5"/>
  <c r="Z457" i="5"/>
  <c r="AB457" i="5" s="1"/>
  <c r="Z449" i="5"/>
  <c r="AA449" i="5" s="1"/>
  <c r="Z441" i="5"/>
  <c r="AB441" i="5" s="1"/>
  <c r="Z433" i="5"/>
  <c r="Z425" i="5"/>
  <c r="AA425" i="5" s="1"/>
  <c r="Z417" i="5"/>
  <c r="AA417" i="5" s="1"/>
  <c r="Z409" i="5"/>
  <c r="AB409" i="5" s="1"/>
  <c r="Z401" i="5"/>
  <c r="AA401" i="5" s="1"/>
  <c r="Z393" i="5"/>
  <c r="AA393" i="5" s="1"/>
  <c r="Z385" i="5"/>
  <c r="AB385" i="5" s="1"/>
  <c r="Z377" i="5"/>
  <c r="Z369" i="5"/>
  <c r="AB369" i="5" s="1"/>
  <c r="Z361" i="5"/>
  <c r="AB361" i="5" s="1"/>
  <c r="Z353" i="5"/>
  <c r="Z345" i="5"/>
  <c r="Z337" i="5"/>
  <c r="AB337" i="5" s="1"/>
  <c r="Z329" i="5"/>
  <c r="AB329" i="5" s="1"/>
  <c r="Z321" i="5"/>
  <c r="AB321" i="5" s="1"/>
  <c r="Z313" i="5"/>
  <c r="AB313" i="5" s="1"/>
  <c r="Z305" i="5"/>
  <c r="AB305" i="5" s="1"/>
  <c r="Z297" i="5"/>
  <c r="AB297" i="5" s="1"/>
  <c r="Z289" i="5"/>
  <c r="AB289" i="5" s="1"/>
  <c r="Z281" i="5"/>
  <c r="AB281" i="5" s="1"/>
  <c r="Z273" i="5"/>
  <c r="AB273" i="5" s="1"/>
  <c r="Z265" i="5"/>
  <c r="AB265" i="5" s="1"/>
  <c r="Z257" i="5"/>
  <c r="Z249" i="5"/>
  <c r="AA249" i="5" s="1"/>
  <c r="Z241" i="5"/>
  <c r="AB241" i="5" s="1"/>
  <c r="Z233" i="5"/>
  <c r="AA233" i="5" s="1"/>
  <c r="Z225" i="5"/>
  <c r="AB225" i="5" s="1"/>
  <c r="Z217" i="5"/>
  <c r="AA217" i="5" s="1"/>
  <c r="Z209" i="5"/>
  <c r="AA209" i="5" s="1"/>
  <c r="Z201" i="5"/>
  <c r="AB201" i="5" s="1"/>
  <c r="Z193" i="5"/>
  <c r="AB193" i="5" s="1"/>
  <c r="Z185" i="5"/>
  <c r="AB185" i="5" s="1"/>
  <c r="Z177" i="5"/>
  <c r="AB177" i="5" s="1"/>
  <c r="Z169" i="5"/>
  <c r="AA169" i="5" s="1"/>
  <c r="Z161" i="5"/>
  <c r="AA161" i="5" s="1"/>
  <c r="Z153" i="5"/>
  <c r="AB153" i="5" s="1"/>
  <c r="Z145" i="5"/>
  <c r="Z137" i="5"/>
  <c r="AB137" i="5" s="1"/>
  <c r="Z129" i="5"/>
  <c r="AB129" i="5" s="1"/>
  <c r="Z113" i="5"/>
  <c r="Z97" i="5"/>
  <c r="AB97" i="5" s="1"/>
  <c r="Z81" i="5"/>
  <c r="Z65" i="5"/>
  <c r="Z49" i="5"/>
  <c r="AA49" i="5" s="1"/>
  <c r="Z72" i="5"/>
  <c r="AB72" i="5" s="1"/>
  <c r="Z48" i="5"/>
  <c r="AB48" i="5" s="1"/>
  <c r="Z26" i="5"/>
  <c r="AB26" i="5" s="1"/>
  <c r="Z21" i="5"/>
  <c r="AJ9" i="5"/>
  <c r="AK9" i="5" s="1"/>
  <c r="Z9" i="5"/>
  <c r="S240" i="5"/>
  <c r="R312" i="5"/>
  <c r="T11" i="5"/>
  <c r="U11" i="5" s="1"/>
  <c r="Z11" i="5"/>
  <c r="AB11" i="5" s="1"/>
  <c r="R320" i="5"/>
  <c r="S128" i="5"/>
  <c r="U45" i="5"/>
  <c r="AP38" i="5"/>
  <c r="AR38" i="5" s="1"/>
  <c r="AP110" i="5"/>
  <c r="AR110" i="5" s="1"/>
  <c r="AP47" i="5"/>
  <c r="AQ47" i="5" s="1"/>
  <c r="AP92" i="5"/>
  <c r="AR92" i="5" s="1"/>
  <c r="AP64" i="5"/>
  <c r="AR64" i="5" s="1"/>
  <c r="V97" i="5"/>
  <c r="AP340" i="5"/>
  <c r="AR340" i="5" s="1"/>
  <c r="R472" i="5"/>
  <c r="V534" i="5"/>
  <c r="Y184" i="5"/>
  <c r="AP189" i="5"/>
  <c r="AQ189" i="5" s="1"/>
  <c r="V145" i="5"/>
  <c r="V54" i="5"/>
  <c r="AP238" i="5"/>
  <c r="AQ238" i="5" s="1"/>
  <c r="AP42" i="5"/>
  <c r="AR42" i="5" s="1"/>
  <c r="AP506" i="5"/>
  <c r="AQ506" i="5" s="1"/>
  <c r="U143" i="5"/>
  <c r="S224" i="5"/>
  <c r="Y179" i="5"/>
  <c r="Y326" i="5"/>
  <c r="AP112" i="5"/>
  <c r="AQ112" i="5" s="1"/>
  <c r="AP497" i="5"/>
  <c r="AR497" i="5" s="1"/>
  <c r="AP276" i="5"/>
  <c r="AR276" i="5" s="1"/>
  <c r="AP146" i="5"/>
  <c r="AR146" i="5" s="1"/>
  <c r="V99" i="5"/>
  <c r="AL227" i="5"/>
  <c r="S136" i="5"/>
  <c r="R216" i="5"/>
  <c r="R232" i="5"/>
  <c r="Y289" i="5"/>
  <c r="Y51" i="5"/>
  <c r="AP252" i="5"/>
  <c r="AR252" i="5" s="1"/>
  <c r="AP159" i="5"/>
  <c r="AQ159" i="5" s="1"/>
  <c r="AP406" i="5"/>
  <c r="AQ406" i="5" s="1"/>
  <c r="V21" i="5"/>
  <c r="X553" i="5"/>
  <c r="Y554" i="5"/>
  <c r="X465" i="5"/>
  <c r="AN64" i="5"/>
  <c r="Y260" i="5"/>
  <c r="X274" i="5"/>
  <c r="AP119" i="5"/>
  <c r="AQ119" i="5" s="1"/>
  <c r="AP346" i="5"/>
  <c r="AR346" i="5" s="1"/>
  <c r="AP182" i="5"/>
  <c r="AQ182" i="5" s="1"/>
  <c r="V102" i="5"/>
  <c r="AP72" i="5"/>
  <c r="AQ72" i="5" s="1"/>
  <c r="AP54" i="5"/>
  <c r="AR54" i="5" s="1"/>
  <c r="Y448" i="5"/>
  <c r="R280" i="5"/>
  <c r="R152" i="5"/>
  <c r="Y301" i="5"/>
  <c r="Y458" i="5"/>
  <c r="P487" i="5"/>
  <c r="S112" i="5"/>
  <c r="S208" i="5"/>
  <c r="S64" i="5"/>
  <c r="K28" i="2"/>
  <c r="K27" i="2"/>
  <c r="AP486" i="5"/>
  <c r="AR486" i="5" s="1"/>
  <c r="AP359" i="5"/>
  <c r="AR359" i="5" s="1"/>
  <c r="AP470" i="5"/>
  <c r="AQ470" i="5" s="1"/>
  <c r="AP245" i="5"/>
  <c r="AQ245" i="5" s="1"/>
  <c r="AP418" i="5"/>
  <c r="AQ418" i="5" s="1"/>
  <c r="AP258" i="5"/>
  <c r="AQ258" i="5" s="1"/>
  <c r="AP233" i="5"/>
  <c r="AQ233" i="5" s="1"/>
  <c r="AP476" i="5"/>
  <c r="AR476" i="5" s="1"/>
  <c r="AP536" i="5"/>
  <c r="AQ536" i="5" s="1"/>
  <c r="AP560" i="5"/>
  <c r="AR560" i="5" s="1"/>
  <c r="AP485" i="5"/>
  <c r="AQ485" i="5" s="1"/>
  <c r="AP335" i="5"/>
  <c r="AQ335" i="5" s="1"/>
  <c r="AP398" i="5"/>
  <c r="AQ398" i="5" s="1"/>
  <c r="N31" i="2"/>
  <c r="AP284" i="5"/>
  <c r="AQ284" i="5" s="1"/>
  <c r="AP24" i="5"/>
  <c r="AR24" i="5" s="1"/>
  <c r="AP306" i="5"/>
  <c r="AR306" i="5" s="1"/>
  <c r="B50" i="5"/>
  <c r="M31" i="2"/>
  <c r="AP512" i="5"/>
  <c r="AR512" i="5" s="1"/>
  <c r="B153" i="2"/>
  <c r="H39" i="1" s="1"/>
  <c r="L31" i="2"/>
  <c r="AP364" i="5"/>
  <c r="AQ364" i="5" s="1"/>
  <c r="AK451" i="5"/>
  <c r="AP300" i="5"/>
  <c r="AQ300" i="5" s="1"/>
  <c r="M35" i="2"/>
  <c r="N35" i="2" s="1"/>
  <c r="AP492" i="5"/>
  <c r="AQ492" i="5" s="1"/>
  <c r="AP557" i="5"/>
  <c r="AQ557" i="5" s="1"/>
  <c r="AP451" i="5"/>
  <c r="AQ451" i="5" s="1"/>
  <c r="X96" i="5"/>
  <c r="X129" i="5"/>
  <c r="Y437" i="5"/>
  <c r="Y320" i="5"/>
  <c r="X319" i="5"/>
  <c r="R392" i="5"/>
  <c r="X156" i="5"/>
  <c r="X276" i="5"/>
  <c r="X399" i="5"/>
  <c r="Y342" i="5"/>
  <c r="S416" i="5"/>
  <c r="R432" i="5"/>
  <c r="Y35" i="5"/>
  <c r="X432" i="5"/>
  <c r="X451" i="5"/>
  <c r="Y28" i="5"/>
  <c r="X100" i="5"/>
  <c r="X394" i="5"/>
  <c r="Y286" i="5"/>
  <c r="R80" i="5"/>
  <c r="X491" i="5"/>
  <c r="S304" i="5"/>
  <c r="S8" i="5"/>
  <c r="Y211" i="5"/>
  <c r="Y69" i="5"/>
  <c r="X240" i="5"/>
  <c r="X355" i="5"/>
  <c r="Y214" i="5"/>
  <c r="X215" i="5"/>
  <c r="X412" i="5"/>
  <c r="Y126" i="5"/>
  <c r="Y517" i="5"/>
  <c r="X310" i="5"/>
  <c r="R488" i="5"/>
  <c r="S104" i="5"/>
  <c r="S344" i="5"/>
  <c r="R464" i="5"/>
  <c r="R32" i="5"/>
  <c r="R40" i="5"/>
  <c r="R456" i="5"/>
  <c r="R424" i="5"/>
  <c r="R168" i="5"/>
  <c r="X218" i="5"/>
  <c r="X259" i="5"/>
  <c r="X192" i="5"/>
  <c r="X52" i="5"/>
  <c r="X525" i="5"/>
  <c r="Y45" i="5"/>
  <c r="X434" i="5"/>
  <c r="Y531" i="5"/>
  <c r="Y55" i="5"/>
  <c r="Y158" i="5"/>
  <c r="X426" i="5"/>
  <c r="Y314" i="5"/>
  <c r="X95" i="5"/>
  <c r="X43" i="5"/>
  <c r="X518" i="5"/>
  <c r="Y264" i="5"/>
  <c r="S448" i="5"/>
  <c r="Y83" i="5"/>
  <c r="X313" i="5"/>
  <c r="Y389" i="5"/>
  <c r="Y383" i="5"/>
  <c r="R512" i="5"/>
  <c r="Y415" i="5"/>
  <c r="Y120" i="5"/>
  <c r="Y219" i="5"/>
  <c r="X128" i="5"/>
  <c r="X334" i="5"/>
  <c r="X117" i="5"/>
  <c r="X329" i="5"/>
  <c r="X155" i="5"/>
  <c r="X278" i="5"/>
  <c r="Y277" i="5"/>
  <c r="Y106" i="5"/>
  <c r="X533" i="5"/>
  <c r="R256" i="5"/>
  <c r="Y378" i="5"/>
  <c r="X302" i="5"/>
  <c r="V117" i="4"/>
  <c r="W117" i="4" s="1"/>
  <c r="Y117" i="4" s="1"/>
  <c r="AS26" i="4"/>
  <c r="U117" i="4"/>
  <c r="AH117" i="4" s="1"/>
  <c r="U115" i="4"/>
  <c r="AH115" i="4" s="1"/>
  <c r="AS87" i="4"/>
  <c r="AS37" i="4"/>
  <c r="U125" i="4"/>
  <c r="AH125" i="4" s="1"/>
  <c r="AS57" i="4"/>
  <c r="V46" i="4"/>
  <c r="AM46" i="4" s="1"/>
  <c r="AN46" i="4" s="1"/>
  <c r="AS115" i="4"/>
  <c r="V37" i="4"/>
  <c r="AM37" i="4" s="1"/>
  <c r="AN37" i="4" s="1"/>
  <c r="V61" i="4"/>
  <c r="AM61" i="4" s="1"/>
  <c r="AN61" i="4" s="1"/>
  <c r="V125" i="4"/>
  <c r="AM125" i="4" s="1"/>
  <c r="AN125" i="4" s="1"/>
  <c r="U14" i="4"/>
  <c r="AH14" i="4" s="1"/>
  <c r="V26" i="4"/>
  <c r="U37" i="4"/>
  <c r="AH37" i="4" s="1"/>
  <c r="V145" i="4"/>
  <c r="AM145" i="4" s="1"/>
  <c r="AN145" i="4" s="1"/>
  <c r="V57" i="4"/>
  <c r="AM57" i="4" s="1"/>
  <c r="AN57" i="4" s="1"/>
  <c r="U46" i="4"/>
  <c r="AH46" i="4" s="1"/>
  <c r="U20" i="4"/>
  <c r="AH20" i="4" s="1"/>
  <c r="U61" i="4"/>
  <c r="AH61" i="4" s="1"/>
  <c r="AS125" i="4"/>
  <c r="U134" i="4"/>
  <c r="AH134" i="4" s="1"/>
  <c r="U87" i="4"/>
  <c r="AH87" i="4" s="1"/>
  <c r="AS131" i="4"/>
  <c r="U145" i="4"/>
  <c r="AH145" i="4" s="1"/>
  <c r="AS46" i="4"/>
  <c r="U142" i="4"/>
  <c r="AH142" i="4" s="1"/>
  <c r="AS20" i="4"/>
  <c r="AS61" i="4"/>
  <c r="V12" i="4"/>
  <c r="AM12" i="4" s="1"/>
  <c r="AN12" i="4" s="1"/>
  <c r="V115" i="4"/>
  <c r="W115" i="4" s="1"/>
  <c r="Y115" i="4" s="1"/>
  <c r="AS145" i="4"/>
  <c r="V16" i="4"/>
  <c r="W16" i="4" s="1"/>
  <c r="Y16" i="4" s="1"/>
  <c r="AS142" i="4"/>
  <c r="V20" i="4"/>
  <c r="AM20" i="4" s="1"/>
  <c r="AN20" i="4" s="1"/>
  <c r="V14" i="4"/>
  <c r="AM14" i="4" s="1"/>
  <c r="AN14" i="4" s="1"/>
  <c r="V66" i="4"/>
  <c r="AM66" i="4" s="1"/>
  <c r="AN66" i="4" s="1"/>
  <c r="U18" i="4"/>
  <c r="U128" i="4"/>
  <c r="AH128" i="4" s="1"/>
  <c r="U57" i="4"/>
  <c r="AH57" i="4" s="1"/>
  <c r="V142" i="4"/>
  <c r="AM142" i="4" s="1"/>
  <c r="AN142" i="4" s="1"/>
  <c r="U16" i="4"/>
  <c r="AH16" i="4" s="1"/>
  <c r="V134" i="4"/>
  <c r="W134" i="4" s="1"/>
  <c r="V128" i="4"/>
  <c r="W128" i="4" s="1"/>
  <c r="AS14" i="4"/>
  <c r="U66" i="4"/>
  <c r="AH66" i="4" s="1"/>
  <c r="X395" i="5"/>
  <c r="Y363" i="5"/>
  <c r="X363" i="5"/>
  <c r="X167" i="5"/>
  <c r="Y167" i="5"/>
  <c r="S546" i="5"/>
  <c r="R546" i="5"/>
  <c r="Y145" i="5"/>
  <c r="X266" i="5"/>
  <c r="Y266" i="5"/>
  <c r="X479" i="5"/>
  <c r="Y479" i="5"/>
  <c r="Y373" i="5"/>
  <c r="X373" i="5"/>
  <c r="X68" i="5"/>
  <c r="Y68" i="5"/>
  <c r="X154" i="5"/>
  <c r="Y154" i="5"/>
  <c r="X132" i="5"/>
  <c r="Y132" i="5"/>
  <c r="X366" i="5"/>
  <c r="Y366" i="5"/>
  <c r="Y262" i="5"/>
  <c r="X262" i="5"/>
  <c r="R376" i="5"/>
  <c r="S376" i="5"/>
  <c r="Y110" i="5"/>
  <c r="X110" i="5"/>
  <c r="Y282" i="5"/>
  <c r="X282" i="5"/>
  <c r="R368" i="5"/>
  <c r="S368" i="5"/>
  <c r="Y331" i="5"/>
  <c r="X331" i="5"/>
  <c r="Y557" i="5"/>
  <c r="X557" i="5"/>
  <c r="R176" i="5"/>
  <c r="S176" i="5"/>
  <c r="S200" i="5"/>
  <c r="R200" i="5"/>
  <c r="S534" i="5"/>
  <c r="R534" i="5"/>
  <c r="X112" i="5"/>
  <c r="Y112" i="5"/>
  <c r="X456" i="5"/>
  <c r="Y456" i="5"/>
  <c r="X343" i="5"/>
  <c r="Y343" i="5"/>
  <c r="S248" i="5"/>
  <c r="Y427" i="5"/>
  <c r="X427" i="5"/>
  <c r="R384" i="5"/>
  <c r="X29" i="5"/>
  <c r="Y56" i="5"/>
  <c r="X56" i="5"/>
  <c r="Y290" i="5"/>
  <c r="X290" i="5"/>
  <c r="Y272" i="5"/>
  <c r="X272" i="5"/>
  <c r="X85" i="5"/>
  <c r="Y50" i="5"/>
  <c r="X50" i="5"/>
  <c r="X269" i="5"/>
  <c r="Y269" i="5"/>
  <c r="Y125" i="5"/>
  <c r="X125" i="5"/>
  <c r="Y212" i="5"/>
  <c r="X212" i="5"/>
  <c r="R48" i="5"/>
  <c r="X137" i="5"/>
  <c r="Y484" i="5"/>
  <c r="Y441" i="5"/>
  <c r="R408" i="5"/>
  <c r="R72" i="5"/>
  <c r="Y323" i="5"/>
  <c r="X435" i="5"/>
  <c r="Y435" i="5"/>
  <c r="X405" i="5"/>
  <c r="Y405" i="5"/>
  <c r="X453" i="5"/>
  <c r="Y115" i="5"/>
  <c r="Y403" i="5"/>
  <c r="X403" i="5"/>
  <c r="R360" i="5"/>
  <c r="X202" i="5"/>
  <c r="S296" i="5"/>
  <c r="Y82" i="5"/>
  <c r="X200" i="5"/>
  <c r="R504" i="5"/>
  <c r="R336" i="5"/>
  <c r="S144" i="5"/>
  <c r="R496" i="5"/>
  <c r="Y332" i="5"/>
  <c r="X409" i="5"/>
  <c r="X86" i="5"/>
  <c r="Y130" i="5"/>
  <c r="Y321" i="5"/>
  <c r="Y288" i="5"/>
  <c r="X358" i="5"/>
  <c r="X541" i="5"/>
  <c r="Y510" i="5"/>
  <c r="R440" i="5"/>
  <c r="Y386" i="5"/>
  <c r="Y424" i="5"/>
  <c r="R264" i="5"/>
  <c r="X78" i="5"/>
  <c r="Y555" i="5"/>
  <c r="Y98" i="5"/>
  <c r="R24" i="5"/>
  <c r="Y63" i="5"/>
  <c r="X298" i="5"/>
  <c r="Y391" i="5"/>
  <c r="X299" i="5"/>
  <c r="Y72" i="5"/>
  <c r="Y361" i="5"/>
  <c r="X549" i="5"/>
  <c r="X60" i="5"/>
  <c r="X257" i="5"/>
  <c r="Y464" i="5"/>
  <c r="X229" i="5"/>
  <c r="X62" i="5"/>
  <c r="X537" i="5"/>
  <c r="Y542" i="5"/>
  <c r="Y287" i="5"/>
  <c r="X387" i="5"/>
  <c r="Y199" i="5"/>
  <c r="Y119" i="5"/>
  <c r="Y253" i="5"/>
  <c r="X198" i="5"/>
  <c r="Y506" i="5"/>
  <c r="X178" i="5"/>
  <c r="Y486" i="5"/>
  <c r="X505" i="5"/>
  <c r="Y189" i="5"/>
  <c r="Y237" i="5"/>
  <c r="X270" i="5"/>
  <c r="X89" i="5"/>
  <c r="Y454" i="5"/>
  <c r="X275" i="5"/>
  <c r="Y139" i="5"/>
  <c r="Y543" i="5"/>
  <c r="X478" i="5"/>
  <c r="X466" i="5"/>
  <c r="X21" i="5"/>
  <c r="Y281" i="5"/>
  <c r="X551" i="5"/>
  <c r="X23" i="5"/>
  <c r="Y38" i="5"/>
  <c r="X247" i="5"/>
  <c r="Y208" i="5"/>
  <c r="X482" i="5"/>
  <c r="Y433" i="5"/>
  <c r="R400" i="5"/>
  <c r="Y480" i="5"/>
  <c r="X511" i="5"/>
  <c r="S56" i="5"/>
  <c r="S272" i="5"/>
  <c r="Y382" i="5"/>
  <c r="Y473" i="5"/>
  <c r="X341" i="5"/>
  <c r="Y271" i="5"/>
  <c r="X300" i="5"/>
  <c r="Y172" i="5"/>
  <c r="Y460" i="5"/>
  <c r="Y305" i="5"/>
  <c r="X400" i="5"/>
  <c r="Y490" i="5"/>
  <c r="X390" i="5"/>
  <c r="X470" i="5"/>
  <c r="Y153" i="5"/>
  <c r="X222" i="5"/>
  <c r="X509" i="5"/>
  <c r="X393" i="5"/>
  <c r="X550" i="5"/>
  <c r="S120" i="5"/>
  <c r="Y293" i="5"/>
  <c r="X445" i="5"/>
  <c r="Y93" i="5"/>
  <c r="X351" i="5"/>
  <c r="Y353" i="5"/>
  <c r="X481" i="5"/>
  <c r="X223" i="5"/>
  <c r="X519" i="5"/>
  <c r="Y169" i="5"/>
  <c r="Y530" i="5"/>
  <c r="X174" i="5"/>
  <c r="X512" i="5"/>
  <c r="X428" i="5"/>
  <c r="X64" i="5"/>
  <c r="X248" i="5"/>
  <c r="X243" i="5"/>
  <c r="Y57" i="5"/>
  <c r="Y444" i="5"/>
  <c r="Y26" i="5"/>
  <c r="Y233" i="5"/>
  <c r="X58" i="5"/>
  <c r="X273" i="5"/>
  <c r="X475" i="5"/>
  <c r="X194" i="5"/>
  <c r="Y46" i="5"/>
  <c r="Y401" i="5"/>
  <c r="Y312" i="5"/>
  <c r="Y180" i="5"/>
  <c r="Y142" i="5"/>
  <c r="X304" i="5"/>
  <c r="Y529" i="5"/>
  <c r="Y425" i="5"/>
  <c r="X498" i="5"/>
  <c r="Y131" i="5"/>
  <c r="W73" i="4"/>
  <c r="X73" i="4" s="1"/>
  <c r="X108" i="5"/>
  <c r="Y77" i="5"/>
  <c r="X102" i="5"/>
  <c r="X438" i="5"/>
  <c r="Y197" i="5"/>
  <c r="Y359" i="5"/>
  <c r="X552" i="5"/>
  <c r="X263" i="5"/>
  <c r="Y152" i="5"/>
  <c r="X535" i="5"/>
  <c r="X472" i="5"/>
  <c r="Y42" i="5"/>
  <c r="X36" i="5"/>
  <c r="X546" i="5"/>
  <c r="Y339" i="5"/>
  <c r="X254" i="5"/>
  <c r="Y196" i="5"/>
  <c r="X73" i="5"/>
  <c r="Y239" i="5"/>
  <c r="Y173" i="5"/>
  <c r="X61" i="5"/>
  <c r="Y296" i="5"/>
  <c r="Y381" i="5"/>
  <c r="Y48" i="5"/>
  <c r="X244" i="5"/>
  <c r="Y99" i="5"/>
  <c r="X258" i="5"/>
  <c r="Y22" i="5"/>
  <c r="X536" i="5"/>
  <c r="Y493" i="5"/>
  <c r="X133" i="5"/>
  <c r="Y284" i="5"/>
  <c r="Y463" i="5"/>
  <c r="Y350" i="5"/>
  <c r="Y357" i="5"/>
  <c r="Y317" i="5"/>
  <c r="Y187" i="5"/>
  <c r="Y485" i="5"/>
  <c r="X280" i="5"/>
  <c r="Y500" i="5"/>
  <c r="X507" i="5"/>
  <c r="Y291" i="5"/>
  <c r="X66" i="5"/>
  <c r="Y520" i="5"/>
  <c r="R184" i="5"/>
  <c r="X477" i="5"/>
  <c r="Y402" i="5"/>
  <c r="Y216" i="5"/>
  <c r="R538" i="5"/>
  <c r="Y440" i="5"/>
  <c r="Y101" i="5"/>
  <c r="X327" i="5"/>
  <c r="Y408" i="5"/>
  <c r="Y436" i="5"/>
  <c r="X191" i="5"/>
  <c r="Y376" i="5"/>
  <c r="X515" i="5"/>
  <c r="Y213" i="5"/>
  <c r="X474" i="5"/>
  <c r="Y84" i="5"/>
  <c r="Y346" i="5"/>
  <c r="X261" i="5"/>
  <c r="Y81" i="5"/>
  <c r="Y175" i="5"/>
  <c r="Y526" i="5"/>
  <c r="X392" i="5"/>
  <c r="X354" i="5"/>
  <c r="Y75" i="5"/>
  <c r="Y97" i="5"/>
  <c r="X372" i="5"/>
  <c r="X442" i="5"/>
  <c r="X249" i="5"/>
  <c r="Y487" i="5"/>
  <c r="Y492" i="5"/>
  <c r="Y410" i="5"/>
  <c r="R192" i="5"/>
  <c r="R160" i="5"/>
  <c r="Y238" i="5"/>
  <c r="Y92" i="5"/>
  <c r="Y148" i="5"/>
  <c r="Y20" i="5"/>
  <c r="Y422" i="5"/>
  <c r="Y59" i="5"/>
  <c r="Y267" i="5"/>
  <c r="X32" i="5"/>
  <c r="X79" i="5"/>
  <c r="X201" i="5"/>
  <c r="R352" i="5"/>
  <c r="Y360" i="5"/>
  <c r="X210" i="5"/>
  <c r="X183" i="5"/>
  <c r="Y385" i="5"/>
  <c r="Y279" i="5"/>
  <c r="X504" i="5"/>
  <c r="X88" i="5"/>
  <c r="X559" i="5"/>
  <c r="X170" i="5"/>
  <c r="X283" i="5"/>
  <c r="Y39" i="5"/>
  <c r="X234" i="5"/>
  <c r="X501" i="5"/>
  <c r="X232" i="5"/>
  <c r="X538" i="5"/>
  <c r="X344" i="5"/>
  <c r="Y503" i="5"/>
  <c r="X165" i="5"/>
  <c r="X168" i="5"/>
  <c r="Y265" i="5"/>
  <c r="Y255" i="5"/>
  <c r="X488" i="5"/>
  <c r="X483" i="5"/>
  <c r="X497" i="5"/>
  <c r="X160" i="5"/>
  <c r="X136" i="5"/>
  <c r="Y423" i="5"/>
  <c r="Y121" i="5"/>
  <c r="X455" i="5"/>
  <c r="X508" i="5"/>
  <c r="X164" i="5"/>
  <c r="X375" i="5"/>
  <c r="X540" i="5"/>
  <c r="Y417" i="5"/>
  <c r="X151" i="5"/>
  <c r="Y76" i="5"/>
  <c r="Y371" i="5"/>
  <c r="Y330" i="5"/>
  <c r="X388" i="5"/>
  <c r="Y252" i="5"/>
  <c r="X532" i="5"/>
  <c r="X27" i="5"/>
  <c r="Y54" i="5"/>
  <c r="X207" i="5"/>
  <c r="X449" i="5"/>
  <c r="Y545" i="5"/>
  <c r="Y380" i="5"/>
  <c r="X104" i="5"/>
  <c r="Y30" i="5"/>
  <c r="X306" i="5"/>
  <c r="Y241" i="5"/>
  <c r="X349" i="5"/>
  <c r="X406" i="5"/>
  <c r="Y70" i="5"/>
  <c r="W140" i="4"/>
  <c r="Y140" i="4" s="1"/>
  <c r="AM140" i="4"/>
  <c r="W105" i="4"/>
  <c r="AM105" i="4"/>
  <c r="AS58" i="4"/>
  <c r="AS149" i="4"/>
  <c r="AS157" i="4"/>
  <c r="AS77" i="4"/>
  <c r="V22" i="4"/>
  <c r="AM22" i="4" s="1"/>
  <c r="AN22" i="4" s="1"/>
  <c r="AS39" i="4"/>
  <c r="V109" i="4"/>
  <c r="AM109" i="4" s="1"/>
  <c r="AN109" i="4" s="1"/>
  <c r="X496" i="5"/>
  <c r="Y217" i="5"/>
  <c r="Y221" i="5"/>
  <c r="X333" i="5"/>
  <c r="Y242" i="5"/>
  <c r="Y220" i="5"/>
  <c r="X471" i="5"/>
  <c r="Y150" i="5"/>
  <c r="X140" i="5"/>
  <c r="U24" i="4"/>
  <c r="AH24" i="4" s="1"/>
  <c r="AL84" i="4"/>
  <c r="AS84" i="4"/>
  <c r="AL155" i="4"/>
  <c r="U155" i="4"/>
  <c r="AL118" i="4"/>
  <c r="AS118" i="4"/>
  <c r="Y122" i="5"/>
  <c r="X122" i="5"/>
  <c r="V83" i="4"/>
  <c r="V67" i="4"/>
  <c r="AM67" i="4" s="1"/>
  <c r="AN67" i="4" s="1"/>
  <c r="X328" i="5"/>
  <c r="R288" i="5"/>
  <c r="V39" i="4"/>
  <c r="AM39" i="4" s="1"/>
  <c r="AN39" i="4" s="1"/>
  <c r="AS109" i="4"/>
  <c r="Y467" i="5"/>
  <c r="Y439" i="5"/>
  <c r="Y188" i="5"/>
  <c r="Y236" i="5"/>
  <c r="Y356" i="5"/>
  <c r="Y268" i="5"/>
  <c r="Y159" i="5"/>
  <c r="X476" i="5"/>
  <c r="U109" i="4"/>
  <c r="AH109" i="4" s="1"/>
  <c r="AL10" i="4"/>
  <c r="V10" i="4"/>
  <c r="AL101" i="4"/>
  <c r="U101" i="4"/>
  <c r="AH101" i="4" s="1"/>
  <c r="V101" i="4"/>
  <c r="AL62" i="4"/>
  <c r="AS62" i="4"/>
  <c r="V62" i="4"/>
  <c r="AS96" i="4"/>
  <c r="AL157" i="4"/>
  <c r="U157" i="4"/>
  <c r="AH157" i="4" s="1"/>
  <c r="AL77" i="4"/>
  <c r="U77" i="4"/>
  <c r="AH77" i="4" s="1"/>
  <c r="U42" i="4"/>
  <c r="AH42" i="4" s="1"/>
  <c r="AS33" i="4"/>
  <c r="U67" i="4"/>
  <c r="AH67" i="4" s="1"/>
  <c r="V15" i="4"/>
  <c r="AM15" i="4" s="1"/>
  <c r="AN15" i="4" s="1"/>
  <c r="AS121" i="4"/>
  <c r="V43" i="4"/>
  <c r="W43" i="4" s="1"/>
  <c r="Y43" i="4" s="1"/>
  <c r="X24" i="5"/>
  <c r="X256" i="5"/>
  <c r="AS135" i="4"/>
  <c r="Y352" i="5"/>
  <c r="U39" i="4"/>
  <c r="AH39" i="4" s="1"/>
  <c r="X123" i="5"/>
  <c r="Y246" i="5"/>
  <c r="Y523" i="5"/>
  <c r="Y190" i="5"/>
  <c r="X34" i="5"/>
  <c r="Y544" i="5"/>
  <c r="Y513" i="5"/>
  <c r="X149" i="5"/>
  <c r="V58" i="4"/>
  <c r="U91" i="4"/>
  <c r="AH91" i="4" s="1"/>
  <c r="AS101" i="4"/>
  <c r="AS137" i="4"/>
  <c r="AS42" i="4"/>
  <c r="V33" i="4"/>
  <c r="W33" i="4" s="1"/>
  <c r="Y33" i="4" s="1"/>
  <c r="Z33" i="4" s="1"/>
  <c r="AS67" i="4"/>
  <c r="AS15" i="4"/>
  <c r="V121" i="4"/>
  <c r="W121" i="4" s="1"/>
  <c r="Y121" i="4" s="1"/>
  <c r="Z121" i="4" s="1"/>
  <c r="U43" i="4"/>
  <c r="AH43" i="4" s="1"/>
  <c r="U129" i="4"/>
  <c r="AH129" i="4" s="1"/>
  <c r="AM9" i="5"/>
  <c r="AN9" i="5" s="1"/>
  <c r="V135" i="4"/>
  <c r="AM135" i="4" s="1"/>
  <c r="AN135" i="4" s="1"/>
  <c r="X447" i="5"/>
  <c r="X19" i="5"/>
  <c r="Y407" i="5"/>
  <c r="Y251" i="5"/>
  <c r="Y157" i="5"/>
  <c r="Y80" i="5"/>
  <c r="Y143" i="5"/>
  <c r="AL132" i="4"/>
  <c r="V132" i="4"/>
  <c r="U132" i="4"/>
  <c r="AH132" i="4" s="1"/>
  <c r="AL130" i="4"/>
  <c r="V130" i="4"/>
  <c r="AL98" i="4"/>
  <c r="AS98" i="4"/>
  <c r="Y469" i="5"/>
  <c r="X560" i="5"/>
  <c r="U94" i="4"/>
  <c r="AH94" i="4" s="1"/>
  <c r="V94" i="4"/>
  <c r="AS94" i="4"/>
  <c r="AL94" i="4"/>
  <c r="V155" i="4"/>
  <c r="V24" i="4"/>
  <c r="V129" i="4"/>
  <c r="AM129" i="4" s="1"/>
  <c r="AN129" i="4" s="1"/>
  <c r="AS72" i="4"/>
  <c r="V152" i="4"/>
  <c r="AM152" i="4" s="1"/>
  <c r="AN152" i="4" s="1"/>
  <c r="V148" i="4"/>
  <c r="AM148" i="4" s="1"/>
  <c r="AN148" i="4" s="1"/>
  <c r="X316" i="5"/>
  <c r="Y141" i="5"/>
  <c r="Y67" i="5"/>
  <c r="X177" i="5"/>
  <c r="Y429" i="5"/>
  <c r="Y521" i="5"/>
  <c r="Y430" i="5"/>
  <c r="Y556" i="5"/>
  <c r="X71" i="5"/>
  <c r="X348" i="5"/>
  <c r="X124" i="5"/>
  <c r="AS59" i="4"/>
  <c r="AL59" i="4"/>
  <c r="V59" i="4"/>
  <c r="U59" i="4"/>
  <c r="AH59" i="4" s="1"/>
  <c r="AS79" i="4"/>
  <c r="AL79" i="4"/>
  <c r="U79" i="4"/>
  <c r="AH79" i="4" s="1"/>
  <c r="V79" i="4"/>
  <c r="AL141" i="4"/>
  <c r="V141" i="4"/>
  <c r="AS73" i="4"/>
  <c r="AL73" i="4"/>
  <c r="AN73" i="4" s="1"/>
  <c r="AL133" i="4"/>
  <c r="U133" i="4"/>
  <c r="AH133" i="4" s="1"/>
  <c r="V133" i="4"/>
  <c r="AS18" i="4"/>
  <c r="AS130" i="4"/>
  <c r="AM11" i="5"/>
  <c r="AO11" i="5" s="1"/>
  <c r="V56" i="4"/>
  <c r="W56" i="4" s="1"/>
  <c r="Y56" i="4" s="1"/>
  <c r="Z56" i="4" s="1"/>
  <c r="U149" i="4"/>
  <c r="AH149" i="4" s="1"/>
  <c r="AS56" i="4"/>
  <c r="V72" i="4"/>
  <c r="AM72" i="4" s="1"/>
  <c r="AN72" i="4" s="1"/>
  <c r="AS152" i="4"/>
  <c r="U148" i="4"/>
  <c r="AH148" i="4" s="1"/>
  <c r="U22" i="4"/>
  <c r="AH22" i="4" s="1"/>
  <c r="Y384" i="5"/>
  <c r="X340" i="5"/>
  <c r="X114" i="5"/>
  <c r="AL34" i="4"/>
  <c r="AS34" i="4"/>
  <c r="V34" i="4"/>
  <c r="U34" i="4"/>
  <c r="AH34" i="4" s="1"/>
  <c r="AL140" i="4"/>
  <c r="U140" i="4"/>
  <c r="AH140" i="4" s="1"/>
  <c r="AS140" i="4"/>
  <c r="AL143" i="4"/>
  <c r="AS143" i="4"/>
  <c r="AL105" i="4"/>
  <c r="AS105" i="4"/>
  <c r="U105" i="4"/>
  <c r="AL21" i="4"/>
  <c r="V21" i="4"/>
  <c r="U21" i="4"/>
  <c r="AH21" i="4" s="1"/>
  <c r="AS21" i="4"/>
  <c r="AS132" i="4"/>
  <c r="V144" i="4"/>
  <c r="Y8" i="5"/>
  <c r="X338" i="5"/>
  <c r="Y53" i="5"/>
  <c r="X420" i="5"/>
  <c r="X431" i="5"/>
  <c r="Y369" i="5"/>
  <c r="Y90" i="5"/>
  <c r="X548" i="5"/>
  <c r="X522" i="5"/>
  <c r="Y186" i="5"/>
  <c r="X468" i="5"/>
  <c r="X324" i="5"/>
  <c r="X226" i="5"/>
  <c r="X31" i="5"/>
  <c r="Y245" i="5"/>
  <c r="Y33" i="5"/>
  <c r="X195" i="5"/>
  <c r="X311" i="5"/>
  <c r="Y294" i="5"/>
  <c r="Y182" i="5"/>
  <c r="X25" i="5"/>
  <c r="Y494" i="5"/>
  <c r="Y443" i="5"/>
  <c r="X303" i="5"/>
  <c r="Y421" i="5"/>
  <c r="Y524" i="5"/>
  <c r="Y176" i="5"/>
  <c r="X44" i="5"/>
  <c r="Y418" i="5"/>
  <c r="X40" i="5"/>
  <c r="X91" i="5"/>
  <c r="X528" i="5"/>
  <c r="X368" i="5"/>
  <c r="X228" i="5"/>
  <c r="X127" i="5"/>
  <c r="Y127" i="5"/>
  <c r="X461" i="5"/>
  <c r="Y461" i="5"/>
  <c r="Y502" i="5"/>
  <c r="Y450" i="5"/>
  <c r="X309" i="5"/>
  <c r="X146" i="5"/>
  <c r="X166" i="5"/>
  <c r="Y109" i="5"/>
  <c r="Y230" i="5"/>
  <c r="X230" i="5"/>
  <c r="X171" i="5"/>
  <c r="Y171" i="5"/>
  <c r="Y113" i="5"/>
  <c r="X113" i="5"/>
  <c r="Y377" i="5"/>
  <c r="X377" i="5"/>
  <c r="Y193" i="5"/>
  <c r="X193" i="5"/>
  <c r="Y285" i="5"/>
  <c r="X285" i="5"/>
  <c r="X235" i="5"/>
  <c r="Y235" i="5"/>
  <c r="X94" i="5"/>
  <c r="Y370" i="5"/>
  <c r="X370" i="5"/>
  <c r="Y397" i="5"/>
  <c r="X111" i="5"/>
  <c r="X495" i="5"/>
  <c r="Y105" i="5"/>
  <c r="Y396" i="5"/>
  <c r="X367" i="5"/>
  <c r="X414" i="5"/>
  <c r="X462" i="5"/>
  <c r="Y209" i="5"/>
  <c r="X459" i="5"/>
  <c r="Y459" i="5"/>
  <c r="X307" i="5"/>
  <c r="Y307" i="5"/>
  <c r="Y527" i="5"/>
  <c r="AH15" i="4"/>
  <c r="X534" i="5"/>
  <c r="X227" i="5"/>
  <c r="Y116" i="5"/>
  <c r="Y250" i="5"/>
  <c r="Y107" i="5"/>
  <c r="Y162" i="5"/>
  <c r="X295" i="5"/>
  <c r="Y49" i="5"/>
  <c r="X49" i="5"/>
  <c r="X413" i="5"/>
  <c r="X398" i="5"/>
  <c r="Y419" i="5"/>
  <c r="Y558" i="5"/>
  <c r="Y452" i="5"/>
  <c r="X452" i="5"/>
  <c r="X147" i="5"/>
  <c r="Y147" i="5"/>
  <c r="X47" i="5"/>
  <c r="Y47" i="5"/>
  <c r="Y446" i="5"/>
  <c r="X292" i="5"/>
  <c r="Y336" i="5"/>
  <c r="Y41" i="5"/>
  <c r="X347" i="5"/>
  <c r="Y364" i="5"/>
  <c r="Y185" i="5"/>
  <c r="Y37" i="5"/>
  <c r="Y362" i="5"/>
  <c r="Y411" i="5"/>
  <c r="Y144" i="5"/>
  <c r="Y308" i="5"/>
  <c r="X224" i="5"/>
  <c r="Y337" i="5"/>
  <c r="X231" i="5"/>
  <c r="X335" i="5"/>
  <c r="Y297" i="5"/>
  <c r="Y87" i="5"/>
  <c r="Y547" i="5"/>
  <c r="X547" i="5"/>
  <c r="Y318" i="5"/>
  <c r="X322" i="5"/>
  <c r="Y134" i="5"/>
  <c r="Y163" i="5"/>
  <c r="Y539" i="5"/>
  <c r="Y379" i="5"/>
  <c r="Y225" i="5"/>
  <c r="X457" i="5"/>
  <c r="Y325" i="5"/>
  <c r="X325" i="5"/>
  <c r="X489" i="5"/>
  <c r="Y489" i="5"/>
  <c r="X205" i="5"/>
  <c r="Y205" i="5"/>
  <c r="AJ11" i="5"/>
  <c r="AK11" i="5" s="1"/>
  <c r="AM84" i="4"/>
  <c r="W84" i="4"/>
  <c r="X138" i="5"/>
  <c r="Y499" i="5"/>
  <c r="X499" i="5"/>
  <c r="Y514" i="5"/>
  <c r="X203" i="5"/>
  <c r="Y103" i="5"/>
  <c r="X103" i="5"/>
  <c r="Y404" i="5"/>
  <c r="X404" i="5"/>
  <c r="X345" i="5"/>
  <c r="Y345" i="5"/>
  <c r="W9" i="5"/>
  <c r="T9" i="5"/>
  <c r="AG9" i="5"/>
  <c r="Q9" i="5"/>
  <c r="X118" i="5"/>
  <c r="Y118" i="5"/>
  <c r="X374" i="5"/>
  <c r="Y374" i="5"/>
  <c r="Y315" i="5"/>
  <c r="X315" i="5"/>
  <c r="X516" i="5"/>
  <c r="P326" i="5"/>
  <c r="P32" i="5"/>
  <c r="P375" i="5"/>
  <c r="P445" i="5"/>
  <c r="P93" i="5"/>
  <c r="P342" i="5"/>
  <c r="P195" i="5"/>
  <c r="P279" i="5"/>
  <c r="P242" i="5"/>
  <c r="P465" i="5"/>
  <c r="P263" i="5"/>
  <c r="P210" i="5"/>
  <c r="P72" i="5"/>
  <c r="P454" i="5"/>
  <c r="P270" i="5"/>
  <c r="P475" i="5"/>
  <c r="P254" i="5"/>
  <c r="P98" i="5"/>
  <c r="P460" i="5"/>
  <c r="P492" i="5"/>
  <c r="P282" i="5"/>
  <c r="P172" i="5"/>
  <c r="P132" i="5"/>
  <c r="P413" i="5"/>
  <c r="P438" i="5"/>
  <c r="P336" i="5"/>
  <c r="P428" i="5"/>
  <c r="P115" i="5"/>
  <c r="P140" i="5"/>
  <c r="P154" i="5"/>
  <c r="P528" i="5"/>
  <c r="P322" i="5"/>
  <c r="P398" i="5"/>
  <c r="P327" i="5"/>
  <c r="P332" i="5"/>
  <c r="P53" i="5"/>
  <c r="P213" i="5"/>
  <c r="P409" i="5"/>
  <c r="P385" i="5"/>
  <c r="P557" i="5"/>
  <c r="P560" i="5"/>
  <c r="P27" i="5"/>
  <c r="P36" i="5"/>
  <c r="P504" i="5"/>
  <c r="P266" i="5"/>
  <c r="P264" i="5"/>
  <c r="P468" i="5"/>
  <c r="P11" i="5"/>
  <c r="P476" i="5"/>
  <c r="P436" i="5"/>
  <c r="P146" i="5"/>
  <c r="P548" i="5"/>
  <c r="P78" i="5"/>
  <c r="P352" i="5"/>
  <c r="P104" i="5"/>
  <c r="P404" i="5"/>
  <c r="P382" i="5"/>
  <c r="P239" i="5"/>
  <c r="P33" i="5"/>
  <c r="P479" i="5"/>
  <c r="P247" i="5"/>
  <c r="P477" i="5"/>
  <c r="P143" i="5"/>
  <c r="P505" i="5"/>
  <c r="P538" i="5"/>
  <c r="P376" i="5"/>
  <c r="P121" i="5"/>
  <c r="P109" i="5"/>
  <c r="P388" i="5"/>
  <c r="P131" i="5"/>
  <c r="P373" i="5"/>
  <c r="P116" i="5"/>
  <c r="P537" i="5"/>
  <c r="P514" i="5"/>
  <c r="P499" i="5"/>
  <c r="P311" i="5"/>
  <c r="P387" i="5"/>
  <c r="P170" i="5"/>
  <c r="P248" i="5"/>
  <c r="P318" i="5"/>
  <c r="P293" i="5"/>
  <c r="P464" i="5"/>
  <c r="P128" i="5"/>
  <c r="P35" i="5"/>
  <c r="P22" i="5"/>
  <c r="P364" i="5"/>
  <c r="P530" i="5"/>
  <c r="P296" i="5"/>
  <c r="P486" i="5"/>
  <c r="P230" i="5"/>
  <c r="P452" i="5"/>
  <c r="P295" i="5"/>
  <c r="P187" i="5"/>
  <c r="P163" i="5"/>
  <c r="P66" i="5"/>
  <c r="P356" i="5"/>
  <c r="P369" i="5"/>
  <c r="P312" i="5"/>
  <c r="P51" i="5"/>
  <c r="P467" i="5"/>
  <c r="P12" i="5"/>
  <c r="P134" i="5"/>
  <c r="P501" i="5"/>
  <c r="P315" i="5"/>
  <c r="P152" i="5"/>
  <c r="P106" i="5"/>
  <c r="P67" i="5"/>
  <c r="P240" i="5"/>
  <c r="P553" i="5"/>
  <c r="P357" i="5"/>
  <c r="P473" i="5"/>
  <c r="P105" i="5"/>
  <c r="P396" i="5"/>
  <c r="P215" i="5"/>
  <c r="P150" i="5"/>
  <c r="P194" i="5"/>
  <c r="P103" i="5"/>
  <c r="P304" i="5"/>
  <c r="P75" i="5"/>
  <c r="P201" i="5"/>
  <c r="P298" i="5"/>
  <c r="P457" i="5"/>
  <c r="P395" i="5"/>
  <c r="P427" i="5"/>
  <c r="P156" i="5"/>
  <c r="P56" i="5"/>
  <c r="P219" i="5"/>
  <c r="P258" i="5"/>
  <c r="P453" i="5"/>
  <c r="P419" i="5"/>
  <c r="P440" i="5"/>
  <c r="P372" i="5"/>
  <c r="P144" i="5"/>
  <c r="P439" i="5"/>
  <c r="P273" i="5"/>
  <c r="P392" i="5"/>
  <c r="P28" i="5"/>
  <c r="P435" i="5"/>
  <c r="P474" i="5"/>
  <c r="P490" i="5"/>
  <c r="P100" i="5"/>
  <c r="P168" i="5"/>
  <c r="P19" i="5"/>
  <c r="P360" i="5"/>
  <c r="P193" i="5"/>
  <c r="P160" i="5"/>
  <c r="P124" i="5"/>
  <c r="P229" i="5"/>
  <c r="P255" i="5"/>
  <c r="P299" i="5"/>
  <c r="P268" i="5"/>
  <c r="P54" i="5"/>
  <c r="P503" i="5"/>
  <c r="P207" i="5"/>
  <c r="P543" i="5"/>
  <c r="P149" i="5"/>
  <c r="P44" i="5"/>
  <c r="P80" i="5"/>
  <c r="P269" i="5"/>
  <c r="P158" i="5"/>
  <c r="P523" i="5"/>
  <c r="P233" i="5"/>
  <c r="P330" i="5"/>
  <c r="P378" i="5"/>
  <c r="P192" i="5"/>
  <c r="P246" i="5"/>
  <c r="P200" i="5"/>
  <c r="P287" i="5"/>
  <c r="P232" i="5"/>
  <c r="P88" i="5"/>
  <c r="P218" i="5"/>
  <c r="P259" i="5"/>
  <c r="P231" i="5"/>
  <c r="P161" i="5"/>
  <c r="P549" i="5"/>
  <c r="P175" i="5"/>
  <c r="P433" i="5"/>
  <c r="P281" i="5"/>
  <c r="P502" i="5"/>
  <c r="P24" i="5"/>
  <c r="P120" i="5"/>
  <c r="P506" i="5"/>
  <c r="P112" i="5"/>
  <c r="P97" i="5"/>
  <c r="P459" i="5"/>
  <c r="P173" i="5"/>
  <c r="P74" i="5"/>
  <c r="P493" i="5"/>
  <c r="P344" i="5"/>
  <c r="P186" i="5"/>
  <c r="P339" i="5"/>
  <c r="P346" i="5"/>
  <c r="P145" i="5"/>
  <c r="P226" i="5"/>
  <c r="P489" i="5"/>
  <c r="P261" i="5"/>
  <c r="P370" i="5"/>
  <c r="P283" i="5"/>
  <c r="P221" i="5"/>
  <c r="P46" i="5"/>
  <c r="P554" i="5"/>
  <c r="P177" i="5"/>
  <c r="P516" i="5"/>
  <c r="P358" i="5"/>
  <c r="P447" i="5"/>
  <c r="P204" i="5"/>
  <c r="P275" i="5"/>
  <c r="P434" i="5"/>
  <c r="P211" i="5"/>
  <c r="P85" i="5"/>
  <c r="P38" i="5"/>
  <c r="P350" i="5"/>
  <c r="P71" i="5"/>
  <c r="P485" i="5"/>
  <c r="P271" i="5"/>
  <c r="P43" i="5"/>
  <c r="P250" i="5"/>
  <c r="P559" i="5"/>
  <c r="P73" i="5"/>
  <c r="P347" i="5"/>
  <c r="P49" i="5"/>
  <c r="P472" i="5"/>
  <c r="P48" i="5"/>
  <c r="P110" i="5"/>
  <c r="P442" i="5"/>
  <c r="P420" i="5"/>
  <c r="P400" i="5"/>
  <c r="P397" i="5"/>
  <c r="P34" i="5"/>
  <c r="P203" i="5"/>
  <c r="P519" i="5"/>
  <c r="P123" i="5"/>
  <c r="P113" i="5"/>
  <c r="P305" i="5"/>
  <c r="P243" i="5"/>
  <c r="P47" i="5"/>
  <c r="P386" i="5"/>
  <c r="P313" i="5"/>
  <c r="P424" i="5"/>
  <c r="P328" i="5"/>
  <c r="P402" i="5"/>
  <c r="P294" i="5"/>
  <c r="P343" i="5"/>
  <c r="P359" i="5"/>
  <c r="P61" i="5"/>
  <c r="P354" i="5"/>
  <c r="P544" i="5"/>
  <c r="P345" i="5"/>
  <c r="P63" i="5"/>
  <c r="P135" i="5"/>
  <c r="P362" i="5"/>
  <c r="P165" i="5"/>
  <c r="P507" i="5"/>
  <c r="P338" i="5"/>
  <c r="P518" i="5"/>
  <c r="P421" i="5"/>
  <c r="P69" i="5"/>
  <c r="P183" i="5"/>
  <c r="P290" i="5"/>
  <c r="P510" i="5"/>
  <c r="P300" i="5"/>
  <c r="P189" i="5"/>
  <c r="P23" i="5"/>
  <c r="P462" i="5"/>
  <c r="P59" i="5"/>
  <c r="P450" i="5"/>
  <c r="P306" i="5"/>
  <c r="P374" i="5"/>
  <c r="P353" i="5"/>
  <c r="P535" i="5"/>
  <c r="P235" i="5"/>
  <c r="P301" i="5"/>
  <c r="P209" i="5"/>
  <c r="P390" i="5"/>
  <c r="P65" i="5"/>
  <c r="P317" i="5"/>
  <c r="P81" i="5"/>
  <c r="P237" i="5"/>
  <c r="P202" i="5"/>
  <c r="P176" i="5"/>
  <c r="P236" i="5"/>
  <c r="P188" i="5"/>
  <c r="P451" i="5"/>
  <c r="P411" i="5"/>
  <c r="P122" i="5"/>
  <c r="P547" i="5"/>
  <c r="P83" i="5"/>
  <c r="P274" i="5"/>
  <c r="P129" i="5"/>
  <c r="P111" i="5"/>
  <c r="P491" i="5"/>
  <c r="P166" i="5"/>
  <c r="P288" i="5"/>
  <c r="P214" i="5"/>
  <c r="P449" i="5"/>
  <c r="P363" i="5"/>
  <c r="P77" i="5"/>
  <c r="P171" i="5"/>
  <c r="P216" i="5"/>
  <c r="P431" i="5"/>
  <c r="P119" i="5"/>
  <c r="P245" i="5"/>
  <c r="P463" i="5"/>
  <c r="P222" i="5"/>
  <c r="P118" i="5"/>
  <c r="P552" i="5"/>
  <c r="P205" i="5"/>
  <c r="P401" i="5"/>
  <c r="P280" i="5"/>
  <c r="P522" i="5"/>
  <c r="P422" i="5"/>
  <c r="P84" i="5"/>
  <c r="P94" i="5"/>
  <c r="P368" i="5"/>
  <c r="P456" i="5"/>
  <c r="P86" i="5"/>
  <c r="P414" i="5"/>
  <c r="P515" i="5"/>
  <c r="P162" i="5"/>
  <c r="P92" i="5"/>
  <c r="P484" i="5"/>
  <c r="P31" i="5"/>
  <c r="P334" i="5"/>
  <c r="P52" i="5"/>
  <c r="P406" i="5"/>
  <c r="P249" i="5"/>
  <c r="P126" i="5"/>
  <c r="P418" i="5"/>
  <c r="P212" i="5"/>
  <c r="P366" i="5"/>
  <c r="P417" i="5"/>
  <c r="P539" i="5"/>
  <c r="P365" i="5"/>
  <c r="P335" i="5"/>
  <c r="P348" i="5"/>
  <c r="P310" i="5"/>
  <c r="P542" i="5"/>
  <c r="P532" i="5"/>
  <c r="P470" i="5"/>
  <c r="P130" i="5"/>
  <c r="P89" i="5"/>
  <c r="P276" i="5"/>
  <c r="P471" i="5"/>
  <c r="P399" i="5"/>
  <c r="P29" i="5"/>
  <c r="P244" i="5"/>
  <c r="P410" i="5"/>
  <c r="P153" i="5"/>
  <c r="P308" i="5"/>
  <c r="P540" i="5"/>
  <c r="P147" i="5"/>
  <c r="P164" i="5"/>
  <c r="P408" i="5"/>
  <c r="P319" i="5"/>
  <c r="P511" i="5"/>
  <c r="P320" i="5"/>
  <c r="P443" i="5"/>
  <c r="P289" i="5"/>
  <c r="P50" i="5"/>
  <c r="P151" i="5"/>
  <c r="P291" i="5"/>
  <c r="P480" i="5"/>
  <c r="P37" i="5"/>
  <c r="P531" i="5"/>
  <c r="P534" i="5"/>
  <c r="P225" i="5"/>
  <c r="P136" i="5"/>
  <c r="P526" i="5"/>
  <c r="P224" i="5"/>
  <c r="P333" i="5"/>
  <c r="P340" i="5"/>
  <c r="P556" i="5"/>
  <c r="P430" i="5"/>
  <c r="P96" i="5"/>
  <c r="P139" i="5"/>
  <c r="P384" i="5"/>
  <c r="P496" i="5"/>
  <c r="P91" i="5"/>
  <c r="P355" i="5"/>
  <c r="P558" i="5"/>
  <c r="P208" i="5"/>
  <c r="P142" i="5"/>
  <c r="P533" i="5"/>
  <c r="P181" i="5"/>
  <c r="P377" i="5"/>
  <c r="P198" i="5"/>
  <c r="P498" i="5"/>
  <c r="P278" i="5"/>
  <c r="P10" i="5"/>
  <c r="P114" i="5"/>
  <c r="P323" i="5"/>
  <c r="P525" i="5"/>
  <c r="P513" i="5"/>
  <c r="P512" i="5"/>
  <c r="P367" i="5"/>
  <c r="P90" i="5"/>
  <c r="P196" i="5"/>
  <c r="P316" i="5"/>
  <c r="P536" i="5"/>
  <c r="P148" i="5"/>
  <c r="P551" i="5"/>
  <c r="P546" i="5"/>
  <c r="P455" i="5"/>
  <c r="P79" i="5"/>
  <c r="P541" i="5"/>
  <c r="P241" i="5"/>
  <c r="P314" i="5"/>
  <c r="P285" i="5"/>
  <c r="P500" i="5"/>
  <c r="P302" i="5"/>
  <c r="P39" i="5"/>
  <c r="P101" i="5"/>
  <c r="P303" i="5"/>
  <c r="P371" i="5"/>
  <c r="P62" i="5"/>
  <c r="P307" i="5"/>
  <c r="P68" i="5"/>
  <c r="P169" i="5"/>
  <c r="P416" i="5"/>
  <c r="P412" i="5"/>
  <c r="P41" i="5"/>
  <c r="P555" i="5"/>
  <c r="P127" i="5"/>
  <c r="P379" i="5"/>
  <c r="P117" i="5"/>
  <c r="P297" i="5"/>
  <c r="P260" i="5"/>
  <c r="P8" i="5"/>
  <c r="P108" i="5"/>
  <c r="P337" i="5"/>
  <c r="P481" i="5"/>
  <c r="P448" i="5"/>
  <c r="P125" i="5"/>
  <c r="P425" i="5"/>
  <c r="P178" i="5"/>
  <c r="P157" i="5"/>
  <c r="P466" i="5"/>
  <c r="P137" i="5"/>
  <c r="P426" i="5"/>
  <c r="P228" i="5"/>
  <c r="P380" i="5"/>
  <c r="P361" i="5"/>
  <c r="P42" i="5"/>
  <c r="P159" i="5"/>
  <c r="P383" i="5"/>
  <c r="P461" i="5"/>
  <c r="P441" i="5"/>
  <c r="P517" i="5"/>
  <c r="P381" i="5"/>
  <c r="P190" i="5"/>
  <c r="P107" i="5"/>
  <c r="P509" i="5"/>
  <c r="P99" i="5"/>
  <c r="P238" i="5"/>
  <c r="P95" i="5"/>
  <c r="P284" i="5"/>
  <c r="P253" i="5"/>
  <c r="P217" i="5"/>
  <c r="P21" i="5"/>
  <c r="P286" i="5"/>
  <c r="P437" i="5"/>
  <c r="P469" i="5"/>
  <c r="P394" i="5"/>
  <c r="P251" i="5"/>
  <c r="P60" i="5"/>
  <c r="P155" i="5"/>
  <c r="P331" i="5"/>
  <c r="P521" i="5"/>
  <c r="P58" i="5"/>
  <c r="P446" i="5"/>
  <c r="P432" i="5"/>
  <c r="P483" i="5"/>
  <c r="P351" i="5"/>
  <c r="P527" i="5"/>
  <c r="P257" i="5"/>
  <c r="P197" i="5"/>
  <c r="P482" i="5"/>
  <c r="P444" i="5"/>
  <c r="P429" i="5"/>
  <c r="P234" i="5"/>
  <c r="P184" i="5"/>
  <c r="P141" i="5"/>
  <c r="P277" i="5"/>
  <c r="P341" i="5"/>
  <c r="P87" i="5"/>
  <c r="P185" i="5"/>
  <c r="P64" i="5"/>
  <c r="P70" i="5"/>
  <c r="P550" i="5"/>
  <c r="P138" i="5"/>
  <c r="P191" i="5"/>
  <c r="P30" i="5"/>
  <c r="P524" i="5"/>
  <c r="P13" i="5"/>
  <c r="P494" i="5"/>
  <c r="P223" i="5"/>
  <c r="P252" i="5"/>
  <c r="P57" i="5"/>
  <c r="P262" i="5"/>
  <c r="P520" i="5"/>
  <c r="P403" i="5"/>
  <c r="P423" i="5"/>
  <c r="P206" i="5"/>
  <c r="P133" i="5"/>
  <c r="P76" i="5"/>
  <c r="P407" i="5"/>
  <c r="P26" i="5"/>
  <c r="P324" i="5"/>
  <c r="P220" i="5"/>
  <c r="P292" i="5"/>
  <c r="P309" i="5"/>
  <c r="P40" i="5"/>
  <c r="P82" i="5"/>
  <c r="P329" i="5"/>
  <c r="P497" i="5"/>
  <c r="P389" i="5"/>
  <c r="P349" i="5"/>
  <c r="P265" i="5"/>
  <c r="P179" i="5"/>
  <c r="P45" i="5"/>
  <c r="P488" i="5"/>
  <c r="P180" i="5"/>
  <c r="P321" i="5"/>
  <c r="P415" i="5"/>
  <c r="P267" i="5"/>
  <c r="P174" i="5"/>
  <c r="P167" i="5"/>
  <c r="P20" i="5"/>
  <c r="P227" i="5"/>
  <c r="P393" i="5"/>
  <c r="P256" i="5"/>
  <c r="P529" i="5"/>
  <c r="P272" i="5"/>
  <c r="P9" i="5"/>
  <c r="P102" i="5"/>
  <c r="P199" i="5"/>
  <c r="P508" i="5"/>
  <c r="P478" i="5"/>
  <c r="P25" i="5"/>
  <c r="P325" i="5"/>
  <c r="P545" i="5"/>
  <c r="P458" i="5"/>
  <c r="P495" i="5"/>
  <c r="P182" i="5"/>
  <c r="P55" i="5"/>
  <c r="P391" i="5"/>
  <c r="P405" i="5"/>
  <c r="S474" i="5"/>
  <c r="R474" i="5"/>
  <c r="R548" i="5"/>
  <c r="S548" i="5"/>
  <c r="R525" i="5"/>
  <c r="S525" i="5"/>
  <c r="S36" i="5"/>
  <c r="R36" i="5"/>
  <c r="R134" i="5"/>
  <c r="S134" i="5"/>
  <c r="R397" i="5"/>
  <c r="S397" i="5"/>
  <c r="S501" i="5"/>
  <c r="R501" i="5"/>
  <c r="R394" i="5"/>
  <c r="S394" i="5"/>
  <c r="R157" i="5"/>
  <c r="S157" i="5"/>
  <c r="R194" i="5"/>
  <c r="S194" i="5"/>
  <c r="S270" i="5"/>
  <c r="R270" i="5"/>
  <c r="R286" i="5"/>
  <c r="S286" i="5"/>
  <c r="R214" i="5"/>
  <c r="S214" i="5"/>
  <c r="R241" i="5"/>
  <c r="S241" i="5"/>
  <c r="R190" i="5"/>
  <c r="S190" i="5"/>
  <c r="S132" i="5"/>
  <c r="R132" i="5"/>
  <c r="R162" i="5"/>
  <c r="S162" i="5"/>
  <c r="S530" i="5"/>
  <c r="R530" i="5"/>
  <c r="S483" i="5"/>
  <c r="R483" i="5"/>
  <c r="R282" i="5"/>
  <c r="S282" i="5"/>
  <c r="S211" i="5"/>
  <c r="R211" i="5"/>
  <c r="R171" i="5"/>
  <c r="S171" i="5"/>
  <c r="R121" i="5"/>
  <c r="S121" i="5"/>
  <c r="R61" i="5"/>
  <c r="S61" i="5"/>
  <c r="S522" i="5"/>
  <c r="R522" i="5"/>
  <c r="S477" i="5"/>
  <c r="R477" i="5"/>
  <c r="R370" i="5"/>
  <c r="S370" i="5"/>
  <c r="S257" i="5"/>
  <c r="R257" i="5"/>
  <c r="R313" i="5"/>
  <c r="S313" i="5"/>
  <c r="R164" i="5"/>
  <c r="S164" i="5"/>
  <c r="S89" i="5"/>
  <c r="R89" i="5"/>
  <c r="S42" i="5"/>
  <c r="R42" i="5"/>
  <c r="S518" i="5"/>
  <c r="R518" i="5"/>
  <c r="R473" i="5"/>
  <c r="S473" i="5"/>
  <c r="R249" i="5"/>
  <c r="S249" i="5"/>
  <c r="S141" i="5"/>
  <c r="R141" i="5"/>
  <c r="R233" i="5"/>
  <c r="S233" i="5"/>
  <c r="S105" i="5"/>
  <c r="R105" i="5"/>
  <c r="R63" i="5"/>
  <c r="S63" i="5"/>
  <c r="S443" i="5"/>
  <c r="R443" i="5"/>
  <c r="R467" i="5"/>
  <c r="S467" i="5"/>
  <c r="R351" i="5"/>
  <c r="S351" i="5"/>
  <c r="S350" i="5"/>
  <c r="R350" i="5"/>
  <c r="S299" i="5"/>
  <c r="R299" i="5"/>
  <c r="R183" i="5"/>
  <c r="S183" i="5"/>
  <c r="S103" i="5"/>
  <c r="R103" i="5"/>
  <c r="S26" i="5"/>
  <c r="R26" i="5"/>
  <c r="S502" i="5"/>
  <c r="R502" i="5"/>
  <c r="S468" i="5"/>
  <c r="R468" i="5"/>
  <c r="S442" i="5"/>
  <c r="R442" i="5"/>
  <c r="S326" i="5"/>
  <c r="R326" i="5"/>
  <c r="S228" i="5"/>
  <c r="R228" i="5"/>
  <c r="R83" i="5"/>
  <c r="S83" i="5"/>
  <c r="R58" i="5"/>
  <c r="S58" i="5"/>
  <c r="R364" i="5"/>
  <c r="S364" i="5"/>
  <c r="R452" i="5"/>
  <c r="S452" i="5"/>
  <c r="R338" i="5"/>
  <c r="S338" i="5"/>
  <c r="S346" i="5"/>
  <c r="R346" i="5"/>
  <c r="S291" i="5"/>
  <c r="R291" i="5"/>
  <c r="S179" i="5"/>
  <c r="R179" i="5"/>
  <c r="R82" i="5"/>
  <c r="S82" i="5"/>
  <c r="S516" i="5"/>
  <c r="R516" i="5"/>
  <c r="S444" i="5"/>
  <c r="R444" i="5"/>
  <c r="S387" i="5"/>
  <c r="R387" i="5"/>
  <c r="S407" i="5"/>
  <c r="R407" i="5"/>
  <c r="R285" i="5"/>
  <c r="S285" i="5"/>
  <c r="R107" i="5"/>
  <c r="S107" i="5"/>
  <c r="R100" i="5"/>
  <c r="S100" i="5"/>
  <c r="S50" i="5"/>
  <c r="R50" i="5"/>
  <c r="S383" i="5"/>
  <c r="R383" i="5"/>
  <c r="S521" i="5"/>
  <c r="R521" i="5"/>
  <c r="S495" i="5"/>
  <c r="R495" i="5"/>
  <c r="R542" i="5"/>
  <c r="S542" i="5"/>
  <c r="R459" i="5"/>
  <c r="S459" i="5"/>
  <c r="S119" i="5"/>
  <c r="R119" i="5"/>
  <c r="R205" i="5"/>
  <c r="S205" i="5"/>
  <c r="R325" i="5"/>
  <c r="S325" i="5"/>
  <c r="S310" i="5"/>
  <c r="R310" i="5"/>
  <c r="S303" i="5"/>
  <c r="R303" i="5"/>
  <c r="S66" i="5"/>
  <c r="R66" i="5"/>
  <c r="S244" i="5"/>
  <c r="R244" i="5"/>
  <c r="R139" i="5"/>
  <c r="S139" i="5"/>
  <c r="S158" i="5"/>
  <c r="R158" i="5"/>
  <c r="R131" i="5"/>
  <c r="S131" i="5"/>
  <c r="R109" i="5"/>
  <c r="S109" i="5"/>
  <c r="R93" i="5"/>
  <c r="S93" i="5"/>
  <c r="R484" i="5"/>
  <c r="S484" i="5"/>
  <c r="S461" i="5"/>
  <c r="R461" i="5"/>
  <c r="S438" i="5"/>
  <c r="R438" i="5"/>
  <c r="S307" i="5"/>
  <c r="R307" i="5"/>
  <c r="R219" i="5"/>
  <c r="S219" i="5"/>
  <c r="R149" i="5"/>
  <c r="S149" i="5"/>
  <c r="R38" i="5"/>
  <c r="S38" i="5"/>
  <c r="R552" i="5"/>
  <c r="S552" i="5"/>
  <c r="S435" i="5"/>
  <c r="R435" i="5"/>
  <c r="R263" i="5"/>
  <c r="S263" i="5"/>
  <c r="R329" i="5"/>
  <c r="S329" i="5"/>
  <c r="R269" i="5"/>
  <c r="S269" i="5"/>
  <c r="S166" i="5"/>
  <c r="R166" i="5"/>
  <c r="S110" i="5"/>
  <c r="R110" i="5"/>
  <c r="S19" i="5"/>
  <c r="R19" i="5"/>
  <c r="R465" i="5"/>
  <c r="S465" i="5"/>
  <c r="R453" i="5"/>
  <c r="S453" i="5"/>
  <c r="S423" i="5"/>
  <c r="R423" i="5"/>
  <c r="R300" i="5"/>
  <c r="S300" i="5"/>
  <c r="R191" i="5"/>
  <c r="S191" i="5"/>
  <c r="R140" i="5"/>
  <c r="S140" i="5"/>
  <c r="R59" i="5"/>
  <c r="S59" i="5"/>
  <c r="R532" i="5"/>
  <c r="S532" i="5"/>
  <c r="R422" i="5"/>
  <c r="S422" i="5"/>
  <c r="S414" i="5"/>
  <c r="R414" i="5"/>
  <c r="S317" i="5"/>
  <c r="R317" i="5"/>
  <c r="R246" i="5"/>
  <c r="S246" i="5"/>
  <c r="R145" i="5"/>
  <c r="S145" i="5"/>
  <c r="R87" i="5"/>
  <c r="S87" i="5"/>
  <c r="S539" i="5"/>
  <c r="R539" i="5"/>
  <c r="S449" i="5"/>
  <c r="R449" i="5"/>
  <c r="R393" i="5"/>
  <c r="S393" i="5"/>
  <c r="S411" i="5"/>
  <c r="R411" i="5"/>
  <c r="R293" i="5"/>
  <c r="S293" i="5"/>
  <c r="S186" i="5"/>
  <c r="R186" i="5"/>
  <c r="R125" i="5"/>
  <c r="S125" i="5"/>
  <c r="S27" i="5"/>
  <c r="R27" i="5"/>
  <c r="R508" i="5"/>
  <c r="S508" i="5"/>
  <c r="R410" i="5"/>
  <c r="S410" i="5"/>
  <c r="R404" i="5"/>
  <c r="S404" i="5"/>
  <c r="S309" i="5"/>
  <c r="R309" i="5"/>
  <c r="R213" i="5"/>
  <c r="S213" i="5"/>
  <c r="S188" i="5"/>
  <c r="R188" i="5"/>
  <c r="S95" i="5"/>
  <c r="R95" i="5"/>
  <c r="R544" i="5"/>
  <c r="S544" i="5"/>
  <c r="S510" i="5"/>
  <c r="R510" i="5"/>
  <c r="S412" i="5"/>
  <c r="R412" i="5"/>
  <c r="R372" i="5"/>
  <c r="S372" i="5"/>
  <c r="S229" i="5"/>
  <c r="R229" i="5"/>
  <c r="R199" i="5"/>
  <c r="S199" i="5"/>
  <c r="R137" i="5"/>
  <c r="S137" i="5"/>
  <c r="S25" i="5"/>
  <c r="R25" i="5"/>
  <c r="R262" i="5"/>
  <c r="S262" i="5"/>
  <c r="R267" i="5"/>
  <c r="S267" i="5"/>
  <c r="S405" i="5"/>
  <c r="R405" i="5"/>
  <c r="R511" i="5"/>
  <c r="S511" i="5"/>
  <c r="R490" i="5"/>
  <c r="S490" i="5"/>
  <c r="R537" i="5"/>
  <c r="S537" i="5"/>
  <c r="S65" i="5"/>
  <c r="R65" i="5"/>
  <c r="R49" i="5"/>
  <c r="S49" i="5"/>
  <c r="R54" i="5"/>
  <c r="S54" i="5"/>
  <c r="R528" i="5"/>
  <c r="S528" i="5"/>
  <c r="R428" i="5"/>
  <c r="S428" i="5"/>
  <c r="S122" i="5"/>
  <c r="R122" i="5"/>
  <c r="R78" i="5"/>
  <c r="S78" i="5"/>
  <c r="S37" i="5"/>
  <c r="R37" i="5"/>
  <c r="S34" i="5"/>
  <c r="R34" i="5"/>
  <c r="R39" i="5"/>
  <c r="S39" i="5"/>
  <c r="S505" i="5"/>
  <c r="R505" i="5"/>
  <c r="S437" i="5"/>
  <c r="R437" i="5"/>
  <c r="S381" i="5"/>
  <c r="R381" i="5"/>
  <c r="R396" i="5"/>
  <c r="S396" i="5"/>
  <c r="R281" i="5"/>
  <c r="S281" i="5"/>
  <c r="R251" i="5"/>
  <c r="S251" i="5"/>
  <c r="S98" i="5"/>
  <c r="R98" i="5"/>
  <c r="R46" i="5"/>
  <c r="S46" i="5"/>
  <c r="S481" i="5"/>
  <c r="R481" i="5"/>
  <c r="R337" i="5"/>
  <c r="S337" i="5"/>
  <c r="R388" i="5"/>
  <c r="S388" i="5"/>
  <c r="R287" i="5"/>
  <c r="S287" i="5"/>
  <c r="S101" i="5"/>
  <c r="R101" i="5"/>
  <c r="S163" i="5"/>
  <c r="R163" i="5"/>
  <c r="R91" i="5"/>
  <c r="S91" i="5"/>
  <c r="R429" i="5"/>
  <c r="S429" i="5"/>
  <c r="S342" i="5"/>
  <c r="R342" i="5"/>
  <c r="S359" i="5"/>
  <c r="R359" i="5"/>
  <c r="S386" i="5"/>
  <c r="R386" i="5"/>
  <c r="S259" i="5"/>
  <c r="R259" i="5"/>
  <c r="S238" i="5"/>
  <c r="R238" i="5"/>
  <c r="R154" i="5"/>
  <c r="S154" i="5"/>
  <c r="S35" i="5"/>
  <c r="R35" i="5"/>
  <c r="S447" i="5"/>
  <c r="R447" i="5"/>
  <c r="S252" i="5"/>
  <c r="R252" i="5"/>
  <c r="S379" i="5"/>
  <c r="R379" i="5"/>
  <c r="R278" i="5"/>
  <c r="S278" i="5"/>
  <c r="S237" i="5"/>
  <c r="R237" i="5"/>
  <c r="S92" i="5"/>
  <c r="R92" i="5"/>
  <c r="S77" i="5"/>
  <c r="R77" i="5"/>
  <c r="R403" i="5"/>
  <c r="S403" i="5"/>
  <c r="S520" i="5"/>
  <c r="R520" i="5"/>
  <c r="S421" i="5"/>
  <c r="R421" i="5"/>
  <c r="R380" i="5"/>
  <c r="S380" i="5"/>
  <c r="S253" i="5"/>
  <c r="R253" i="5"/>
  <c r="S235" i="5"/>
  <c r="R235" i="5"/>
  <c r="S151" i="5"/>
  <c r="R151" i="5"/>
  <c r="S30" i="5"/>
  <c r="R30" i="5"/>
  <c r="R559" i="5"/>
  <c r="S559" i="5"/>
  <c r="R524" i="5"/>
  <c r="S524" i="5"/>
  <c r="R365" i="5"/>
  <c r="S365" i="5"/>
  <c r="S275" i="5"/>
  <c r="R275" i="5"/>
  <c r="S231" i="5"/>
  <c r="R231" i="5"/>
  <c r="R155" i="5"/>
  <c r="S155" i="5"/>
  <c r="S71" i="5"/>
  <c r="R71" i="5"/>
  <c r="R558" i="5"/>
  <c r="S558" i="5"/>
  <c r="S486" i="5"/>
  <c r="R486" i="5"/>
  <c r="R377" i="5"/>
  <c r="S377" i="5"/>
  <c r="S289" i="5"/>
  <c r="R289" i="5"/>
  <c r="S323" i="5"/>
  <c r="R323" i="5"/>
  <c r="S178" i="5"/>
  <c r="R178" i="5"/>
  <c r="S108" i="5"/>
  <c r="R108" i="5"/>
  <c r="S47" i="5"/>
  <c r="R47" i="5"/>
  <c r="S212" i="5"/>
  <c r="R212" i="5"/>
  <c r="R148" i="5"/>
  <c r="S148" i="5"/>
  <c r="S193" i="5"/>
  <c r="R193" i="5"/>
  <c r="S260" i="5"/>
  <c r="R260" i="5"/>
  <c r="R22" i="5"/>
  <c r="S22" i="5"/>
  <c r="R560" i="5"/>
  <c r="S560" i="5"/>
  <c r="S182" i="5"/>
  <c r="R182" i="5"/>
  <c r="S462" i="5"/>
  <c r="R462" i="5"/>
  <c r="R97" i="5"/>
  <c r="S97" i="5"/>
  <c r="R62" i="5"/>
  <c r="S62" i="5"/>
  <c r="S84" i="5"/>
  <c r="R84" i="5"/>
  <c r="S458" i="5"/>
  <c r="R458" i="5"/>
  <c r="R513" i="5"/>
  <c r="S513" i="5"/>
  <c r="R507" i="5"/>
  <c r="S507" i="5"/>
  <c r="S551" i="5"/>
  <c r="R551" i="5"/>
  <c r="S533" i="5"/>
  <c r="R533" i="5"/>
  <c r="R506" i="5"/>
  <c r="S506" i="5"/>
  <c r="R406" i="5"/>
  <c r="S406" i="5"/>
  <c r="S371" i="5"/>
  <c r="R371" i="5"/>
  <c r="R218" i="5"/>
  <c r="S218" i="5"/>
  <c r="R198" i="5"/>
  <c r="S198" i="5"/>
  <c r="S135" i="5"/>
  <c r="R135" i="5"/>
  <c r="R43" i="5"/>
  <c r="S43" i="5"/>
  <c r="S545" i="5"/>
  <c r="R545" i="5"/>
  <c r="S519" i="5"/>
  <c r="R519" i="5"/>
  <c r="S354" i="5"/>
  <c r="R354" i="5"/>
  <c r="S265" i="5"/>
  <c r="R265" i="5"/>
  <c r="S217" i="5"/>
  <c r="R217" i="5"/>
  <c r="R147" i="5"/>
  <c r="S147" i="5"/>
  <c r="S81" i="5"/>
  <c r="R81" i="5"/>
  <c r="R466" i="5"/>
  <c r="S466" i="5"/>
  <c r="S492" i="5"/>
  <c r="R492" i="5"/>
  <c r="S398" i="5"/>
  <c r="R398" i="5"/>
  <c r="S334" i="5"/>
  <c r="R334" i="5"/>
  <c r="R196" i="5"/>
  <c r="S196" i="5"/>
  <c r="R181" i="5"/>
  <c r="S181" i="5"/>
  <c r="S123" i="5"/>
  <c r="R123" i="5"/>
  <c r="R23" i="5"/>
  <c r="S23" i="5"/>
  <c r="S541" i="5"/>
  <c r="R541" i="5"/>
  <c r="S503" i="5"/>
  <c r="R503" i="5"/>
  <c r="R343" i="5"/>
  <c r="S343" i="5"/>
  <c r="R243" i="5"/>
  <c r="S243" i="5"/>
  <c r="S206" i="5"/>
  <c r="R206" i="5"/>
  <c r="R129" i="5"/>
  <c r="S129" i="5"/>
  <c r="S70" i="5"/>
  <c r="R70" i="5"/>
  <c r="S557" i="5"/>
  <c r="R557" i="5"/>
  <c r="S489" i="5"/>
  <c r="R489" i="5"/>
  <c r="S395" i="5"/>
  <c r="R395" i="5"/>
  <c r="R306" i="5"/>
  <c r="S306" i="5"/>
  <c r="S331" i="5"/>
  <c r="R331" i="5"/>
  <c r="R202" i="5"/>
  <c r="S202" i="5"/>
  <c r="R117" i="5"/>
  <c r="S117" i="5"/>
  <c r="R20" i="5"/>
  <c r="S20" i="5"/>
  <c r="R536" i="5"/>
  <c r="S536" i="5"/>
  <c r="R500" i="5"/>
  <c r="S500" i="5"/>
  <c r="S314" i="5"/>
  <c r="R314" i="5"/>
  <c r="R223" i="5"/>
  <c r="S223" i="5"/>
  <c r="S204" i="5"/>
  <c r="R204" i="5"/>
  <c r="S126" i="5"/>
  <c r="R126" i="5"/>
  <c r="S69" i="5"/>
  <c r="R69" i="5"/>
  <c r="S550" i="5"/>
  <c r="R550" i="5"/>
  <c r="S446" i="5"/>
  <c r="R446" i="5"/>
  <c r="S327" i="5"/>
  <c r="R327" i="5"/>
  <c r="R341" i="5"/>
  <c r="S341" i="5"/>
  <c r="R284" i="5"/>
  <c r="S284" i="5"/>
  <c r="R175" i="5"/>
  <c r="S175" i="5"/>
  <c r="S44" i="5"/>
  <c r="R44" i="5"/>
  <c r="R311" i="5"/>
  <c r="S311" i="5"/>
  <c r="S222" i="5"/>
  <c r="R222" i="5"/>
  <c r="S215" i="5"/>
  <c r="R215" i="5"/>
  <c r="R209" i="5"/>
  <c r="S209" i="5"/>
  <c r="S333" i="5"/>
  <c r="R333" i="5"/>
  <c r="S127" i="5"/>
  <c r="R127" i="5"/>
  <c r="R116" i="5"/>
  <c r="S116" i="5"/>
  <c r="S439" i="5"/>
  <c r="R439" i="5"/>
  <c r="S113" i="5"/>
  <c r="R113" i="5"/>
  <c r="R167" i="5"/>
  <c r="S167" i="5"/>
  <c r="S543" i="5"/>
  <c r="R543" i="5"/>
  <c r="S362" i="5"/>
  <c r="R362" i="5"/>
  <c r="S493" i="5"/>
  <c r="R493" i="5"/>
  <c r="S470" i="5"/>
  <c r="R470" i="5"/>
  <c r="R434" i="5"/>
  <c r="S434" i="5"/>
  <c r="R549" i="5"/>
  <c r="S549" i="5"/>
  <c r="R482" i="5"/>
  <c r="S482" i="5"/>
  <c r="R374" i="5"/>
  <c r="S374" i="5"/>
  <c r="S273" i="5"/>
  <c r="R273" i="5"/>
  <c r="R316" i="5"/>
  <c r="S316" i="5"/>
  <c r="S170" i="5"/>
  <c r="R170" i="5"/>
  <c r="S99" i="5"/>
  <c r="R99" i="5"/>
  <c r="S45" i="5"/>
  <c r="R45" i="5"/>
  <c r="S529" i="5"/>
  <c r="R529" i="5"/>
  <c r="S475" i="5"/>
  <c r="R475" i="5"/>
  <c r="R279" i="5"/>
  <c r="S279" i="5"/>
  <c r="R173" i="5"/>
  <c r="S173" i="5"/>
  <c r="R165" i="5"/>
  <c r="S165" i="5"/>
  <c r="R118" i="5"/>
  <c r="S118" i="5"/>
  <c r="R57" i="5"/>
  <c r="S57" i="5"/>
  <c r="R460" i="5"/>
  <c r="S460" i="5"/>
  <c r="S469" i="5"/>
  <c r="R469" i="5"/>
  <c r="S358" i="5"/>
  <c r="R358" i="5"/>
  <c r="R357" i="5"/>
  <c r="S357" i="5"/>
  <c r="R302" i="5"/>
  <c r="S302" i="5"/>
  <c r="R185" i="5"/>
  <c r="S185" i="5"/>
  <c r="S106" i="5"/>
  <c r="R106" i="5"/>
  <c r="S31" i="5"/>
  <c r="R31" i="5"/>
  <c r="R509" i="5"/>
  <c r="S509" i="5"/>
  <c r="R471" i="5"/>
  <c r="S471" i="5"/>
  <c r="S245" i="5"/>
  <c r="R245" i="5"/>
  <c r="S330" i="5"/>
  <c r="R330" i="5"/>
  <c r="S230" i="5"/>
  <c r="R230" i="5"/>
  <c r="R102" i="5"/>
  <c r="S102" i="5"/>
  <c r="R60" i="5"/>
  <c r="S60" i="5"/>
  <c r="S430" i="5"/>
  <c r="R430" i="5"/>
  <c r="R457" i="5"/>
  <c r="S457" i="5"/>
  <c r="S347" i="5"/>
  <c r="R347" i="5"/>
  <c r="S348" i="5"/>
  <c r="R348" i="5"/>
  <c r="R292" i="5"/>
  <c r="S292" i="5"/>
  <c r="S180" i="5"/>
  <c r="R180" i="5"/>
  <c r="S94" i="5"/>
  <c r="R94" i="5"/>
  <c r="S21" i="5"/>
  <c r="R21" i="5"/>
  <c r="S497" i="5"/>
  <c r="R497" i="5"/>
  <c r="S463" i="5"/>
  <c r="R463" i="5"/>
  <c r="S441" i="5"/>
  <c r="R441" i="5"/>
  <c r="R321" i="5"/>
  <c r="S321" i="5"/>
  <c r="R225" i="5"/>
  <c r="S225" i="5"/>
  <c r="R159" i="5"/>
  <c r="S159" i="5"/>
  <c r="S55" i="5"/>
  <c r="R55" i="5"/>
  <c r="S498" i="5"/>
  <c r="R498" i="5"/>
  <c r="S369" i="5"/>
  <c r="R369" i="5"/>
  <c r="R402" i="5"/>
  <c r="S402" i="5"/>
  <c r="R297" i="5"/>
  <c r="S297" i="5"/>
  <c r="R203" i="5"/>
  <c r="S203" i="5"/>
  <c r="R174" i="5"/>
  <c r="S174" i="5"/>
  <c r="R86" i="5"/>
  <c r="S86" i="5"/>
  <c r="S261" i="5"/>
  <c r="R261" i="5"/>
  <c r="R361" i="5"/>
  <c r="S361" i="5"/>
  <c r="S356" i="5"/>
  <c r="R356" i="5"/>
  <c r="R349" i="5"/>
  <c r="S349" i="5"/>
  <c r="R332" i="5"/>
  <c r="S332" i="5"/>
  <c r="S340" i="5"/>
  <c r="R340" i="5"/>
  <c r="R487" i="5"/>
  <c r="S487" i="5"/>
  <c r="S494" i="5"/>
  <c r="R494" i="5"/>
  <c r="R454" i="5"/>
  <c r="S454" i="5"/>
  <c r="R478" i="5"/>
  <c r="S478" i="5"/>
  <c r="R517" i="5"/>
  <c r="S517" i="5"/>
  <c r="R366" i="5"/>
  <c r="S366" i="5"/>
  <c r="S401" i="5"/>
  <c r="R401" i="5"/>
  <c r="S367" i="5"/>
  <c r="R367" i="5"/>
  <c r="S419" i="5"/>
  <c r="R419" i="5"/>
  <c r="S555" i="5"/>
  <c r="R555" i="5"/>
  <c r="S436" i="5"/>
  <c r="R436" i="5"/>
  <c r="S322" i="5"/>
  <c r="R322" i="5"/>
  <c r="S339" i="5"/>
  <c r="R339" i="5"/>
  <c r="R276" i="5"/>
  <c r="S276" i="5"/>
  <c r="S172" i="5"/>
  <c r="R172" i="5"/>
  <c r="S111" i="5"/>
  <c r="R111" i="5"/>
  <c r="AG11" i="5"/>
  <c r="Q11" i="5"/>
  <c r="W11" i="5"/>
  <c r="R479" i="5"/>
  <c r="S479" i="5"/>
  <c r="S455" i="5"/>
  <c r="R455" i="5"/>
  <c r="S431" i="5"/>
  <c r="R431" i="5"/>
  <c r="R305" i="5"/>
  <c r="S305" i="5"/>
  <c r="S210" i="5"/>
  <c r="R210" i="5"/>
  <c r="S146" i="5"/>
  <c r="R146" i="5"/>
  <c r="R67" i="5"/>
  <c r="S67" i="5"/>
  <c r="S547" i="5"/>
  <c r="R547" i="5"/>
  <c r="R425" i="5"/>
  <c r="S425" i="5"/>
  <c r="R417" i="5"/>
  <c r="S417" i="5"/>
  <c r="R319" i="5"/>
  <c r="S319" i="5"/>
  <c r="S258" i="5"/>
  <c r="R258" i="5"/>
  <c r="R161" i="5"/>
  <c r="S161" i="5"/>
  <c r="S90" i="5"/>
  <c r="R90" i="5"/>
  <c r="S540" i="5"/>
  <c r="R540" i="5"/>
  <c r="R450" i="5"/>
  <c r="S450" i="5"/>
  <c r="R433" i="5"/>
  <c r="S433" i="5"/>
  <c r="R418" i="5"/>
  <c r="S418" i="5"/>
  <c r="R298" i="5"/>
  <c r="S298" i="5"/>
  <c r="S189" i="5"/>
  <c r="R189" i="5"/>
  <c r="S138" i="5"/>
  <c r="R138" i="5"/>
  <c r="S51" i="5"/>
  <c r="R51" i="5"/>
  <c r="R515" i="5"/>
  <c r="S515" i="5"/>
  <c r="S420" i="5"/>
  <c r="R420" i="5"/>
  <c r="R413" i="5"/>
  <c r="S413" i="5"/>
  <c r="R315" i="5"/>
  <c r="S315" i="5"/>
  <c r="S227" i="5"/>
  <c r="R227" i="5"/>
  <c r="R130" i="5"/>
  <c r="S130" i="5"/>
  <c r="R85" i="5"/>
  <c r="S85" i="5"/>
  <c r="S531" i="5"/>
  <c r="R531" i="5"/>
  <c r="S445" i="5"/>
  <c r="R445" i="5"/>
  <c r="R390" i="5"/>
  <c r="S390" i="5"/>
  <c r="S409" i="5"/>
  <c r="R409" i="5"/>
  <c r="S290" i="5"/>
  <c r="R290" i="5"/>
  <c r="S177" i="5"/>
  <c r="R177" i="5"/>
  <c r="S114" i="5"/>
  <c r="R114" i="5"/>
  <c r="R52" i="5"/>
  <c r="S52" i="5"/>
  <c r="R553" i="5"/>
  <c r="S553" i="5"/>
  <c r="S523" i="5"/>
  <c r="R523" i="5"/>
  <c r="S363" i="5"/>
  <c r="R363" i="5"/>
  <c r="S274" i="5"/>
  <c r="R274" i="5"/>
  <c r="S226" i="5"/>
  <c r="R226" i="5"/>
  <c r="R150" i="5"/>
  <c r="S150" i="5"/>
  <c r="R73" i="5"/>
  <c r="S73" i="5"/>
  <c r="S476" i="5"/>
  <c r="R476" i="5"/>
  <c r="S266" i="5"/>
  <c r="R266" i="5"/>
  <c r="S28" i="5"/>
  <c r="R28" i="5"/>
  <c r="S133" i="5"/>
  <c r="R133" i="5"/>
  <c r="R74" i="5"/>
  <c r="S74" i="5"/>
  <c r="R207" i="5"/>
  <c r="S207" i="5"/>
  <c r="R239" i="5"/>
  <c r="S239" i="5"/>
  <c r="S295" i="5"/>
  <c r="R295" i="5"/>
  <c r="R221" i="5"/>
  <c r="S221" i="5"/>
  <c r="R143" i="5"/>
  <c r="S143" i="5"/>
  <c r="S335" i="5"/>
  <c r="R335" i="5"/>
  <c r="S353" i="5"/>
  <c r="R353" i="5"/>
  <c r="S389" i="5"/>
  <c r="R389" i="5"/>
  <c r="R355" i="5"/>
  <c r="S355" i="5"/>
  <c r="R254" i="5"/>
  <c r="S254" i="5"/>
  <c r="R324" i="5"/>
  <c r="S324" i="5"/>
  <c r="S491" i="5"/>
  <c r="R491" i="5"/>
  <c r="R345" i="5"/>
  <c r="S345" i="5"/>
  <c r="R399" i="5"/>
  <c r="S399" i="5"/>
  <c r="R294" i="5"/>
  <c r="S294" i="5"/>
  <c r="S187" i="5"/>
  <c r="R187" i="5"/>
  <c r="R169" i="5"/>
  <c r="S169" i="5"/>
  <c r="R76" i="5"/>
  <c r="S76" i="5"/>
  <c r="R499" i="5"/>
  <c r="S499" i="5"/>
  <c r="S426" i="5"/>
  <c r="R426" i="5"/>
  <c r="R378" i="5"/>
  <c r="S378" i="5"/>
  <c r="S391" i="5"/>
  <c r="R391" i="5"/>
  <c r="S271" i="5"/>
  <c r="R271" i="5"/>
  <c r="S250" i="5"/>
  <c r="R250" i="5"/>
  <c r="R53" i="5"/>
  <c r="S53" i="5"/>
  <c r="S41" i="5"/>
  <c r="R41" i="5"/>
  <c r="R451" i="5"/>
  <c r="S451" i="5"/>
  <c r="R301" i="5"/>
  <c r="S301" i="5"/>
  <c r="S382" i="5"/>
  <c r="R382" i="5"/>
  <c r="S283" i="5"/>
  <c r="R283" i="5"/>
  <c r="R242" i="5"/>
  <c r="S242" i="5"/>
  <c r="R115" i="5"/>
  <c r="S115" i="5"/>
  <c r="R79" i="5"/>
  <c r="S79" i="5"/>
  <c r="S427" i="5"/>
  <c r="R427" i="5"/>
  <c r="R197" i="5"/>
  <c r="S197" i="5"/>
  <c r="S318" i="5"/>
  <c r="R318" i="5"/>
  <c r="S385" i="5"/>
  <c r="R385" i="5"/>
  <c r="R255" i="5"/>
  <c r="S255" i="5"/>
  <c r="S236" i="5"/>
  <c r="R236" i="5"/>
  <c r="R153" i="5"/>
  <c r="S153" i="5"/>
  <c r="S33" i="5"/>
  <c r="R33" i="5"/>
  <c r="R268" i="5"/>
  <c r="S268" i="5"/>
  <c r="S527" i="5"/>
  <c r="R527" i="5"/>
  <c r="R373" i="5"/>
  <c r="S373" i="5"/>
  <c r="S277" i="5"/>
  <c r="R277" i="5"/>
  <c r="S234" i="5"/>
  <c r="R234" i="5"/>
  <c r="S156" i="5"/>
  <c r="R156" i="5"/>
  <c r="S75" i="5"/>
  <c r="R75" i="5"/>
  <c r="R556" i="5"/>
  <c r="S556" i="5"/>
  <c r="S514" i="5"/>
  <c r="R514" i="5"/>
  <c r="R415" i="5"/>
  <c r="S415" i="5"/>
  <c r="S375" i="5"/>
  <c r="R375" i="5"/>
  <c r="R247" i="5"/>
  <c r="S247" i="5"/>
  <c r="S201" i="5"/>
  <c r="R201" i="5"/>
  <c r="R142" i="5"/>
  <c r="S142" i="5"/>
  <c r="S29" i="5"/>
  <c r="R29" i="5"/>
  <c r="S535" i="5"/>
  <c r="R535" i="5"/>
  <c r="R485" i="5"/>
  <c r="S485" i="5"/>
  <c r="S308" i="5"/>
  <c r="R308" i="5"/>
  <c r="S220" i="5"/>
  <c r="R220" i="5"/>
  <c r="S195" i="5"/>
  <c r="R195" i="5"/>
  <c r="R124" i="5"/>
  <c r="S124" i="5"/>
  <c r="R68" i="5"/>
  <c r="S68" i="5"/>
  <c r="AP525" i="5"/>
  <c r="AR525" i="5" s="1"/>
  <c r="AP23" i="5"/>
  <c r="AR23" i="5" s="1"/>
  <c r="AP462" i="5"/>
  <c r="AQ462" i="5" s="1"/>
  <c r="AP483" i="5"/>
  <c r="AQ483" i="5" s="1"/>
  <c r="AP244" i="5"/>
  <c r="AQ244" i="5" s="1"/>
  <c r="AP66" i="5"/>
  <c r="AR66" i="5" s="1"/>
  <c r="AP350" i="5"/>
  <c r="AR350" i="5" s="1"/>
  <c r="AP21" i="5"/>
  <c r="AR21" i="5" s="1"/>
  <c r="AP118" i="5"/>
  <c r="AQ118" i="5" s="1"/>
  <c r="AP219" i="5"/>
  <c r="AR219" i="5" s="1"/>
  <c r="AP345" i="5"/>
  <c r="AR345" i="5" s="1"/>
  <c r="AP498" i="5"/>
  <c r="AQ498" i="5" s="1"/>
  <c r="AP496" i="5"/>
  <c r="AQ496" i="5" s="1"/>
  <c r="AP392" i="5"/>
  <c r="AR392" i="5" s="1"/>
  <c r="AP428" i="5"/>
  <c r="AR428" i="5" s="1"/>
  <c r="AP194" i="5"/>
  <c r="AQ194" i="5" s="1"/>
  <c r="AP524" i="5"/>
  <c r="AQ524" i="5" s="1"/>
  <c r="AP142" i="5"/>
  <c r="AR142" i="5" s="1"/>
  <c r="AP544" i="5"/>
  <c r="AR544" i="5" s="1"/>
  <c r="AP93" i="5"/>
  <c r="AR93" i="5" s="1"/>
  <c r="AP372" i="5"/>
  <c r="AR372" i="5" s="1"/>
  <c r="AP436" i="5"/>
  <c r="AQ436" i="5" s="1"/>
  <c r="AP158" i="5"/>
  <c r="AR158" i="5" s="1"/>
  <c r="AP45" i="5"/>
  <c r="AQ45" i="5" s="1"/>
  <c r="AP237" i="5"/>
  <c r="AQ237" i="5" s="1"/>
  <c r="AP34" i="5"/>
  <c r="AQ34" i="5" s="1"/>
  <c r="AP368" i="5"/>
  <c r="AQ368" i="5" s="1"/>
  <c r="AP330" i="5"/>
  <c r="AQ330" i="5" s="1"/>
  <c r="AP205" i="5"/>
  <c r="AQ205" i="5" s="1"/>
  <c r="AP522" i="5"/>
  <c r="AQ522" i="5" s="1"/>
  <c r="AP302" i="5"/>
  <c r="AR302" i="5" s="1"/>
  <c r="AP190" i="5"/>
  <c r="AR190" i="5" s="1"/>
  <c r="AP337" i="5"/>
  <c r="AQ337" i="5" s="1"/>
  <c r="AP22" i="5"/>
  <c r="AR22" i="5" s="1"/>
  <c r="AP257" i="5"/>
  <c r="AR257" i="5" s="1"/>
  <c r="AP558" i="5"/>
  <c r="AQ558" i="5" s="1"/>
  <c r="AP278" i="5"/>
  <c r="AQ278" i="5" s="1"/>
  <c r="AP438" i="5"/>
  <c r="AR438" i="5" s="1"/>
  <c r="AP477" i="5"/>
  <c r="AQ477" i="5" s="1"/>
  <c r="AP82" i="5"/>
  <c r="AQ82" i="5" s="1"/>
  <c r="AP20" i="5"/>
  <c r="AQ20" i="5" s="1"/>
  <c r="AP184" i="5"/>
  <c r="AR184" i="5" s="1"/>
  <c r="AP545" i="5"/>
  <c r="AR545" i="5" s="1"/>
  <c r="AP402" i="5"/>
  <c r="AR402" i="5" s="1"/>
  <c r="AP444" i="5"/>
  <c r="AR444" i="5" s="1"/>
  <c r="AP259" i="5"/>
  <c r="AR259" i="5" s="1"/>
  <c r="AP417" i="5"/>
  <c r="AQ417" i="5" s="1"/>
  <c r="AP460" i="5"/>
  <c r="AR460" i="5" s="1"/>
  <c r="AP144" i="5"/>
  <c r="AQ144" i="5" s="1"/>
  <c r="AP165" i="5"/>
  <c r="AQ165" i="5" s="1"/>
  <c r="AP542" i="5"/>
  <c r="AR542" i="5" s="1"/>
  <c r="AP262" i="5"/>
  <c r="AQ262" i="5" s="1"/>
  <c r="AP87" i="5"/>
  <c r="AR87" i="5" s="1"/>
  <c r="AP103" i="5"/>
  <c r="AQ103" i="5" s="1"/>
  <c r="AP211" i="5"/>
  <c r="AR211" i="5" s="1"/>
  <c r="AP378" i="5"/>
  <c r="AQ378" i="5" s="1"/>
  <c r="AP138" i="5"/>
  <c r="AQ138" i="5" s="1"/>
  <c r="AP493" i="5"/>
  <c r="AQ493" i="5" s="1"/>
  <c r="AP495" i="5"/>
  <c r="AQ495" i="5" s="1"/>
  <c r="AP104" i="5"/>
  <c r="AR104" i="5" s="1"/>
  <c r="AP384" i="5"/>
  <c r="AQ384" i="5" s="1"/>
  <c r="AP261" i="5"/>
  <c r="AQ261" i="5" s="1"/>
  <c r="AP70" i="5"/>
  <c r="AQ70" i="5" s="1"/>
  <c r="AP56" i="5"/>
  <c r="AQ56" i="5" s="1"/>
  <c r="AP397" i="5"/>
  <c r="AQ397" i="5" s="1"/>
  <c r="AP457" i="5"/>
  <c r="AR457" i="5" s="1"/>
  <c r="AP370" i="5"/>
  <c r="AR370" i="5" s="1"/>
  <c r="AP454" i="5"/>
  <c r="AR454" i="5" s="1"/>
  <c r="AP318" i="5"/>
  <c r="AR318" i="5" s="1"/>
  <c r="U312" i="5"/>
  <c r="V312" i="5"/>
  <c r="AN150" i="5"/>
  <c r="AO150" i="5"/>
  <c r="AO399" i="5"/>
  <c r="AN399" i="5"/>
  <c r="AO381" i="5"/>
  <c r="AN381" i="5"/>
  <c r="AO60" i="5"/>
  <c r="AN60" i="5"/>
  <c r="AO408" i="5"/>
  <c r="AN408" i="5"/>
  <c r="U427" i="5"/>
  <c r="V427" i="5"/>
  <c r="U409" i="5"/>
  <c r="V409" i="5"/>
  <c r="U271" i="5"/>
  <c r="V271" i="5"/>
  <c r="V557" i="5"/>
  <c r="U557" i="5"/>
  <c r="AN59" i="5"/>
  <c r="AO59" i="5"/>
  <c r="AP533" i="5"/>
  <c r="AQ533" i="5" s="1"/>
  <c r="AP404" i="5"/>
  <c r="AR404" i="5" s="1"/>
  <c r="AP488" i="5"/>
  <c r="AR488" i="5" s="1"/>
  <c r="AP291" i="5"/>
  <c r="AR291" i="5" s="1"/>
  <c r="AP260" i="5"/>
  <c r="AQ260" i="5" s="1"/>
  <c r="AP37" i="5"/>
  <c r="AR37" i="5" s="1"/>
  <c r="AP422" i="5"/>
  <c r="AQ422" i="5" s="1"/>
  <c r="AP226" i="5"/>
  <c r="AQ226" i="5" s="1"/>
  <c r="AP420" i="5"/>
  <c r="AR420" i="5" s="1"/>
  <c r="U384" i="5"/>
  <c r="V384" i="5"/>
  <c r="AN254" i="5"/>
  <c r="AO254" i="5"/>
  <c r="AO361" i="5"/>
  <c r="AN361" i="5"/>
  <c r="AO478" i="5"/>
  <c r="AN478" i="5"/>
  <c r="AN398" i="5"/>
  <c r="AO398" i="5"/>
  <c r="AN511" i="5"/>
  <c r="AO511" i="5"/>
  <c r="AO271" i="5"/>
  <c r="AN271" i="5"/>
  <c r="AN503" i="5"/>
  <c r="AO503" i="5"/>
  <c r="AN373" i="5"/>
  <c r="AO373" i="5"/>
  <c r="AO146" i="5"/>
  <c r="AN146" i="5"/>
  <c r="AO401" i="5"/>
  <c r="AN401" i="5"/>
  <c r="AN143" i="5"/>
  <c r="AO143" i="5"/>
  <c r="AN441" i="5"/>
  <c r="AO441" i="5"/>
  <c r="AN226" i="5"/>
  <c r="AO226" i="5"/>
  <c r="AO542" i="5"/>
  <c r="AN542" i="5"/>
  <c r="AN377" i="5"/>
  <c r="AO377" i="5"/>
  <c r="AO190" i="5"/>
  <c r="AN190" i="5"/>
  <c r="AO553" i="5"/>
  <c r="AN553" i="5"/>
  <c r="AN321" i="5"/>
  <c r="AO321" i="5"/>
  <c r="AN21" i="5"/>
  <c r="AO21" i="5"/>
  <c r="AN196" i="5"/>
  <c r="AO196" i="5"/>
  <c r="AN36" i="5"/>
  <c r="AO36" i="5"/>
  <c r="AM47" i="4"/>
  <c r="AN47" i="4" s="1"/>
  <c r="W47" i="4"/>
  <c r="AN257" i="5"/>
  <c r="AO257" i="5"/>
  <c r="AM111" i="4"/>
  <c r="AN111" i="4" s="1"/>
  <c r="W111" i="4"/>
  <c r="Y111" i="4" s="1"/>
  <c r="Z111" i="4" s="1"/>
  <c r="AN376" i="5"/>
  <c r="AO376" i="5"/>
  <c r="U88" i="5"/>
  <c r="V88" i="5"/>
  <c r="AN248" i="5"/>
  <c r="AO248" i="5"/>
  <c r="AO57" i="5"/>
  <c r="AN57" i="5"/>
  <c r="U24" i="5"/>
  <c r="V24" i="5"/>
  <c r="AO280" i="5"/>
  <c r="AN280" i="5"/>
  <c r="U376" i="5"/>
  <c r="V376" i="5"/>
  <c r="AM40" i="4"/>
  <c r="AN40" i="4" s="1"/>
  <c r="W40" i="4"/>
  <c r="Y40" i="4" s="1"/>
  <c r="V309" i="5"/>
  <c r="U309" i="5"/>
  <c r="V497" i="5"/>
  <c r="U497" i="5"/>
  <c r="U490" i="5"/>
  <c r="V490" i="5"/>
  <c r="V556" i="5"/>
  <c r="U556" i="5"/>
  <c r="V541" i="5"/>
  <c r="U541" i="5"/>
  <c r="U421" i="5"/>
  <c r="V421" i="5"/>
  <c r="V370" i="5"/>
  <c r="U370" i="5"/>
  <c r="U404" i="5"/>
  <c r="V404" i="5"/>
  <c r="V551" i="5"/>
  <c r="U551" i="5"/>
  <c r="V483" i="5"/>
  <c r="U483" i="5"/>
  <c r="U365" i="5"/>
  <c r="V365" i="5"/>
  <c r="V343" i="5"/>
  <c r="U343" i="5"/>
  <c r="U241" i="5"/>
  <c r="V241" i="5"/>
  <c r="U137" i="5"/>
  <c r="V137" i="5"/>
  <c r="V543" i="5"/>
  <c r="U543" i="5"/>
  <c r="V358" i="5"/>
  <c r="U358" i="5"/>
  <c r="V294" i="5"/>
  <c r="U294" i="5"/>
  <c r="U335" i="5"/>
  <c r="V335" i="5"/>
  <c r="U265" i="5"/>
  <c r="V265" i="5"/>
  <c r="U130" i="5"/>
  <c r="V130" i="5"/>
  <c r="U527" i="5"/>
  <c r="V527" i="5"/>
  <c r="U333" i="5"/>
  <c r="V333" i="5"/>
  <c r="V361" i="5"/>
  <c r="U361" i="5"/>
  <c r="U330" i="5"/>
  <c r="V330" i="5"/>
  <c r="V263" i="5"/>
  <c r="U263" i="5"/>
  <c r="U119" i="5"/>
  <c r="V119" i="5"/>
  <c r="V545" i="5"/>
  <c r="U545" i="5"/>
  <c r="U501" i="5"/>
  <c r="V501" i="5"/>
  <c r="V355" i="5"/>
  <c r="U355" i="5"/>
  <c r="U326" i="5"/>
  <c r="V326" i="5"/>
  <c r="U260" i="5"/>
  <c r="V260" i="5"/>
  <c r="U115" i="5"/>
  <c r="V115" i="5"/>
  <c r="U505" i="5"/>
  <c r="V505" i="5"/>
  <c r="U369" i="5"/>
  <c r="V369" i="5"/>
  <c r="U258" i="5"/>
  <c r="V258" i="5"/>
  <c r="U206" i="5"/>
  <c r="V206" i="5"/>
  <c r="U36" i="5"/>
  <c r="V36" i="5"/>
  <c r="U463" i="5"/>
  <c r="V463" i="5"/>
  <c r="V499" i="5"/>
  <c r="U499" i="5"/>
  <c r="U341" i="5"/>
  <c r="V341" i="5"/>
  <c r="V299" i="5"/>
  <c r="U299" i="5"/>
  <c r="V215" i="5"/>
  <c r="U215" i="5"/>
  <c r="V63" i="5"/>
  <c r="U63" i="5"/>
  <c r="U517" i="5"/>
  <c r="V517" i="5"/>
  <c r="U385" i="5"/>
  <c r="V385" i="5"/>
  <c r="V292" i="5"/>
  <c r="U292" i="5"/>
  <c r="U211" i="5"/>
  <c r="V211" i="5"/>
  <c r="V39" i="5"/>
  <c r="U39" i="5"/>
  <c r="U94" i="5"/>
  <c r="V94" i="5"/>
  <c r="U66" i="5"/>
  <c r="V66" i="5"/>
  <c r="U70" i="5"/>
  <c r="V70" i="5"/>
  <c r="U448" i="5"/>
  <c r="V448" i="5"/>
  <c r="AP218" i="5"/>
  <c r="AR218" i="5" s="1"/>
  <c r="AO507" i="5"/>
  <c r="AN507" i="5"/>
  <c r="AO316" i="5"/>
  <c r="AN316" i="5"/>
  <c r="V456" i="5"/>
  <c r="U456" i="5"/>
  <c r="U248" i="5"/>
  <c r="V248" i="5"/>
  <c r="V297" i="5"/>
  <c r="U297" i="5"/>
  <c r="V548" i="5"/>
  <c r="U548" i="5"/>
  <c r="U396" i="5"/>
  <c r="V396" i="5"/>
  <c r="U430" i="5"/>
  <c r="V430" i="5"/>
  <c r="AP535" i="5"/>
  <c r="AQ535" i="5" s="1"/>
  <c r="AP551" i="5"/>
  <c r="AQ551" i="5" s="1"/>
  <c r="AP327" i="5"/>
  <c r="AQ327" i="5" s="1"/>
  <c r="AP134" i="5"/>
  <c r="AR134" i="5" s="1"/>
  <c r="AP326" i="5"/>
  <c r="AR326" i="5" s="1"/>
  <c r="AP463" i="5"/>
  <c r="AQ463" i="5" s="1"/>
  <c r="AP77" i="5"/>
  <c r="AR77" i="5" s="1"/>
  <c r="AP126" i="5"/>
  <c r="AQ126" i="5" s="1"/>
  <c r="AP117" i="5"/>
  <c r="AQ117" i="5" s="1"/>
  <c r="AP530" i="5"/>
  <c r="AR530" i="5" s="1"/>
  <c r="AP321" i="5"/>
  <c r="AQ321" i="5" s="1"/>
  <c r="AN368" i="5"/>
  <c r="AO368" i="5"/>
  <c r="AO279" i="5"/>
  <c r="AN279" i="5"/>
  <c r="AN182" i="5"/>
  <c r="AO182" i="5"/>
  <c r="AO393" i="5"/>
  <c r="AN393" i="5"/>
  <c r="AO275" i="5"/>
  <c r="AN275" i="5"/>
  <c r="AN403" i="5"/>
  <c r="AO403" i="5"/>
  <c r="AN183" i="5"/>
  <c r="AO183" i="5"/>
  <c r="AO453" i="5"/>
  <c r="AN453" i="5"/>
  <c r="AN330" i="5"/>
  <c r="AO330" i="5"/>
  <c r="AO54" i="5"/>
  <c r="AN54" i="5"/>
  <c r="AO342" i="5"/>
  <c r="AN342" i="5"/>
  <c r="AN138" i="5"/>
  <c r="AO138" i="5"/>
  <c r="AN470" i="5"/>
  <c r="AO470" i="5"/>
  <c r="AN213" i="5"/>
  <c r="AO213" i="5"/>
  <c r="AO558" i="5"/>
  <c r="AN558" i="5"/>
  <c r="AN428" i="5"/>
  <c r="AO428" i="5"/>
  <c r="AN180" i="5"/>
  <c r="AO180" i="5"/>
  <c r="AN545" i="5"/>
  <c r="AO545" i="5"/>
  <c r="AO303" i="5"/>
  <c r="AN303" i="5"/>
  <c r="AO22" i="5"/>
  <c r="AN22" i="5"/>
  <c r="AN201" i="5"/>
  <c r="AO201" i="5"/>
  <c r="AM69" i="4"/>
  <c r="AN69" i="4" s="1"/>
  <c r="W69" i="4"/>
  <c r="U504" i="5"/>
  <c r="V504" i="5"/>
  <c r="AN337" i="5"/>
  <c r="AO337" i="5"/>
  <c r="V336" i="5"/>
  <c r="U336" i="5"/>
  <c r="AM71" i="4"/>
  <c r="AN71" i="4" s="1"/>
  <c r="W71" i="4"/>
  <c r="Y71" i="4" s="1"/>
  <c r="Z71" i="4" s="1"/>
  <c r="AF71" i="4" s="1"/>
  <c r="AN344" i="5"/>
  <c r="AO344" i="5"/>
  <c r="AO308" i="5"/>
  <c r="AN308" i="5"/>
  <c r="AN120" i="5"/>
  <c r="AO120" i="5"/>
  <c r="V224" i="5"/>
  <c r="U224" i="5"/>
  <c r="AO177" i="5"/>
  <c r="AN177" i="5"/>
  <c r="U264" i="5"/>
  <c r="V264" i="5"/>
  <c r="V480" i="5"/>
  <c r="U480" i="5"/>
  <c r="U314" i="5"/>
  <c r="V314" i="5"/>
  <c r="V444" i="5"/>
  <c r="U444" i="5"/>
  <c r="U422" i="5"/>
  <c r="V422" i="5"/>
  <c r="U395" i="5"/>
  <c r="V395" i="5"/>
  <c r="V491" i="5"/>
  <c r="U491" i="5"/>
  <c r="U325" i="5"/>
  <c r="V325" i="5"/>
  <c r="V390" i="5"/>
  <c r="U390" i="5"/>
  <c r="U359" i="5"/>
  <c r="V359" i="5"/>
  <c r="U450" i="5"/>
  <c r="V450" i="5"/>
  <c r="U459" i="5"/>
  <c r="V459" i="5"/>
  <c r="U319" i="5"/>
  <c r="V319" i="5"/>
  <c r="V305" i="5"/>
  <c r="U305" i="5"/>
  <c r="U210" i="5"/>
  <c r="V210" i="5"/>
  <c r="U126" i="5"/>
  <c r="V126" i="5"/>
  <c r="V426" i="5"/>
  <c r="U426" i="5"/>
  <c r="U347" i="5"/>
  <c r="V347" i="5"/>
  <c r="V407" i="5"/>
  <c r="U407" i="5"/>
  <c r="V303" i="5"/>
  <c r="U303" i="5"/>
  <c r="U207" i="5"/>
  <c r="V207" i="5"/>
  <c r="U131" i="5"/>
  <c r="V131" i="5"/>
  <c r="U412" i="5"/>
  <c r="V412" i="5"/>
  <c r="U503" i="5"/>
  <c r="V503" i="5"/>
  <c r="U275" i="5"/>
  <c r="V275" i="5"/>
  <c r="V300" i="5"/>
  <c r="U300" i="5"/>
  <c r="V236" i="5"/>
  <c r="U236" i="5"/>
  <c r="U123" i="5"/>
  <c r="V123" i="5"/>
  <c r="U465" i="5"/>
  <c r="V465" i="5"/>
  <c r="U474" i="5"/>
  <c r="V474" i="5"/>
  <c r="U391" i="5"/>
  <c r="V391" i="5"/>
  <c r="V298" i="5"/>
  <c r="U298" i="5"/>
  <c r="U235" i="5"/>
  <c r="V235" i="5"/>
  <c r="U101" i="5"/>
  <c r="V101" i="5"/>
  <c r="U460" i="5"/>
  <c r="V460" i="5"/>
  <c r="V433" i="5"/>
  <c r="U433" i="5"/>
  <c r="V327" i="5"/>
  <c r="U327" i="5"/>
  <c r="U172" i="5"/>
  <c r="V172" i="5"/>
  <c r="U479" i="5"/>
  <c r="V479" i="5"/>
  <c r="U434" i="5"/>
  <c r="V434" i="5"/>
  <c r="U458" i="5"/>
  <c r="V458" i="5"/>
  <c r="V429" i="5"/>
  <c r="U429" i="5"/>
  <c r="V251" i="5"/>
  <c r="U251" i="5"/>
  <c r="V204" i="5"/>
  <c r="U204" i="5"/>
  <c r="U22" i="5"/>
  <c r="V22" i="5"/>
  <c r="U431" i="5"/>
  <c r="V431" i="5"/>
  <c r="V317" i="5"/>
  <c r="U317" i="5"/>
  <c r="U250" i="5"/>
  <c r="V250" i="5"/>
  <c r="V201" i="5"/>
  <c r="U201" i="5"/>
  <c r="V139" i="5"/>
  <c r="U139" i="5"/>
  <c r="V41" i="5"/>
  <c r="U41" i="5"/>
  <c r="V33" i="5"/>
  <c r="U33" i="5"/>
  <c r="U34" i="5"/>
  <c r="V34" i="5"/>
  <c r="V296" i="5"/>
  <c r="U296" i="5"/>
  <c r="U432" i="5"/>
  <c r="V432" i="5"/>
  <c r="AO78" i="5"/>
  <c r="AN78" i="5"/>
  <c r="AO181" i="5"/>
  <c r="AN181" i="5"/>
  <c r="AO134" i="5"/>
  <c r="AN134" i="5"/>
  <c r="AO166" i="5"/>
  <c r="AN166" i="5"/>
  <c r="U440" i="5"/>
  <c r="V440" i="5"/>
  <c r="V476" i="5"/>
  <c r="U476" i="5"/>
  <c r="V291" i="5"/>
  <c r="U291" i="5"/>
  <c r="U281" i="5"/>
  <c r="V281" i="5"/>
  <c r="V229" i="5"/>
  <c r="U229" i="5"/>
  <c r="U269" i="5"/>
  <c r="V269" i="5"/>
  <c r="U268" i="5"/>
  <c r="V268" i="5"/>
  <c r="U133" i="5"/>
  <c r="V133" i="5"/>
  <c r="U346" i="5"/>
  <c r="V346" i="5"/>
  <c r="U154" i="5"/>
  <c r="V154" i="5"/>
  <c r="V38" i="5"/>
  <c r="U38" i="5"/>
  <c r="AP78" i="5"/>
  <c r="AQ78" i="5" s="1"/>
  <c r="AP448" i="5"/>
  <c r="AQ448" i="5" s="1"/>
  <c r="AP487" i="5"/>
  <c r="AR487" i="5" s="1"/>
  <c r="U8" i="5"/>
  <c r="V8" i="5"/>
  <c r="AN288" i="5"/>
  <c r="AO288" i="5"/>
  <c r="AN378" i="5"/>
  <c r="AO378" i="5"/>
  <c r="AO516" i="5"/>
  <c r="AN516" i="5"/>
  <c r="AO529" i="5"/>
  <c r="AN529" i="5"/>
  <c r="AN522" i="5"/>
  <c r="AO522" i="5"/>
  <c r="AN19" i="5"/>
  <c r="AO19" i="5"/>
  <c r="AO366" i="5"/>
  <c r="AN366" i="5"/>
  <c r="AN154" i="5"/>
  <c r="AO154" i="5"/>
  <c r="AO391" i="5"/>
  <c r="AN391" i="5"/>
  <c r="AO269" i="5"/>
  <c r="AN269" i="5"/>
  <c r="AN524" i="5"/>
  <c r="AO524" i="5"/>
  <c r="AO250" i="5"/>
  <c r="AN250" i="5"/>
  <c r="AN55" i="5"/>
  <c r="AO55" i="5"/>
  <c r="AN386" i="5"/>
  <c r="AO386" i="5"/>
  <c r="AO126" i="5"/>
  <c r="AN126" i="5"/>
  <c r="AO489" i="5"/>
  <c r="AN489" i="5"/>
  <c r="AN310" i="5"/>
  <c r="AO310" i="5"/>
  <c r="AO86" i="5"/>
  <c r="AN86" i="5"/>
  <c r="AO461" i="5"/>
  <c r="AN461" i="5"/>
  <c r="AN214" i="5"/>
  <c r="AO214" i="5"/>
  <c r="AO357" i="5"/>
  <c r="AN357" i="5"/>
  <c r="AN124" i="5"/>
  <c r="AO124" i="5"/>
  <c r="V80" i="5"/>
  <c r="U80" i="5"/>
  <c r="V288" i="5"/>
  <c r="U288" i="5"/>
  <c r="AN148" i="5"/>
  <c r="AO148" i="5"/>
  <c r="U56" i="5"/>
  <c r="V56" i="5"/>
  <c r="AN424" i="5"/>
  <c r="AO424" i="5"/>
  <c r="U496" i="5"/>
  <c r="V496" i="5"/>
  <c r="V344" i="5"/>
  <c r="U344" i="5"/>
  <c r="AO448" i="5"/>
  <c r="AN448" i="5"/>
  <c r="AM44" i="4"/>
  <c r="AN44" i="4" s="1"/>
  <c r="W44" i="4"/>
  <c r="Y44" i="4" s="1"/>
  <c r="Z44" i="4" s="1"/>
  <c r="U100" i="5"/>
  <c r="V100" i="5"/>
  <c r="U462" i="5"/>
  <c r="V462" i="5"/>
  <c r="V418" i="5"/>
  <c r="U418" i="5"/>
  <c r="V380" i="5"/>
  <c r="U380" i="5"/>
  <c r="U242" i="5"/>
  <c r="V242" i="5"/>
  <c r="V69" i="5"/>
  <c r="U69" i="5"/>
  <c r="V67" i="5"/>
  <c r="U67" i="5"/>
  <c r="U194" i="5"/>
  <c r="V194" i="5"/>
  <c r="V338" i="5"/>
  <c r="U338" i="5"/>
  <c r="U515" i="5"/>
  <c r="V515" i="5"/>
  <c r="U247" i="5"/>
  <c r="V247" i="5"/>
  <c r="U253" i="5"/>
  <c r="V253" i="5"/>
  <c r="U205" i="5"/>
  <c r="V205" i="5"/>
  <c r="U50" i="5"/>
  <c r="V50" i="5"/>
  <c r="U529" i="5"/>
  <c r="V529" i="5"/>
  <c r="U478" i="5"/>
  <c r="V478" i="5"/>
  <c r="V214" i="5"/>
  <c r="U214" i="5"/>
  <c r="U246" i="5"/>
  <c r="V246" i="5"/>
  <c r="V239" i="5"/>
  <c r="U239" i="5"/>
  <c r="U92" i="5"/>
  <c r="V92" i="5"/>
  <c r="V560" i="5"/>
  <c r="U560" i="5"/>
  <c r="U454" i="5"/>
  <c r="V454" i="5"/>
  <c r="U372" i="5"/>
  <c r="V372" i="5"/>
  <c r="U231" i="5"/>
  <c r="V231" i="5"/>
  <c r="V227" i="5"/>
  <c r="U227" i="5"/>
  <c r="V61" i="5"/>
  <c r="U61" i="5"/>
  <c r="U493" i="5"/>
  <c r="V493" i="5"/>
  <c r="U537" i="5"/>
  <c r="V537" i="5"/>
  <c r="U436" i="5"/>
  <c r="V436" i="5"/>
  <c r="U226" i="5"/>
  <c r="V226" i="5"/>
  <c r="U212" i="5"/>
  <c r="V212" i="5"/>
  <c r="U53" i="5"/>
  <c r="V53" i="5"/>
  <c r="U414" i="5"/>
  <c r="V414" i="5"/>
  <c r="U366" i="5"/>
  <c r="V366" i="5"/>
  <c r="U254" i="5"/>
  <c r="V254" i="5"/>
  <c r="U134" i="5"/>
  <c r="V134" i="5"/>
  <c r="V555" i="5"/>
  <c r="U555" i="5"/>
  <c r="U519" i="5"/>
  <c r="V519" i="5"/>
  <c r="U411" i="5"/>
  <c r="V411" i="5"/>
  <c r="V315" i="5"/>
  <c r="U315" i="5"/>
  <c r="U279" i="5"/>
  <c r="V279" i="5"/>
  <c r="U118" i="5"/>
  <c r="V118" i="5"/>
  <c r="V531" i="5"/>
  <c r="U531" i="5"/>
  <c r="V494" i="5"/>
  <c r="U494" i="5"/>
  <c r="V362" i="5"/>
  <c r="U362" i="5"/>
  <c r="V274" i="5"/>
  <c r="U274" i="5"/>
  <c r="U187" i="5"/>
  <c r="V187" i="5"/>
  <c r="U98" i="5"/>
  <c r="V98" i="5"/>
  <c r="V47" i="5"/>
  <c r="U47" i="5"/>
  <c r="U84" i="5"/>
  <c r="V84" i="5"/>
  <c r="AO20" i="5"/>
  <c r="AN20" i="5"/>
  <c r="AN216" i="5"/>
  <c r="AO216" i="5"/>
  <c r="AN151" i="5"/>
  <c r="AO151" i="5"/>
  <c r="AO84" i="5"/>
  <c r="AN84" i="5"/>
  <c r="AN101" i="5"/>
  <c r="AO101" i="5"/>
  <c r="AM116" i="4"/>
  <c r="AN116" i="4" s="1"/>
  <c r="U512" i="5"/>
  <c r="V512" i="5"/>
  <c r="U435" i="5"/>
  <c r="V435" i="5"/>
  <c r="U244" i="5"/>
  <c r="V244" i="5"/>
  <c r="U82" i="5"/>
  <c r="V82" i="5"/>
  <c r="U484" i="5"/>
  <c r="V484" i="5"/>
  <c r="U453" i="5"/>
  <c r="V453" i="5"/>
  <c r="V57" i="5"/>
  <c r="U57" i="5"/>
  <c r="V549" i="5"/>
  <c r="U549" i="5"/>
  <c r="V428" i="5"/>
  <c r="U428" i="5"/>
  <c r="V322" i="5"/>
  <c r="U322" i="5"/>
  <c r="U393" i="5"/>
  <c r="V393" i="5"/>
  <c r="V27" i="5"/>
  <c r="U27" i="5"/>
  <c r="AP101" i="5"/>
  <c r="AR101" i="5" s="1"/>
  <c r="AP143" i="5"/>
  <c r="AR143" i="5" s="1"/>
  <c r="AP81" i="5"/>
  <c r="AQ81" i="5" s="1"/>
  <c r="U256" i="5"/>
  <c r="V256" i="5"/>
  <c r="V320" i="5"/>
  <c r="U320" i="5"/>
  <c r="AO290" i="5"/>
  <c r="AN290" i="5"/>
  <c r="AN245" i="5"/>
  <c r="AO245" i="5"/>
  <c r="AO429" i="5"/>
  <c r="AN429" i="5"/>
  <c r="AO471" i="5"/>
  <c r="AN471" i="5"/>
  <c r="AO407" i="5"/>
  <c r="AN407" i="5"/>
  <c r="AO417" i="5"/>
  <c r="AN417" i="5"/>
  <c r="AN90" i="5"/>
  <c r="AO90" i="5"/>
  <c r="AN452" i="5"/>
  <c r="AO452" i="5"/>
  <c r="AN266" i="5"/>
  <c r="AO266" i="5"/>
  <c r="AN425" i="5"/>
  <c r="AO425" i="5"/>
  <c r="AO329" i="5"/>
  <c r="AN329" i="5"/>
  <c r="AO44" i="5"/>
  <c r="AN44" i="5"/>
  <c r="AO319" i="5"/>
  <c r="AN319" i="5"/>
  <c r="AO94" i="5"/>
  <c r="AN94" i="5"/>
  <c r="AO405" i="5"/>
  <c r="AN405" i="5"/>
  <c r="AN188" i="5"/>
  <c r="AO188" i="5"/>
  <c r="AO76" i="5"/>
  <c r="AN76" i="5"/>
  <c r="AN375" i="5"/>
  <c r="AO375" i="5"/>
  <c r="AN165" i="5"/>
  <c r="AO165" i="5"/>
  <c r="AO295" i="5"/>
  <c r="AN295" i="5"/>
  <c r="AN100" i="5"/>
  <c r="AO100" i="5"/>
  <c r="V368" i="5"/>
  <c r="U368" i="5"/>
  <c r="AN236" i="5"/>
  <c r="AO236" i="5"/>
  <c r="AO208" i="5"/>
  <c r="AN208" i="5"/>
  <c r="U400" i="5"/>
  <c r="V400" i="5"/>
  <c r="V112" i="5"/>
  <c r="U112" i="5"/>
  <c r="AO144" i="5"/>
  <c r="AN144" i="5"/>
  <c r="U526" i="5"/>
  <c r="V526" i="5"/>
  <c r="AM137" i="4"/>
  <c r="AN137" i="4" s="1"/>
  <c r="W137" i="4"/>
  <c r="AO480" i="5"/>
  <c r="AN480" i="5"/>
  <c r="AO300" i="5"/>
  <c r="AN300" i="5"/>
  <c r="V328" i="5"/>
  <c r="U328" i="5"/>
  <c r="AO35" i="5"/>
  <c r="AN35" i="5"/>
  <c r="U518" i="5"/>
  <c r="V518" i="5"/>
  <c r="U349" i="5"/>
  <c r="V349" i="5"/>
  <c r="U307" i="5"/>
  <c r="V307" i="5"/>
  <c r="V285" i="5"/>
  <c r="U285" i="5"/>
  <c r="U141" i="5"/>
  <c r="V141" i="5"/>
  <c r="U19" i="5"/>
  <c r="V19" i="5"/>
  <c r="U552" i="5"/>
  <c r="V552" i="5"/>
  <c r="V44" i="5"/>
  <c r="U44" i="5"/>
  <c r="U510" i="5"/>
  <c r="V510" i="5"/>
  <c r="V481" i="5"/>
  <c r="U481" i="5"/>
  <c r="U420" i="5"/>
  <c r="V420" i="5"/>
  <c r="U323" i="5"/>
  <c r="V323" i="5"/>
  <c r="U190" i="5"/>
  <c r="V190" i="5"/>
  <c r="U28" i="5"/>
  <c r="V28" i="5"/>
  <c r="V506" i="5"/>
  <c r="U506" i="5"/>
  <c r="U443" i="5"/>
  <c r="V443" i="5"/>
  <c r="V415" i="5"/>
  <c r="U415" i="5"/>
  <c r="V316" i="5"/>
  <c r="U316" i="5"/>
  <c r="U203" i="5"/>
  <c r="V203" i="5"/>
  <c r="U30" i="5"/>
  <c r="V30" i="5"/>
  <c r="U495" i="5"/>
  <c r="V495" i="5"/>
  <c r="V339" i="5"/>
  <c r="U339" i="5"/>
  <c r="U437" i="5"/>
  <c r="V437" i="5"/>
  <c r="V313" i="5"/>
  <c r="U313" i="5"/>
  <c r="U196" i="5"/>
  <c r="V196" i="5"/>
  <c r="U502" i="5"/>
  <c r="V502" i="5"/>
  <c r="U470" i="5"/>
  <c r="V470" i="5"/>
  <c r="V507" i="5"/>
  <c r="U507" i="5"/>
  <c r="U405" i="5"/>
  <c r="V405" i="5"/>
  <c r="V311" i="5"/>
  <c r="U311" i="5"/>
  <c r="V188" i="5"/>
  <c r="U188" i="5"/>
  <c r="Q10" i="5"/>
  <c r="AG10" i="5"/>
  <c r="T10" i="5"/>
  <c r="AM10" i="5"/>
  <c r="W10" i="5"/>
  <c r="V383" i="5"/>
  <c r="U383" i="5"/>
  <c r="V329" i="5"/>
  <c r="U329" i="5"/>
  <c r="U233" i="5"/>
  <c r="V233" i="5"/>
  <c r="U114" i="5"/>
  <c r="V114" i="5"/>
  <c r="U514" i="5"/>
  <c r="V514" i="5"/>
  <c r="U498" i="5"/>
  <c r="V498" i="5"/>
  <c r="U382" i="5"/>
  <c r="V382" i="5"/>
  <c r="U356" i="5"/>
  <c r="V356" i="5"/>
  <c r="U252" i="5"/>
  <c r="V252" i="5"/>
  <c r="U125" i="5"/>
  <c r="V125" i="5"/>
  <c r="V487" i="5"/>
  <c r="U487" i="5"/>
  <c r="V451" i="5"/>
  <c r="U451" i="5"/>
  <c r="U354" i="5"/>
  <c r="V354" i="5"/>
  <c r="U249" i="5"/>
  <c r="V249" i="5"/>
  <c r="V151" i="5"/>
  <c r="U151" i="5"/>
  <c r="U74" i="5"/>
  <c r="V74" i="5"/>
  <c r="V26" i="5"/>
  <c r="U26" i="5"/>
  <c r="U87" i="5"/>
  <c r="V87" i="5"/>
  <c r="AN292" i="5"/>
  <c r="AO292" i="5"/>
  <c r="V546" i="5"/>
  <c r="U546" i="5"/>
  <c r="AO456" i="5"/>
  <c r="AN456" i="5"/>
  <c r="AO255" i="5"/>
  <c r="AN255" i="5"/>
  <c r="AO229" i="5"/>
  <c r="AN229" i="5"/>
  <c r="U472" i="5"/>
  <c r="V472" i="5"/>
  <c r="U464" i="5"/>
  <c r="V464" i="5"/>
  <c r="U550" i="5"/>
  <c r="V550" i="5"/>
  <c r="U375" i="5"/>
  <c r="V375" i="5"/>
  <c r="U37" i="5"/>
  <c r="V37" i="5"/>
  <c r="U403" i="5"/>
  <c r="V403" i="5"/>
  <c r="U377" i="5"/>
  <c r="V377" i="5"/>
  <c r="V161" i="5"/>
  <c r="U161" i="5"/>
  <c r="U91" i="5"/>
  <c r="V91" i="5"/>
  <c r="U280" i="5"/>
  <c r="V280" i="5"/>
  <c r="AP229" i="5"/>
  <c r="AR229" i="5" s="1"/>
  <c r="AP131" i="5"/>
  <c r="AQ131" i="5" s="1"/>
  <c r="AP94" i="5"/>
  <c r="AQ94" i="5" s="1"/>
  <c r="AP274" i="5"/>
  <c r="AQ274" i="5" s="1"/>
  <c r="AP79" i="5"/>
  <c r="AR79" i="5" s="1"/>
  <c r="AP127" i="5"/>
  <c r="AR127" i="5" s="1"/>
  <c r="AM68" i="4"/>
  <c r="AN68" i="4" s="1"/>
  <c r="AO95" i="5"/>
  <c r="AN95" i="5"/>
  <c r="AN202" i="5"/>
  <c r="AO202" i="5"/>
  <c r="AO350" i="5"/>
  <c r="AN350" i="5"/>
  <c r="AN351" i="5"/>
  <c r="AO351" i="5"/>
  <c r="AO517" i="5"/>
  <c r="AN517" i="5"/>
  <c r="AN345" i="5"/>
  <c r="AO345" i="5"/>
  <c r="AO483" i="5"/>
  <c r="AN483" i="5"/>
  <c r="AN364" i="5"/>
  <c r="AO364" i="5"/>
  <c r="AN244" i="5"/>
  <c r="AO244" i="5"/>
  <c r="AN502" i="5"/>
  <c r="AO502" i="5"/>
  <c r="AO247" i="5"/>
  <c r="AN247" i="5"/>
  <c r="AN559" i="5"/>
  <c r="AO559" i="5"/>
  <c r="AN315" i="5"/>
  <c r="AO315" i="5"/>
  <c r="AN77" i="5"/>
  <c r="AO77" i="5"/>
  <c r="AN468" i="5"/>
  <c r="AO468" i="5"/>
  <c r="AN323" i="5"/>
  <c r="AO323" i="5"/>
  <c r="AN52" i="5"/>
  <c r="AO52" i="5"/>
  <c r="AO414" i="5"/>
  <c r="AN414" i="5"/>
  <c r="AN170" i="5"/>
  <c r="AO170" i="5"/>
  <c r="AN317" i="5"/>
  <c r="AO317" i="5"/>
  <c r="AO74" i="5"/>
  <c r="AN74" i="5"/>
  <c r="U352" i="5"/>
  <c r="V352" i="5"/>
  <c r="AN440" i="5"/>
  <c r="AO440" i="5"/>
  <c r="AN203" i="5"/>
  <c r="AO203" i="5"/>
  <c r="U272" i="5"/>
  <c r="V272" i="5"/>
  <c r="U424" i="5"/>
  <c r="V424" i="5"/>
  <c r="AM77" i="4"/>
  <c r="W77" i="4"/>
  <c r="X77" i="4" s="1"/>
  <c r="AM150" i="4"/>
  <c r="AN150" i="4" s="1"/>
  <c r="W150" i="4"/>
  <c r="X150" i="4" s="1"/>
  <c r="V304" i="5"/>
  <c r="U304" i="5"/>
  <c r="V208" i="5"/>
  <c r="U208" i="5"/>
  <c r="AN464" i="5"/>
  <c r="AO464" i="5"/>
  <c r="AO107" i="5"/>
  <c r="AN107" i="5"/>
  <c r="V160" i="5"/>
  <c r="U160" i="5"/>
  <c r="AO99" i="5"/>
  <c r="AN99" i="5"/>
  <c r="W8" i="4"/>
  <c r="U536" i="5"/>
  <c r="V536" i="5"/>
  <c r="V273" i="5"/>
  <c r="U273" i="5"/>
  <c r="U146" i="5"/>
  <c r="V146" i="5"/>
  <c r="U221" i="5"/>
  <c r="V221" i="5"/>
  <c r="U419" i="5"/>
  <c r="V419" i="5"/>
  <c r="V553" i="5"/>
  <c r="U553" i="5"/>
  <c r="V539" i="5"/>
  <c r="U539" i="5"/>
  <c r="V523" i="5"/>
  <c r="U523" i="5"/>
  <c r="V482" i="5"/>
  <c r="U482" i="5"/>
  <c r="U447" i="5"/>
  <c r="V447" i="5"/>
  <c r="U387" i="5"/>
  <c r="V387" i="5"/>
  <c r="V237" i="5"/>
  <c r="U237" i="5"/>
  <c r="U79" i="5"/>
  <c r="V79" i="5"/>
  <c r="V520" i="5"/>
  <c r="U520" i="5"/>
  <c r="U477" i="5"/>
  <c r="V477" i="5"/>
  <c r="U324" i="5"/>
  <c r="V324" i="5"/>
  <c r="V381" i="5"/>
  <c r="U381" i="5"/>
  <c r="V284" i="5"/>
  <c r="U284" i="5"/>
  <c r="V186" i="5"/>
  <c r="U186" i="5"/>
  <c r="U509" i="5"/>
  <c r="V509" i="5"/>
  <c r="U473" i="5"/>
  <c r="V473" i="5"/>
  <c r="U508" i="5"/>
  <c r="V508" i="5"/>
  <c r="V410" i="5"/>
  <c r="U410" i="5"/>
  <c r="U276" i="5"/>
  <c r="V276" i="5"/>
  <c r="V185" i="5"/>
  <c r="U185" i="5"/>
  <c r="U559" i="5"/>
  <c r="V559" i="5"/>
  <c r="U439" i="5"/>
  <c r="V439" i="5"/>
  <c r="U466" i="5"/>
  <c r="V466" i="5"/>
  <c r="V367" i="5"/>
  <c r="U367" i="5"/>
  <c r="U266" i="5"/>
  <c r="V266" i="5"/>
  <c r="V183" i="5"/>
  <c r="U183" i="5"/>
  <c r="U471" i="5"/>
  <c r="V471" i="5"/>
  <c r="V353" i="5"/>
  <c r="U353" i="5"/>
  <c r="V262" i="5"/>
  <c r="U262" i="5"/>
  <c r="U180" i="5"/>
  <c r="V180" i="5"/>
  <c r="U109" i="5"/>
  <c r="V109" i="5"/>
  <c r="V544" i="5"/>
  <c r="U544" i="5"/>
  <c r="V468" i="5"/>
  <c r="U468" i="5"/>
  <c r="V348" i="5"/>
  <c r="U348" i="5"/>
  <c r="U293" i="5"/>
  <c r="V293" i="5"/>
  <c r="V230" i="5"/>
  <c r="U230" i="5"/>
  <c r="V156" i="5"/>
  <c r="U156" i="5"/>
  <c r="U461" i="5"/>
  <c r="V461" i="5"/>
  <c r="V379" i="5"/>
  <c r="U379" i="5"/>
  <c r="V310" i="5"/>
  <c r="U310" i="5"/>
  <c r="U225" i="5"/>
  <c r="V225" i="5"/>
  <c r="U155" i="5"/>
  <c r="V155" i="5"/>
  <c r="V59" i="5"/>
  <c r="U59" i="5"/>
  <c r="U121" i="5"/>
  <c r="V121" i="5"/>
  <c r="V105" i="5"/>
  <c r="U105" i="5"/>
  <c r="AO91" i="5"/>
  <c r="AN91" i="5"/>
  <c r="V554" i="5"/>
  <c r="U554" i="5"/>
  <c r="AN34" i="5"/>
  <c r="AO34" i="5"/>
  <c r="AO46" i="5"/>
  <c r="AN46" i="5"/>
  <c r="AN411" i="5"/>
  <c r="AO411" i="5"/>
  <c r="AO535" i="5"/>
  <c r="AN535" i="5"/>
  <c r="U150" i="5"/>
  <c r="V150" i="5"/>
  <c r="U245" i="5"/>
  <c r="V245" i="5"/>
  <c r="V93" i="5"/>
  <c r="U93" i="5"/>
  <c r="U222" i="5"/>
  <c r="V222" i="5"/>
  <c r="U191" i="5"/>
  <c r="V191" i="5"/>
  <c r="V282" i="5"/>
  <c r="U282" i="5"/>
  <c r="V364" i="5"/>
  <c r="U364" i="5"/>
  <c r="U525" i="5"/>
  <c r="V525" i="5"/>
  <c r="V318" i="5"/>
  <c r="U318" i="5"/>
  <c r="U43" i="5"/>
  <c r="V43" i="5"/>
  <c r="AP232" i="5"/>
  <c r="AQ232" i="5" s="1"/>
  <c r="AP381" i="5"/>
  <c r="AQ381" i="5" s="1"/>
  <c r="AP255" i="5"/>
  <c r="AQ255" i="5" s="1"/>
  <c r="AP531" i="5"/>
  <c r="AQ531" i="5" s="1"/>
  <c r="AP210" i="5"/>
  <c r="AQ210" i="5" s="1"/>
  <c r="AP360" i="5"/>
  <c r="AR360" i="5" s="1"/>
  <c r="AP216" i="5"/>
  <c r="AQ216" i="5" s="1"/>
  <c r="AP30" i="5"/>
  <c r="AR30" i="5" s="1"/>
  <c r="AP140" i="5"/>
  <c r="AR140" i="5" s="1"/>
  <c r="AO501" i="5"/>
  <c r="AN501" i="5"/>
  <c r="AN548" i="5"/>
  <c r="AO548" i="5"/>
  <c r="AO187" i="5"/>
  <c r="AN187" i="5"/>
  <c r="AN119" i="5"/>
  <c r="AO119" i="5"/>
  <c r="AN509" i="5"/>
  <c r="AO509" i="5"/>
  <c r="AN339" i="5"/>
  <c r="AO339" i="5"/>
  <c r="AO544" i="5"/>
  <c r="AN544" i="5"/>
  <c r="AO402" i="5"/>
  <c r="AN402" i="5"/>
  <c r="AO230" i="5"/>
  <c r="AN230" i="5"/>
  <c r="AN443" i="5"/>
  <c r="AO443" i="5"/>
  <c r="AN246" i="5"/>
  <c r="AO246" i="5"/>
  <c r="AN297" i="5"/>
  <c r="AO297" i="5"/>
  <c r="AO241" i="5"/>
  <c r="AN241" i="5"/>
  <c r="AN63" i="5"/>
  <c r="AO63" i="5"/>
  <c r="AN515" i="5"/>
  <c r="AO515" i="5"/>
  <c r="AN191" i="5"/>
  <c r="AO191" i="5"/>
  <c r="AN37" i="5"/>
  <c r="AO37" i="5"/>
  <c r="AO218" i="5"/>
  <c r="AN218" i="5"/>
  <c r="AN117" i="5"/>
  <c r="AO117" i="5"/>
  <c r="AO291" i="5"/>
  <c r="AN291" i="5"/>
  <c r="AO75" i="5"/>
  <c r="AN75" i="5"/>
  <c r="AM157" i="4"/>
  <c r="W157" i="4"/>
  <c r="X157" i="4" s="1"/>
  <c r="U192" i="5"/>
  <c r="V192" i="5"/>
  <c r="U232" i="5"/>
  <c r="V232" i="5"/>
  <c r="AN336" i="5"/>
  <c r="AO336" i="5"/>
  <c r="AN227" i="5"/>
  <c r="AO227" i="5"/>
  <c r="AN121" i="5"/>
  <c r="AO121" i="5"/>
  <c r="AN184" i="5"/>
  <c r="AO184" i="5"/>
  <c r="AN123" i="5"/>
  <c r="AO123" i="5"/>
  <c r="U485" i="5"/>
  <c r="V485" i="5"/>
  <c r="V457" i="5"/>
  <c r="U457" i="5"/>
  <c r="V181" i="5"/>
  <c r="U181" i="5"/>
  <c r="V547" i="5"/>
  <c r="U547" i="5"/>
  <c r="U142" i="5"/>
  <c r="V142" i="5"/>
  <c r="U492" i="5"/>
  <c r="V492" i="5"/>
  <c r="V542" i="5"/>
  <c r="U542" i="5"/>
  <c r="U467" i="5"/>
  <c r="V467" i="5"/>
  <c r="V445" i="5"/>
  <c r="U445" i="5"/>
  <c r="U455" i="5"/>
  <c r="V455" i="5"/>
  <c r="U357" i="5"/>
  <c r="V357" i="5"/>
  <c r="V350" i="5"/>
  <c r="U350" i="5"/>
  <c r="V306" i="5"/>
  <c r="U306" i="5"/>
  <c r="U177" i="5"/>
  <c r="V177" i="5"/>
  <c r="U423" i="5"/>
  <c r="V423" i="5"/>
  <c r="V452" i="5"/>
  <c r="U452" i="5"/>
  <c r="U399" i="5"/>
  <c r="V399" i="5"/>
  <c r="U345" i="5"/>
  <c r="V345" i="5"/>
  <c r="U135" i="5"/>
  <c r="V135" i="5"/>
  <c r="V170" i="5"/>
  <c r="U170" i="5"/>
  <c r="U397" i="5"/>
  <c r="V397" i="5"/>
  <c r="U446" i="5"/>
  <c r="V446" i="5"/>
  <c r="V441" i="5"/>
  <c r="U441" i="5"/>
  <c r="V378" i="5"/>
  <c r="U378" i="5"/>
  <c r="U334" i="5"/>
  <c r="V334" i="5"/>
  <c r="V169" i="5"/>
  <c r="U169" i="5"/>
  <c r="U524" i="5"/>
  <c r="V524" i="5"/>
  <c r="U398" i="5"/>
  <c r="V398" i="5"/>
  <c r="U417" i="5"/>
  <c r="V417" i="5"/>
  <c r="V337" i="5"/>
  <c r="U337" i="5"/>
  <c r="V332" i="5"/>
  <c r="U332" i="5"/>
  <c r="U140" i="5"/>
  <c r="V140" i="5"/>
  <c r="U442" i="5"/>
  <c r="V442" i="5"/>
  <c r="U228" i="5"/>
  <c r="V228" i="5"/>
  <c r="V321" i="5"/>
  <c r="U321" i="5"/>
  <c r="V199" i="5"/>
  <c r="U199" i="5"/>
  <c r="V85" i="5"/>
  <c r="U85" i="5"/>
  <c r="U540" i="5"/>
  <c r="V540" i="5"/>
  <c r="U438" i="5"/>
  <c r="V438" i="5"/>
  <c r="U195" i="5"/>
  <c r="V195" i="5"/>
  <c r="U261" i="5"/>
  <c r="V261" i="5"/>
  <c r="V174" i="5"/>
  <c r="U174" i="5"/>
  <c r="V106" i="5"/>
  <c r="U106" i="5"/>
  <c r="U425" i="5"/>
  <c r="V425" i="5"/>
  <c r="V340" i="5"/>
  <c r="U340" i="5"/>
  <c r="V290" i="5"/>
  <c r="U290" i="5"/>
  <c r="U243" i="5"/>
  <c r="V243" i="5"/>
  <c r="U95" i="5"/>
  <c r="V95" i="5"/>
  <c r="U52" i="5"/>
  <c r="V52" i="5"/>
  <c r="U83" i="5"/>
  <c r="V83" i="5"/>
  <c r="V89" i="5"/>
  <c r="U89" i="5"/>
  <c r="AO307" i="5"/>
  <c r="AN307" i="5"/>
  <c r="AO104" i="5"/>
  <c r="AN104" i="5"/>
  <c r="W102" i="4"/>
  <c r="Y102" i="4" s="1"/>
  <c r="AO469" i="5"/>
  <c r="AN469" i="5"/>
  <c r="AN460" i="5"/>
  <c r="AO460" i="5"/>
  <c r="AO531" i="5"/>
  <c r="AN531" i="5"/>
  <c r="AO237" i="5"/>
  <c r="AN237" i="5"/>
  <c r="V538" i="5"/>
  <c r="U538" i="5"/>
  <c r="U516" i="5"/>
  <c r="V516" i="5"/>
  <c r="U351" i="5"/>
  <c r="V351" i="5"/>
  <c r="V513" i="5"/>
  <c r="U513" i="5"/>
  <c r="U475" i="5"/>
  <c r="V475" i="5"/>
  <c r="V371" i="5"/>
  <c r="U371" i="5"/>
  <c r="AP447" i="5"/>
  <c r="AQ447" i="5" s="1"/>
  <c r="AP181" i="5"/>
  <c r="AR181" i="5" s="1"/>
  <c r="AP517" i="5"/>
  <c r="AQ517" i="5" s="1"/>
  <c r="AP426" i="5"/>
  <c r="AQ426" i="5" s="1"/>
  <c r="AP312" i="5"/>
  <c r="AQ312" i="5" s="1"/>
  <c r="AP239" i="5"/>
  <c r="AR239" i="5" s="1"/>
  <c r="AP474" i="5"/>
  <c r="AQ474" i="5" s="1"/>
  <c r="AP296" i="5"/>
  <c r="AQ296" i="5" s="1"/>
  <c r="V152" i="5"/>
  <c r="U152" i="5"/>
  <c r="AO400" i="5"/>
  <c r="AN400" i="5"/>
  <c r="U488" i="5"/>
  <c r="V488" i="5"/>
  <c r="AO353" i="5"/>
  <c r="AN353" i="5"/>
  <c r="AN439" i="5"/>
  <c r="AO439" i="5"/>
  <c r="AO523" i="5"/>
  <c r="AN523" i="5"/>
  <c r="AN479" i="5"/>
  <c r="AO479" i="5"/>
  <c r="AN466" i="5"/>
  <c r="AO466" i="5"/>
  <c r="AN268" i="5"/>
  <c r="AO268" i="5"/>
  <c r="AO513" i="5"/>
  <c r="AN513" i="5"/>
  <c r="AO277" i="5"/>
  <c r="AN277" i="5"/>
  <c r="AN158" i="5"/>
  <c r="AO158" i="5"/>
  <c r="AO382" i="5"/>
  <c r="AN382" i="5"/>
  <c r="AO242" i="5"/>
  <c r="AN242" i="5"/>
  <c r="AO494" i="5"/>
  <c r="AN494" i="5"/>
  <c r="AO327" i="5"/>
  <c r="AN327" i="5"/>
  <c r="AO30" i="5"/>
  <c r="AN30" i="5"/>
  <c r="AN333" i="5"/>
  <c r="AO333" i="5"/>
  <c r="AN217" i="5"/>
  <c r="AO217" i="5"/>
  <c r="AN541" i="5"/>
  <c r="AO541" i="5"/>
  <c r="AN309" i="5"/>
  <c r="AO309" i="5"/>
  <c r="AO102" i="5"/>
  <c r="AN102" i="5"/>
  <c r="AN215" i="5"/>
  <c r="AO215" i="5"/>
  <c r="AO67" i="5"/>
  <c r="AN67" i="5"/>
  <c r="AM103" i="4"/>
  <c r="AN103" i="4" s="1"/>
  <c r="W103" i="4"/>
  <c r="V416" i="5"/>
  <c r="U416" i="5"/>
  <c r="AN153" i="5"/>
  <c r="AO153" i="5"/>
  <c r="V32" i="5"/>
  <c r="U32" i="5"/>
  <c r="U360" i="5"/>
  <c r="V360" i="5"/>
  <c r="AO387" i="5"/>
  <c r="AN387" i="5"/>
  <c r="U392" i="5"/>
  <c r="V392" i="5"/>
  <c r="V373" i="5"/>
  <c r="U373" i="5"/>
  <c r="U469" i="5"/>
  <c r="V469" i="5"/>
  <c r="V558" i="5"/>
  <c r="U558" i="5"/>
  <c r="U394" i="5"/>
  <c r="V394" i="5"/>
  <c r="V535" i="5"/>
  <c r="U535" i="5"/>
  <c r="U521" i="5"/>
  <c r="V521" i="5"/>
  <c r="U486" i="5"/>
  <c r="V486" i="5"/>
  <c r="U500" i="5"/>
  <c r="V500" i="5"/>
  <c r="U530" i="5"/>
  <c r="V530" i="5"/>
  <c r="V511" i="5"/>
  <c r="U511" i="5"/>
  <c r="V402" i="5"/>
  <c r="U402" i="5"/>
  <c r="U286" i="5"/>
  <c r="V286" i="5"/>
  <c r="U270" i="5"/>
  <c r="V270" i="5"/>
  <c r="U138" i="5"/>
  <c r="V138" i="5"/>
  <c r="V528" i="5"/>
  <c r="U528" i="5"/>
  <c r="U413" i="5"/>
  <c r="V413" i="5"/>
  <c r="U363" i="5"/>
  <c r="V363" i="5"/>
  <c r="V283" i="5"/>
  <c r="U283" i="5"/>
  <c r="V301" i="5"/>
  <c r="U301" i="5"/>
  <c r="V173" i="5"/>
  <c r="U173" i="5"/>
  <c r="U449" i="5"/>
  <c r="V449" i="5"/>
  <c r="U401" i="5"/>
  <c r="V401" i="5"/>
  <c r="V287" i="5"/>
  <c r="U287" i="5"/>
  <c r="V342" i="5"/>
  <c r="U342" i="5"/>
  <c r="U295" i="5"/>
  <c r="V295" i="5"/>
  <c r="V171" i="5"/>
  <c r="U171" i="5"/>
  <c r="V406" i="5"/>
  <c r="U406" i="5"/>
  <c r="U522" i="5"/>
  <c r="V522" i="5"/>
  <c r="U388" i="5"/>
  <c r="V388" i="5"/>
  <c r="U267" i="5"/>
  <c r="V267" i="5"/>
  <c r="V289" i="5"/>
  <c r="U289" i="5"/>
  <c r="V149" i="5"/>
  <c r="U149" i="5"/>
  <c r="U533" i="5"/>
  <c r="V533" i="5"/>
  <c r="V389" i="5"/>
  <c r="U389" i="5"/>
  <c r="U302" i="5"/>
  <c r="V302" i="5"/>
  <c r="U223" i="5"/>
  <c r="V223" i="5"/>
  <c r="U76" i="5"/>
  <c r="V76" i="5"/>
  <c r="V489" i="5"/>
  <c r="U489" i="5"/>
  <c r="U532" i="5"/>
  <c r="V532" i="5"/>
  <c r="V386" i="5"/>
  <c r="U386" i="5"/>
  <c r="V331" i="5"/>
  <c r="U331" i="5"/>
  <c r="U166" i="5"/>
  <c r="V166" i="5"/>
  <c r="U107" i="5"/>
  <c r="V107" i="5"/>
  <c r="V374" i="5"/>
  <c r="U374" i="5"/>
  <c r="U162" i="5"/>
  <c r="V162" i="5"/>
  <c r="U259" i="5"/>
  <c r="V259" i="5"/>
  <c r="V159" i="5"/>
  <c r="U159" i="5"/>
  <c r="V35" i="5"/>
  <c r="U35" i="5"/>
  <c r="U117" i="5"/>
  <c r="V117" i="5"/>
  <c r="U25" i="5"/>
  <c r="V25" i="5"/>
  <c r="U55" i="5"/>
  <c r="V55" i="5"/>
  <c r="AN379" i="5"/>
  <c r="AO379" i="5"/>
  <c r="V408" i="5"/>
  <c r="U408" i="5"/>
  <c r="AO193" i="5"/>
  <c r="AN193" i="5"/>
  <c r="B102" i="2"/>
  <c r="B103" i="2" s="1"/>
  <c r="B73" i="2"/>
  <c r="B157" i="2"/>
  <c r="B92" i="2"/>
  <c r="B142" i="2"/>
  <c r="AH83" i="4"/>
  <c r="AH110" i="4"/>
  <c r="AH130" i="4"/>
  <c r="AH131" i="4"/>
  <c r="AH118" i="4"/>
  <c r="AH71" i="4"/>
  <c r="AH19" i="4"/>
  <c r="AH113" i="4"/>
  <c r="AH17" i="4"/>
  <c r="AH80" i="4"/>
  <c r="AH62" i="4"/>
  <c r="AH82" i="4"/>
  <c r="AH58" i="4"/>
  <c r="AH146" i="4"/>
  <c r="AH33" i="4"/>
  <c r="AH123" i="4"/>
  <c r="AH55" i="4"/>
  <c r="AH78" i="4"/>
  <c r="AH121" i="4"/>
  <c r="AH135" i="4"/>
  <c r="AH85" i="4"/>
  <c r="AH152" i="4"/>
  <c r="AH104" i="4"/>
  <c r="AH114" i="4"/>
  <c r="AH98" i="4"/>
  <c r="AH112" i="4"/>
  <c r="AH88" i="4"/>
  <c r="AH143" i="4"/>
  <c r="AH51" i="4"/>
  <c r="AH119" i="4"/>
  <c r="AH50" i="4"/>
  <c r="AK55" i="5"/>
  <c r="AL55" i="5"/>
  <c r="AL99" i="5"/>
  <c r="AK99" i="5"/>
  <c r="V7" i="5"/>
  <c r="U7" i="5"/>
  <c r="AK240" i="5"/>
  <c r="AL240" i="5"/>
  <c r="AK455" i="5"/>
  <c r="AL455" i="5"/>
  <c r="AK411" i="5"/>
  <c r="AL411" i="5"/>
  <c r="AP411" i="5"/>
  <c r="AK464" i="5"/>
  <c r="AL464" i="5"/>
  <c r="AL71" i="5"/>
  <c r="AK71" i="5"/>
  <c r="AP71" i="5"/>
  <c r="AP167" i="5"/>
  <c r="AK167" i="5"/>
  <c r="AL167" i="5"/>
  <c r="AK435" i="5"/>
  <c r="AL435" i="5"/>
  <c r="AP435" i="5"/>
  <c r="AL233" i="5"/>
  <c r="AK233" i="5"/>
  <c r="AK276" i="5"/>
  <c r="AL276" i="5"/>
  <c r="AL386" i="5"/>
  <c r="AK386" i="5"/>
  <c r="AK375" i="5"/>
  <c r="AL375" i="5"/>
  <c r="AP375" i="5"/>
  <c r="AK285" i="5"/>
  <c r="AL285" i="5"/>
  <c r="AL362" i="5"/>
  <c r="AP362" i="5"/>
  <c r="AK362" i="5"/>
  <c r="AK229" i="5"/>
  <c r="AL229" i="5"/>
  <c r="AK49" i="5"/>
  <c r="AP49" i="5"/>
  <c r="AL49" i="5"/>
  <c r="AP518" i="5"/>
  <c r="AL518" i="5"/>
  <c r="AK518" i="5"/>
  <c r="AK363" i="5"/>
  <c r="AL363" i="5"/>
  <c r="AK185" i="5"/>
  <c r="AP185" i="5"/>
  <c r="AL185" i="5"/>
  <c r="AK471" i="5"/>
  <c r="AL471" i="5"/>
  <c r="AP471" i="5"/>
  <c r="AL470" i="5"/>
  <c r="AK470" i="5"/>
  <c r="AK255" i="5"/>
  <c r="AL255" i="5"/>
  <c r="AL92" i="5"/>
  <c r="AK92" i="5"/>
  <c r="AK472" i="5"/>
  <c r="AL472" i="5"/>
  <c r="AP472" i="5"/>
  <c r="AK348" i="5"/>
  <c r="AL348" i="5"/>
  <c r="AL238" i="5"/>
  <c r="AK238" i="5"/>
  <c r="AK29" i="5"/>
  <c r="AL29" i="5"/>
  <c r="AK443" i="5"/>
  <c r="AL443" i="5"/>
  <c r="AP443" i="5"/>
  <c r="AP292" i="5"/>
  <c r="AL292" i="5"/>
  <c r="AK292" i="5"/>
  <c r="AK80" i="5"/>
  <c r="AP80" i="5"/>
  <c r="AL80" i="5"/>
  <c r="AK532" i="5"/>
  <c r="AP532" i="5"/>
  <c r="AL532" i="5"/>
  <c r="AL387" i="5"/>
  <c r="AK387" i="5"/>
  <c r="AK243" i="5"/>
  <c r="AL243" i="5"/>
  <c r="AP243" i="5"/>
  <c r="AK75" i="5"/>
  <c r="AL75" i="5"/>
  <c r="AP75" i="5"/>
  <c r="AK62" i="5"/>
  <c r="AP62" i="5"/>
  <c r="AL62" i="5"/>
  <c r="AL526" i="5"/>
  <c r="AK526" i="5"/>
  <c r="AP526" i="5"/>
  <c r="AK388" i="5"/>
  <c r="AL388" i="5"/>
  <c r="AP388" i="5"/>
  <c r="AK237" i="5"/>
  <c r="AL237" i="5"/>
  <c r="AL28" i="5"/>
  <c r="AK28" i="5"/>
  <c r="AP28" i="5"/>
  <c r="AK523" i="5"/>
  <c r="AL523" i="5"/>
  <c r="AK316" i="5"/>
  <c r="AL316" i="5"/>
  <c r="AK236" i="5"/>
  <c r="AL236" i="5"/>
  <c r="AP236" i="5"/>
  <c r="AL125" i="5"/>
  <c r="AK125" i="5"/>
  <c r="AP125" i="5"/>
  <c r="AK452" i="5"/>
  <c r="AL452" i="5"/>
  <c r="AK428" i="5"/>
  <c r="AL428" i="5"/>
  <c r="AL252" i="5"/>
  <c r="AK252" i="5"/>
  <c r="AK156" i="5"/>
  <c r="AP156" i="5"/>
  <c r="AL156" i="5"/>
  <c r="AL46" i="5"/>
  <c r="AK46" i="5"/>
  <c r="AP46" i="5"/>
  <c r="AL508" i="5"/>
  <c r="AK508" i="5"/>
  <c r="AP508" i="5"/>
  <c r="AL412" i="5"/>
  <c r="AK412" i="5"/>
  <c r="AK177" i="5"/>
  <c r="AL177" i="5"/>
  <c r="AP177" i="5"/>
  <c r="AK110" i="5"/>
  <c r="AL110" i="5"/>
  <c r="AL42" i="5"/>
  <c r="AK42" i="5"/>
  <c r="AL502" i="5"/>
  <c r="AK502" i="5"/>
  <c r="AP502" i="5"/>
  <c r="AK346" i="5"/>
  <c r="AL346" i="5"/>
  <c r="AK189" i="5"/>
  <c r="AL189" i="5"/>
  <c r="AK68" i="5"/>
  <c r="AL68" i="5"/>
  <c r="AP68" i="5"/>
  <c r="AL251" i="5"/>
  <c r="AK251" i="5"/>
  <c r="AP251" i="5"/>
  <c r="AK102" i="5"/>
  <c r="AL102" i="5"/>
  <c r="AP102" i="5"/>
  <c r="AK26" i="5"/>
  <c r="AL26" i="5"/>
  <c r="AK479" i="5"/>
  <c r="AL479" i="5"/>
  <c r="AP479" i="5"/>
  <c r="AM53" i="4"/>
  <c r="AN53" i="4" s="1"/>
  <c r="W53" i="4"/>
  <c r="Y53" i="4" s="1"/>
  <c r="Z53" i="4" s="1"/>
  <c r="AF53" i="4" s="1"/>
  <c r="AL369" i="5"/>
  <c r="AK369" i="5"/>
  <c r="AP369" i="5"/>
  <c r="AK376" i="5"/>
  <c r="AP376" i="5"/>
  <c r="AL376" i="5"/>
  <c r="AL95" i="5"/>
  <c r="AK95" i="5"/>
  <c r="AP95" i="5"/>
  <c r="AK351" i="5"/>
  <c r="AL351" i="5"/>
  <c r="AK152" i="5"/>
  <c r="AP152" i="5"/>
  <c r="AL152" i="5"/>
  <c r="AN7" i="5"/>
  <c r="AO7" i="5"/>
  <c r="AM90" i="4"/>
  <c r="AN90" i="4" s="1"/>
  <c r="W90" i="4"/>
  <c r="Y90" i="4" s="1"/>
  <c r="AK416" i="5"/>
  <c r="AL416" i="5"/>
  <c r="AP416" i="5"/>
  <c r="AI7" i="5"/>
  <c r="AH7" i="5"/>
  <c r="AP7" i="5"/>
  <c r="AP431" i="5"/>
  <c r="AL431" i="5"/>
  <c r="AK431" i="5"/>
  <c r="W55" i="4"/>
  <c r="Y55" i="4" s="1"/>
  <c r="Z55" i="4" s="1"/>
  <c r="AL353" i="5"/>
  <c r="AK353" i="5"/>
  <c r="AP353" i="5"/>
  <c r="AK113" i="5"/>
  <c r="AL113" i="5"/>
  <c r="AK534" i="5"/>
  <c r="AL534" i="5"/>
  <c r="AP534" i="5"/>
  <c r="AL31" i="5"/>
  <c r="AK31" i="5"/>
  <c r="AH99" i="4"/>
  <c r="AL81" i="5"/>
  <c r="AK81" i="5"/>
  <c r="AK160" i="5"/>
  <c r="AL160" i="5"/>
  <c r="AK135" i="5"/>
  <c r="AL135" i="5"/>
  <c r="AP452" i="5"/>
  <c r="AK531" i="5"/>
  <c r="AL531" i="5"/>
  <c r="AP208" i="5"/>
  <c r="AK208" i="5"/>
  <c r="AL208" i="5"/>
  <c r="AK389" i="5"/>
  <c r="AL389" i="5"/>
  <c r="AK501" i="5"/>
  <c r="AP501" i="5"/>
  <c r="AL501" i="5"/>
  <c r="AL374" i="5"/>
  <c r="AK374" i="5"/>
  <c r="AP374" i="5"/>
  <c r="AL215" i="5"/>
  <c r="AK215" i="5"/>
  <c r="AP215" i="5"/>
  <c r="AL24" i="5"/>
  <c r="AK24" i="5"/>
  <c r="AK466" i="5"/>
  <c r="AL466" i="5"/>
  <c r="AL325" i="5"/>
  <c r="AP325" i="5"/>
  <c r="AK325" i="5"/>
  <c r="AK123" i="5"/>
  <c r="AL123" i="5"/>
  <c r="AP123" i="5"/>
  <c r="AP468" i="5"/>
  <c r="AK468" i="5"/>
  <c r="AL468" i="5"/>
  <c r="AK407" i="5"/>
  <c r="AL407" i="5"/>
  <c r="AP407" i="5"/>
  <c r="AK284" i="5"/>
  <c r="AL284" i="5"/>
  <c r="AK73" i="5"/>
  <c r="AL73" i="5"/>
  <c r="AP73" i="5"/>
  <c r="AL414" i="5"/>
  <c r="AK414" i="5"/>
  <c r="AP414" i="5"/>
  <c r="AL408" i="5"/>
  <c r="AK408" i="5"/>
  <c r="AP408" i="5"/>
  <c r="AK196" i="5"/>
  <c r="AL196" i="5"/>
  <c r="AP196" i="5"/>
  <c r="AK557" i="5"/>
  <c r="AL557" i="5"/>
  <c r="AK505" i="5"/>
  <c r="AL505" i="5"/>
  <c r="AP505" i="5"/>
  <c r="AL315" i="5"/>
  <c r="AK315" i="5"/>
  <c r="AP315" i="5"/>
  <c r="AL128" i="5"/>
  <c r="AK128" i="5"/>
  <c r="AK538" i="5"/>
  <c r="AL538" i="5"/>
  <c r="AP538" i="5"/>
  <c r="AL406" i="5"/>
  <c r="AK406" i="5"/>
  <c r="AK181" i="5"/>
  <c r="AL181" i="5"/>
  <c r="AL63" i="5"/>
  <c r="AK63" i="5"/>
  <c r="AP63" i="5"/>
  <c r="AK39" i="5"/>
  <c r="AL39" i="5"/>
  <c r="AP39" i="5"/>
  <c r="AK437" i="5"/>
  <c r="AL437" i="5"/>
  <c r="AK434" i="5"/>
  <c r="AL434" i="5"/>
  <c r="AK204" i="5"/>
  <c r="AL204" i="5"/>
  <c r="AP204" i="5"/>
  <c r="AK514" i="5"/>
  <c r="AL514" i="5"/>
  <c r="AP514" i="5"/>
  <c r="AK492" i="5"/>
  <c r="AL492" i="5"/>
  <c r="AL286" i="5"/>
  <c r="AK286" i="5"/>
  <c r="AL172" i="5"/>
  <c r="AK172" i="5"/>
  <c r="AP172" i="5"/>
  <c r="AK85" i="5"/>
  <c r="AL85" i="5"/>
  <c r="AP85" i="5"/>
  <c r="AK552" i="5"/>
  <c r="AL552" i="5"/>
  <c r="AL381" i="5"/>
  <c r="AK381" i="5"/>
  <c r="AL322" i="5"/>
  <c r="AP322" i="5"/>
  <c r="AK322" i="5"/>
  <c r="AK164" i="5"/>
  <c r="AL164" i="5"/>
  <c r="AK497" i="5"/>
  <c r="AL497" i="5"/>
  <c r="AL418" i="5"/>
  <c r="AK418" i="5"/>
  <c r="AL356" i="5"/>
  <c r="AK356" i="5"/>
  <c r="AK305" i="5"/>
  <c r="AL305" i="5"/>
  <c r="AK149" i="5"/>
  <c r="AL149" i="5"/>
  <c r="AP44" i="5"/>
  <c r="AK44" i="5"/>
  <c r="AL44" i="5"/>
  <c r="AL506" i="5"/>
  <c r="AK506" i="5"/>
  <c r="AK333" i="5"/>
  <c r="AL333" i="5"/>
  <c r="AL234" i="5"/>
  <c r="AK234" i="5"/>
  <c r="AL38" i="5"/>
  <c r="AK38" i="5"/>
  <c r="AL329" i="5"/>
  <c r="AK329" i="5"/>
  <c r="AP329" i="5"/>
  <c r="AL141" i="5"/>
  <c r="AK141" i="5"/>
  <c r="AK256" i="5"/>
  <c r="AL256" i="5"/>
  <c r="AK447" i="5"/>
  <c r="AL447" i="5"/>
  <c r="AL112" i="5"/>
  <c r="AK112" i="5"/>
  <c r="AP164" i="5"/>
  <c r="AP305" i="5"/>
  <c r="AK459" i="5"/>
  <c r="AL459" i="5"/>
  <c r="AP459" i="5"/>
  <c r="AK88" i="5"/>
  <c r="AL88" i="5"/>
  <c r="AP88" i="5"/>
  <c r="AL541" i="5"/>
  <c r="AK541" i="5"/>
  <c r="AP541" i="5"/>
  <c r="AL56" i="5"/>
  <c r="AK56" i="5"/>
  <c r="AL144" i="5"/>
  <c r="AK144" i="5"/>
  <c r="AK368" i="5"/>
  <c r="AL368" i="5"/>
  <c r="AK7" i="5"/>
  <c r="AL7" i="5"/>
  <c r="AM122" i="4"/>
  <c r="AN122" i="4" s="1"/>
  <c r="W122" i="4"/>
  <c r="Y122" i="4" s="1"/>
  <c r="Z122" i="4" s="1"/>
  <c r="AK525" i="5"/>
  <c r="AL525" i="5"/>
  <c r="AK489" i="5"/>
  <c r="AL489" i="5"/>
  <c r="AP489" i="5"/>
  <c r="AK89" i="5"/>
  <c r="AL89" i="5"/>
  <c r="AP399" i="5"/>
  <c r="AK399" i="5"/>
  <c r="AL399" i="5"/>
  <c r="AK449" i="5"/>
  <c r="AL449" i="5"/>
  <c r="AK359" i="5"/>
  <c r="AL359" i="5"/>
  <c r="AM138" i="4"/>
  <c r="AN138" i="4" s="1"/>
  <c r="AM36" i="4"/>
  <c r="AN36" i="4" s="1"/>
  <c r="W36" i="4"/>
  <c r="Y36" i="4" s="1"/>
  <c r="Z36" i="4" s="1"/>
  <c r="AF36" i="4" s="1"/>
  <c r="AP412" i="5"/>
  <c r="AK495" i="5"/>
  <c r="AL495" i="5"/>
  <c r="AK536" i="5"/>
  <c r="AL536" i="5"/>
  <c r="AL493" i="5"/>
  <c r="AK493" i="5"/>
  <c r="AL433" i="5"/>
  <c r="AP433" i="5"/>
  <c r="AK433" i="5"/>
  <c r="AL427" i="5"/>
  <c r="AP427" i="5"/>
  <c r="AK427" i="5"/>
  <c r="AK162" i="5"/>
  <c r="AL162" i="5"/>
  <c r="AL543" i="5"/>
  <c r="AK543" i="5"/>
  <c r="AP543" i="5"/>
  <c r="AP288" i="5"/>
  <c r="AL288" i="5"/>
  <c r="AK288" i="5"/>
  <c r="AK245" i="5"/>
  <c r="AL245" i="5"/>
  <c r="AK87" i="5"/>
  <c r="AL87" i="5"/>
  <c r="AL261" i="5"/>
  <c r="AK261" i="5"/>
  <c r="AK323" i="5"/>
  <c r="AL323" i="5"/>
  <c r="AP323" i="5"/>
  <c r="AL209" i="5"/>
  <c r="AK209" i="5"/>
  <c r="AP209" i="5"/>
  <c r="AK66" i="5"/>
  <c r="AL66" i="5"/>
  <c r="AK503" i="5"/>
  <c r="AL503" i="5"/>
  <c r="AP503" i="5"/>
  <c r="AL344" i="5"/>
  <c r="AP344" i="5"/>
  <c r="AK344" i="5"/>
  <c r="AL168" i="5"/>
  <c r="AK168" i="5"/>
  <c r="AP168" i="5"/>
  <c r="AL554" i="5"/>
  <c r="AK554" i="5"/>
  <c r="AP554" i="5"/>
  <c r="AK444" i="5"/>
  <c r="AL444" i="5"/>
  <c r="AK248" i="5"/>
  <c r="AL248" i="5"/>
  <c r="AP248" i="5"/>
  <c r="AL104" i="5"/>
  <c r="AK104" i="5"/>
  <c r="AK458" i="5"/>
  <c r="AL458" i="5"/>
  <c r="AL336" i="5"/>
  <c r="AK336" i="5"/>
  <c r="AP336" i="5"/>
  <c r="AK219" i="5"/>
  <c r="AL219" i="5"/>
  <c r="AL25" i="5"/>
  <c r="AK25" i="5"/>
  <c r="AK23" i="5"/>
  <c r="AL23" i="5"/>
  <c r="AL266" i="5"/>
  <c r="AK266" i="5"/>
  <c r="AP266" i="5"/>
  <c r="AK377" i="5"/>
  <c r="AL377" i="5"/>
  <c r="AP377" i="5"/>
  <c r="AP179" i="5"/>
  <c r="AK179" i="5"/>
  <c r="AL179" i="5"/>
  <c r="AL462" i="5"/>
  <c r="AK462" i="5"/>
  <c r="AK429" i="5"/>
  <c r="AL429" i="5"/>
  <c r="AP429" i="5"/>
  <c r="AL258" i="5"/>
  <c r="AK258" i="5"/>
  <c r="AK228" i="5"/>
  <c r="AL228" i="5"/>
  <c r="AP228" i="5"/>
  <c r="AL60" i="5"/>
  <c r="AK60" i="5"/>
  <c r="AP60" i="5"/>
  <c r="AK485" i="5"/>
  <c r="AL485" i="5"/>
  <c r="AK300" i="5"/>
  <c r="AL300" i="5"/>
  <c r="AK310" i="5"/>
  <c r="AL310" i="5"/>
  <c r="AP310" i="5"/>
  <c r="AL114" i="5"/>
  <c r="AP114" i="5"/>
  <c r="AK114" i="5"/>
  <c r="AK535" i="5"/>
  <c r="AL535" i="5"/>
  <c r="AK482" i="5"/>
  <c r="AL482" i="5"/>
  <c r="AP482" i="5"/>
  <c r="AL340" i="5"/>
  <c r="AK340" i="5"/>
  <c r="AP269" i="5"/>
  <c r="AK269" i="5"/>
  <c r="AL269" i="5"/>
  <c r="AL118" i="5"/>
  <c r="AK118" i="5"/>
  <c r="AK486" i="5"/>
  <c r="AL486" i="5"/>
  <c r="AL446" i="5"/>
  <c r="AK446" i="5"/>
  <c r="AP446" i="5"/>
  <c r="AK221" i="5"/>
  <c r="AL221" i="5"/>
  <c r="AP242" i="5"/>
  <c r="AK242" i="5"/>
  <c r="AL242" i="5"/>
  <c r="AL370" i="5"/>
  <c r="AK370" i="5"/>
  <c r="AL294" i="5"/>
  <c r="AK294" i="5"/>
  <c r="AK70" i="5"/>
  <c r="AL70" i="5"/>
  <c r="AK199" i="5"/>
  <c r="AL199" i="5"/>
  <c r="AP351" i="5"/>
  <c r="AP286" i="5"/>
  <c r="AP523" i="5"/>
  <c r="AK155" i="5"/>
  <c r="AL155" i="5"/>
  <c r="AP155" i="5"/>
  <c r="B80" i="2"/>
  <c r="B143" i="2"/>
  <c r="B75" i="2"/>
  <c r="B108" i="2"/>
  <c r="B109" i="2" s="1"/>
  <c r="B98" i="2"/>
  <c r="AP55" i="5"/>
  <c r="AP221" i="5"/>
  <c r="AK224" i="5"/>
  <c r="AL224" i="5"/>
  <c r="AP224" i="5"/>
  <c r="AK223" i="5"/>
  <c r="AL223" i="5"/>
  <c r="AL35" i="5"/>
  <c r="AK35" i="5"/>
  <c r="AP35" i="5"/>
  <c r="AK97" i="5"/>
  <c r="AL97" i="5"/>
  <c r="AK367" i="5"/>
  <c r="AL367" i="5"/>
  <c r="AP367" i="5"/>
  <c r="AM149" i="4"/>
  <c r="AN149" i="4" s="1"/>
  <c r="W149" i="4"/>
  <c r="Y149" i="4" s="1"/>
  <c r="AL107" i="5"/>
  <c r="AK107" i="5"/>
  <c r="AP107" i="5"/>
  <c r="AL328" i="5"/>
  <c r="AK328" i="5"/>
  <c r="AK183" i="5"/>
  <c r="AP183" i="5"/>
  <c r="AL183" i="5"/>
  <c r="AK439" i="5"/>
  <c r="AL439" i="5"/>
  <c r="AL32" i="5"/>
  <c r="AK32" i="5"/>
  <c r="AP32" i="5"/>
  <c r="AL303" i="5"/>
  <c r="AP303" i="5"/>
  <c r="AK303" i="5"/>
  <c r="AK335" i="5"/>
  <c r="AL335" i="5"/>
  <c r="AL96" i="5"/>
  <c r="AK96" i="5"/>
  <c r="AL47" i="5"/>
  <c r="AK47" i="5"/>
  <c r="AL265" i="5"/>
  <c r="AK265" i="5"/>
  <c r="AP265" i="5"/>
  <c r="AL121" i="5"/>
  <c r="AK121" i="5"/>
  <c r="AP423" i="5"/>
  <c r="AK423" i="5"/>
  <c r="AL423" i="5"/>
  <c r="AM99" i="4"/>
  <c r="AN99" i="4" s="1"/>
  <c r="W99" i="4"/>
  <c r="Y99" i="4" s="1"/>
  <c r="Z99" i="4" s="1"/>
  <c r="AL201" i="5"/>
  <c r="AP201" i="5"/>
  <c r="AK201" i="5"/>
  <c r="AL306" i="5"/>
  <c r="AK306" i="5"/>
  <c r="AK400" i="5"/>
  <c r="AL400" i="5"/>
  <c r="AP400" i="5"/>
  <c r="AK212" i="5"/>
  <c r="AL212" i="5"/>
  <c r="AK520" i="5"/>
  <c r="AL520" i="5"/>
  <c r="AK365" i="5"/>
  <c r="AL365" i="5"/>
  <c r="AL178" i="5"/>
  <c r="AK178" i="5"/>
  <c r="AL475" i="5"/>
  <c r="AK475" i="5"/>
  <c r="AP475" i="5"/>
  <c r="AK476" i="5"/>
  <c r="AL476" i="5"/>
  <c r="AK268" i="5"/>
  <c r="AL268" i="5"/>
  <c r="AP268" i="5"/>
  <c r="AK98" i="5"/>
  <c r="AP98" i="5"/>
  <c r="AL98" i="5"/>
  <c r="AK491" i="5"/>
  <c r="AL491" i="5"/>
  <c r="AK364" i="5"/>
  <c r="AL364" i="5"/>
  <c r="AL244" i="5"/>
  <c r="AK244" i="5"/>
  <c r="AL30" i="5"/>
  <c r="AK30" i="5"/>
  <c r="AK450" i="5"/>
  <c r="AL450" i="5"/>
  <c r="AL304" i="5"/>
  <c r="AK304" i="5"/>
  <c r="AK86" i="5"/>
  <c r="AL86" i="5"/>
  <c r="AP86" i="5"/>
  <c r="AL549" i="5"/>
  <c r="AK549" i="5"/>
  <c r="AP549" i="5"/>
  <c r="AK391" i="5"/>
  <c r="AL391" i="5"/>
  <c r="AP391" i="5"/>
  <c r="AL247" i="5"/>
  <c r="AP247" i="5"/>
  <c r="AK247" i="5"/>
  <c r="AL76" i="5"/>
  <c r="AK76" i="5"/>
  <c r="AP76" i="5"/>
  <c r="AL393" i="5"/>
  <c r="AP393" i="5"/>
  <c r="AK393" i="5"/>
  <c r="AL390" i="5"/>
  <c r="AK390" i="5"/>
  <c r="AL182" i="5"/>
  <c r="AK182" i="5"/>
  <c r="AK137" i="5"/>
  <c r="AL137" i="5"/>
  <c r="AP137" i="5"/>
  <c r="AM13" i="5"/>
  <c r="T13" i="5"/>
  <c r="AG13" i="5"/>
  <c r="Q13" i="5"/>
  <c r="AJ13" i="5"/>
  <c r="W13" i="5"/>
  <c r="AK481" i="5"/>
  <c r="AL481" i="5"/>
  <c r="AP481" i="5"/>
  <c r="AK355" i="5"/>
  <c r="AL355" i="5"/>
  <c r="AK140" i="5"/>
  <c r="AL140" i="5"/>
  <c r="AL558" i="5"/>
  <c r="AK558" i="5"/>
  <c r="AK405" i="5"/>
  <c r="AL405" i="5"/>
  <c r="AL324" i="5"/>
  <c r="AK324" i="5"/>
  <c r="AK173" i="5"/>
  <c r="AL173" i="5"/>
  <c r="AK61" i="5"/>
  <c r="AL61" i="5"/>
  <c r="AP61" i="5"/>
  <c r="AK445" i="5"/>
  <c r="AL445" i="5"/>
  <c r="AP445" i="5"/>
  <c r="AL354" i="5"/>
  <c r="AK354" i="5"/>
  <c r="AK198" i="5"/>
  <c r="AL198" i="5"/>
  <c r="AP198" i="5"/>
  <c r="AL157" i="5"/>
  <c r="AK157" i="5"/>
  <c r="AL556" i="5"/>
  <c r="AK556" i="5"/>
  <c r="AL461" i="5"/>
  <c r="AK461" i="5"/>
  <c r="AK308" i="5"/>
  <c r="AP308" i="5"/>
  <c r="AL308" i="5"/>
  <c r="AK193" i="5"/>
  <c r="AP193" i="5"/>
  <c r="AL193" i="5"/>
  <c r="AP100" i="5"/>
  <c r="AK100" i="5"/>
  <c r="AL100" i="5"/>
  <c r="AL548" i="5"/>
  <c r="AK548" i="5"/>
  <c r="AL338" i="5"/>
  <c r="AK338" i="5"/>
  <c r="AL314" i="5"/>
  <c r="AK314" i="5"/>
  <c r="AL180" i="5"/>
  <c r="AK180" i="5"/>
  <c r="AP180" i="5"/>
  <c r="AK345" i="5"/>
  <c r="AL345" i="5"/>
  <c r="AL253" i="5"/>
  <c r="AK253" i="5"/>
  <c r="AP253" i="5"/>
  <c r="AK58" i="5"/>
  <c r="AL58" i="5"/>
  <c r="AP160" i="5"/>
  <c r="AP466" i="5"/>
  <c r="AL395" i="5"/>
  <c r="AP395" i="5"/>
  <c r="AK395" i="5"/>
  <c r="AP363" i="5"/>
  <c r="AK504" i="5"/>
  <c r="AL504" i="5"/>
  <c r="AP504" i="5"/>
  <c r="V12" i="5"/>
  <c r="U12" i="5"/>
  <c r="AK311" i="5"/>
  <c r="AP311" i="5"/>
  <c r="AL311" i="5"/>
  <c r="AM131" i="4"/>
  <c r="AN131" i="4" s="1"/>
  <c r="W131" i="4"/>
  <c r="Y131" i="4" s="1"/>
  <c r="AK111" i="5"/>
  <c r="AL111" i="5"/>
  <c r="AP111" i="5"/>
  <c r="AL40" i="5"/>
  <c r="AK40" i="5"/>
  <c r="AP40" i="5"/>
  <c r="AL280" i="5"/>
  <c r="AK280" i="5"/>
  <c r="AP328" i="5"/>
  <c r="X7" i="5"/>
  <c r="Y7" i="5"/>
  <c r="AL119" i="5"/>
  <c r="AK119" i="5"/>
  <c r="AK79" i="5"/>
  <c r="AL79" i="5"/>
  <c r="AL143" i="5"/>
  <c r="AK143" i="5"/>
  <c r="AK313" i="5"/>
  <c r="AL313" i="5"/>
  <c r="AK72" i="5"/>
  <c r="AL72" i="5"/>
  <c r="AL264" i="5"/>
  <c r="AK264" i="5"/>
  <c r="AK320" i="5"/>
  <c r="AP320" i="5"/>
  <c r="AL320" i="5"/>
  <c r="AL207" i="5"/>
  <c r="AK207" i="5"/>
  <c r="AP207" i="5"/>
  <c r="AL473" i="5"/>
  <c r="AK473" i="5"/>
  <c r="AP464" i="5"/>
  <c r="AL553" i="5"/>
  <c r="AK553" i="5"/>
  <c r="AH144" i="4"/>
  <c r="B105" i="2"/>
  <c r="B106" i="2" s="1"/>
  <c r="B74" i="2"/>
  <c r="B95" i="2"/>
  <c r="AL546" i="5"/>
  <c r="AK546" i="5"/>
  <c r="AP546" i="5"/>
  <c r="AK175" i="5"/>
  <c r="AL175" i="5"/>
  <c r="AK10" i="5"/>
  <c r="AL10" i="5"/>
  <c r="AL469" i="5"/>
  <c r="AP469" i="5"/>
  <c r="AK469" i="5"/>
  <c r="AK334" i="5"/>
  <c r="AP334" i="5"/>
  <c r="AL334" i="5"/>
  <c r="AL129" i="5"/>
  <c r="AK129" i="5"/>
  <c r="AK516" i="5"/>
  <c r="AL516" i="5"/>
  <c r="AK409" i="5"/>
  <c r="AL409" i="5"/>
  <c r="AP409" i="5"/>
  <c r="AK290" i="5"/>
  <c r="AL290" i="5"/>
  <c r="AK91" i="5"/>
  <c r="AL91" i="5"/>
  <c r="AL424" i="5"/>
  <c r="AK424" i="5"/>
  <c r="AP424" i="5"/>
  <c r="AK419" i="5"/>
  <c r="AL419" i="5"/>
  <c r="AK124" i="5"/>
  <c r="AL124" i="5"/>
  <c r="AP124" i="5"/>
  <c r="AK474" i="5"/>
  <c r="AL474" i="5"/>
  <c r="AK511" i="5"/>
  <c r="AL511" i="5"/>
  <c r="AP511" i="5"/>
  <c r="AK332" i="5"/>
  <c r="AL332" i="5"/>
  <c r="AL146" i="5"/>
  <c r="AK146" i="5"/>
  <c r="AL540" i="5"/>
  <c r="AK540" i="5"/>
  <c r="AK415" i="5"/>
  <c r="AL415" i="5"/>
  <c r="AP415" i="5"/>
  <c r="AK192" i="5"/>
  <c r="AL192" i="5"/>
  <c r="AL69" i="5"/>
  <c r="AK69" i="5"/>
  <c r="AL494" i="5"/>
  <c r="AK494" i="5"/>
  <c r="AL296" i="5"/>
  <c r="AK296" i="5"/>
  <c r="AL154" i="5"/>
  <c r="AK154" i="5"/>
  <c r="AK151" i="5"/>
  <c r="AL151" i="5"/>
  <c r="AP151" i="5"/>
  <c r="AP19" i="5"/>
  <c r="AL19" i="5"/>
  <c r="AK19" i="5"/>
  <c r="AK373" i="5"/>
  <c r="AL373" i="5"/>
  <c r="AP373" i="5"/>
  <c r="AL267" i="5"/>
  <c r="AK267" i="5"/>
  <c r="AK134" i="5"/>
  <c r="AL134" i="5"/>
  <c r="AK490" i="5"/>
  <c r="AP490" i="5"/>
  <c r="AL490" i="5"/>
  <c r="AK382" i="5"/>
  <c r="AL382" i="5"/>
  <c r="AL301" i="5"/>
  <c r="AK301" i="5"/>
  <c r="AK166" i="5"/>
  <c r="AL166" i="5"/>
  <c r="AK52" i="5"/>
  <c r="AL52" i="5"/>
  <c r="AP52" i="5"/>
  <c r="AK421" i="5"/>
  <c r="AL421" i="5"/>
  <c r="AK413" i="5"/>
  <c r="AP413" i="5"/>
  <c r="AL413" i="5"/>
  <c r="AL197" i="5"/>
  <c r="AK197" i="5"/>
  <c r="AP197" i="5"/>
  <c r="AL130" i="5"/>
  <c r="AK130" i="5"/>
  <c r="AK547" i="5"/>
  <c r="AP547" i="5"/>
  <c r="AL547" i="5"/>
  <c r="AP385" i="5"/>
  <c r="AK385" i="5"/>
  <c r="AL385" i="5"/>
  <c r="AL277" i="5"/>
  <c r="AK277" i="5"/>
  <c r="AP277" i="5"/>
  <c r="AK222" i="5"/>
  <c r="AL222" i="5"/>
  <c r="AL109" i="5"/>
  <c r="AK109" i="5"/>
  <c r="AL528" i="5"/>
  <c r="AK528" i="5"/>
  <c r="AK396" i="5"/>
  <c r="AL396" i="5"/>
  <c r="AP254" i="5"/>
  <c r="AK254" i="5"/>
  <c r="AL254" i="5"/>
  <c r="AK133" i="5"/>
  <c r="AL133" i="5"/>
  <c r="AL246" i="5"/>
  <c r="AK246" i="5"/>
  <c r="AP246" i="5"/>
  <c r="AK241" i="5"/>
  <c r="AL241" i="5"/>
  <c r="AP241" i="5"/>
  <c r="AK65" i="5"/>
  <c r="AL65" i="5"/>
  <c r="AP128" i="5"/>
  <c r="AK384" i="5"/>
  <c r="AL384" i="5"/>
  <c r="AP553" i="5"/>
  <c r="AP121" i="5"/>
  <c r="AP154" i="5"/>
  <c r="AP149" i="5"/>
  <c r="AL203" i="5"/>
  <c r="AP203" i="5"/>
  <c r="AK203" i="5"/>
  <c r="AL176" i="5"/>
  <c r="AK176" i="5"/>
  <c r="AP256" i="5"/>
  <c r="AK448" i="5"/>
  <c r="AL448" i="5"/>
  <c r="AL263" i="5"/>
  <c r="AK263" i="5"/>
  <c r="AP263" i="5"/>
  <c r="AM75" i="4"/>
  <c r="AN75" i="4" s="1"/>
  <c r="AP316" i="5"/>
  <c r="AP285" i="5"/>
  <c r="AP294" i="5"/>
  <c r="AP115" i="5"/>
  <c r="AK115" i="5"/>
  <c r="AL115" i="5"/>
  <c r="AL339" i="5"/>
  <c r="AP339" i="5"/>
  <c r="AK339" i="5"/>
  <c r="AL360" i="5"/>
  <c r="AK360" i="5"/>
  <c r="AK127" i="5"/>
  <c r="AL127" i="5"/>
  <c r="AK83" i="5"/>
  <c r="AL83" i="5"/>
  <c r="AP83" i="5"/>
  <c r="AK48" i="5"/>
  <c r="AL48" i="5"/>
  <c r="AP240" i="5"/>
  <c r="AK488" i="5"/>
  <c r="AL488" i="5"/>
  <c r="AM147" i="4"/>
  <c r="AN147" i="4" s="1"/>
  <c r="W147" i="4"/>
  <c r="Y147" i="4" s="1"/>
  <c r="Z147" i="4" s="1"/>
  <c r="AM31" i="4"/>
  <c r="AN31" i="4" s="1"/>
  <c r="W31" i="4"/>
  <c r="Y31" i="4" s="1"/>
  <c r="Z31" i="4" s="1"/>
  <c r="AF31" i="4" s="1"/>
  <c r="AP113" i="5"/>
  <c r="AP96" i="5"/>
  <c r="AK216" i="5"/>
  <c r="AL216" i="5"/>
  <c r="AK271" i="5"/>
  <c r="AL271" i="5"/>
  <c r="AP271" i="5"/>
  <c r="AK430" i="5"/>
  <c r="AL430" i="5"/>
  <c r="AP430" i="5"/>
  <c r="AL456" i="5"/>
  <c r="AK456" i="5"/>
  <c r="AP456" i="5"/>
  <c r="AL545" i="5"/>
  <c r="AK545" i="5"/>
  <c r="AL361" i="5"/>
  <c r="AK361" i="5"/>
  <c r="AP361" i="5"/>
  <c r="AK260" i="5"/>
  <c r="AL260" i="5"/>
  <c r="AK122" i="5"/>
  <c r="AL122" i="5"/>
  <c r="AP122" i="5"/>
  <c r="AP279" i="5"/>
  <c r="AL279" i="5"/>
  <c r="AK279" i="5"/>
  <c r="AL343" i="5"/>
  <c r="AK343" i="5"/>
  <c r="AP343" i="5"/>
  <c r="AK220" i="5"/>
  <c r="AL220" i="5"/>
  <c r="AP220" i="5"/>
  <c r="AK27" i="5"/>
  <c r="AL27" i="5"/>
  <c r="AP27" i="5"/>
  <c r="AK513" i="5"/>
  <c r="AL513" i="5"/>
  <c r="AP513" i="5"/>
  <c r="AK350" i="5"/>
  <c r="AL350" i="5"/>
  <c r="AP174" i="5"/>
  <c r="AK174" i="5"/>
  <c r="AL174" i="5"/>
  <c r="AL560" i="5"/>
  <c r="AK560" i="5"/>
  <c r="AK453" i="5"/>
  <c r="AL453" i="5"/>
  <c r="AP453" i="5"/>
  <c r="AK249" i="5"/>
  <c r="AL249" i="5"/>
  <c r="AP249" i="5"/>
  <c r="AK90" i="5"/>
  <c r="AL90" i="5"/>
  <c r="AP90" i="5"/>
  <c r="AL460" i="5"/>
  <c r="AK460" i="5"/>
  <c r="AL341" i="5"/>
  <c r="AK341" i="5"/>
  <c r="AK235" i="5"/>
  <c r="AL235" i="5"/>
  <c r="AP235" i="5"/>
  <c r="AL37" i="5"/>
  <c r="AK37" i="5"/>
  <c r="AL441" i="5"/>
  <c r="AK441" i="5"/>
  <c r="AP441" i="5"/>
  <c r="AK289" i="5"/>
  <c r="AL289" i="5"/>
  <c r="AP289" i="5"/>
  <c r="AK145" i="5"/>
  <c r="AL145" i="5"/>
  <c r="AP145" i="5"/>
  <c r="AL136" i="5"/>
  <c r="AP136" i="5"/>
  <c r="AK136" i="5"/>
  <c r="AK498" i="5"/>
  <c r="AL498" i="5"/>
  <c r="AP480" i="5"/>
  <c r="AL480" i="5"/>
  <c r="AK480" i="5"/>
  <c r="AL287" i="5"/>
  <c r="AK287" i="5"/>
  <c r="AK106" i="5"/>
  <c r="AL106" i="5"/>
  <c r="AP106" i="5"/>
  <c r="AK422" i="5"/>
  <c r="AL422" i="5"/>
  <c r="AL398" i="5"/>
  <c r="AK398" i="5"/>
  <c r="AK230" i="5"/>
  <c r="AL230" i="5"/>
  <c r="AP230" i="5"/>
  <c r="AK150" i="5"/>
  <c r="AL150" i="5"/>
  <c r="AP150" i="5"/>
  <c r="AK21" i="5"/>
  <c r="AL21" i="5"/>
  <c r="AK509" i="5"/>
  <c r="AL509" i="5"/>
  <c r="AP509" i="5"/>
  <c r="AL380" i="5"/>
  <c r="AK380" i="5"/>
  <c r="AK226" i="5"/>
  <c r="AL226" i="5"/>
  <c r="AK84" i="5"/>
  <c r="AL84" i="5"/>
  <c r="AP84" i="5"/>
  <c r="AK527" i="5"/>
  <c r="AL527" i="5"/>
  <c r="AL401" i="5"/>
  <c r="AP401" i="5"/>
  <c r="AK401" i="5"/>
  <c r="AK250" i="5"/>
  <c r="AL250" i="5"/>
  <c r="AK194" i="5"/>
  <c r="AL194" i="5"/>
  <c r="AK78" i="5"/>
  <c r="AL78" i="5"/>
  <c r="AP550" i="5"/>
  <c r="AK550" i="5"/>
  <c r="AL550" i="5"/>
  <c r="AK420" i="5"/>
  <c r="AL420" i="5"/>
  <c r="AK330" i="5"/>
  <c r="AL330" i="5"/>
  <c r="AL116" i="5"/>
  <c r="AK116" i="5"/>
  <c r="AP116" i="5"/>
  <c r="AK297" i="5"/>
  <c r="AL297" i="5"/>
  <c r="AP297" i="5"/>
  <c r="AK214" i="5"/>
  <c r="AL214" i="5"/>
  <c r="AK36" i="5"/>
  <c r="AP36" i="5"/>
  <c r="AL36" i="5"/>
  <c r="AK512" i="5"/>
  <c r="AL512" i="5"/>
  <c r="W60" i="4"/>
  <c r="Y60" i="4" s="1"/>
  <c r="AP473" i="5"/>
  <c r="AP439" i="5"/>
  <c r="AM85" i="4"/>
  <c r="AN85" i="4" s="1"/>
  <c r="W85" i="4"/>
  <c r="Y85" i="4" s="1"/>
  <c r="Z85" i="4" s="1"/>
  <c r="AP89" i="5"/>
  <c r="AP449" i="5"/>
  <c r="AP458" i="5"/>
  <c r="AL59" i="5"/>
  <c r="AK59" i="5"/>
  <c r="AP59" i="5"/>
  <c r="AK457" i="5"/>
  <c r="AL457" i="5"/>
  <c r="AL519" i="5"/>
  <c r="AK519" i="5"/>
  <c r="AP519" i="5"/>
  <c r="AK217" i="5"/>
  <c r="AL217" i="5"/>
  <c r="AK200" i="5"/>
  <c r="AL200" i="5"/>
  <c r="AP200" i="5"/>
  <c r="AM104" i="4"/>
  <c r="AN104" i="4" s="1"/>
  <c r="W104" i="4"/>
  <c r="Y104" i="4" s="1"/>
  <c r="Z104" i="4" s="1"/>
  <c r="AM156" i="4"/>
  <c r="AN156" i="4" s="1"/>
  <c r="W156" i="4"/>
  <c r="Y156" i="4" s="1"/>
  <c r="Z156" i="4" s="1"/>
  <c r="AK432" i="5"/>
  <c r="AL432" i="5"/>
  <c r="AP223" i="5"/>
  <c r="AL8" i="5"/>
  <c r="AK8" i="5"/>
  <c r="AP280" i="5"/>
  <c r="S7" i="5"/>
  <c r="R7" i="5"/>
  <c r="AH90" i="4"/>
  <c r="AL312" i="5"/>
  <c r="AK312" i="5"/>
  <c r="AK295" i="5"/>
  <c r="AL295" i="5"/>
  <c r="AP295" i="5"/>
  <c r="AP455" i="5"/>
  <c r="AL211" i="5"/>
  <c r="AK211" i="5"/>
  <c r="AL347" i="5"/>
  <c r="AK347" i="5"/>
  <c r="AP347" i="5"/>
  <c r="AM88" i="4"/>
  <c r="AN88" i="4" s="1"/>
  <c r="W88" i="4"/>
  <c r="Y88" i="4" s="1"/>
  <c r="Z88" i="4" s="1"/>
  <c r="AP8" i="5"/>
  <c r="AK327" i="5"/>
  <c r="AL327" i="5"/>
  <c r="W110" i="4"/>
  <c r="Y110" i="4" s="1"/>
  <c r="Z110" i="4" s="1"/>
  <c r="AM110" i="4"/>
  <c r="AN110" i="4" s="1"/>
  <c r="AP341" i="5"/>
  <c r="AL438" i="5"/>
  <c r="AK438" i="5"/>
  <c r="AK326" i="5"/>
  <c r="AL326" i="5"/>
  <c r="AL318" i="5"/>
  <c r="AK318" i="5"/>
  <c r="AL478" i="5"/>
  <c r="AK478" i="5"/>
  <c r="AP478" i="5"/>
  <c r="AL477" i="5"/>
  <c r="AK477" i="5"/>
  <c r="AK275" i="5"/>
  <c r="AL275" i="5"/>
  <c r="AP275" i="5"/>
  <c r="AK103" i="5"/>
  <c r="AL103" i="5"/>
  <c r="AL496" i="5"/>
  <c r="AK496" i="5"/>
  <c r="AP366" i="5"/>
  <c r="AK366" i="5"/>
  <c r="AL366" i="5"/>
  <c r="AK202" i="5"/>
  <c r="AL202" i="5"/>
  <c r="AK41" i="5"/>
  <c r="AL41" i="5"/>
  <c r="AP41" i="5"/>
  <c r="AK463" i="5"/>
  <c r="AL463" i="5"/>
  <c r="AL319" i="5"/>
  <c r="AK319" i="5"/>
  <c r="AP319" i="5"/>
  <c r="AL108" i="5"/>
  <c r="AK108" i="5"/>
  <c r="AP108" i="5"/>
  <c r="AL559" i="5"/>
  <c r="AK559" i="5"/>
  <c r="AP559" i="5"/>
  <c r="AK397" i="5"/>
  <c r="AL397" i="5"/>
  <c r="AL262" i="5"/>
  <c r="AK262" i="5"/>
  <c r="AK77" i="5"/>
  <c r="AL77" i="5"/>
  <c r="AK402" i="5"/>
  <c r="AL402" i="5"/>
  <c r="AK392" i="5"/>
  <c r="AL392" i="5"/>
  <c r="AK184" i="5"/>
  <c r="AL184" i="5"/>
  <c r="AL555" i="5"/>
  <c r="AP555" i="5"/>
  <c r="AK555" i="5"/>
  <c r="AL500" i="5"/>
  <c r="AP500" i="5"/>
  <c r="AK500" i="5"/>
  <c r="AK309" i="5"/>
  <c r="AP309" i="5"/>
  <c r="AL309" i="5"/>
  <c r="AL126" i="5"/>
  <c r="AK126" i="5"/>
  <c r="AK117" i="5"/>
  <c r="AL117" i="5"/>
  <c r="AK530" i="5"/>
  <c r="AL530" i="5"/>
  <c r="AK352" i="5"/>
  <c r="AL352" i="5"/>
  <c r="AP352" i="5"/>
  <c r="AK321" i="5"/>
  <c r="AL321" i="5"/>
  <c r="AK82" i="5"/>
  <c r="AL82" i="5"/>
  <c r="AL510" i="5"/>
  <c r="AK510" i="5"/>
  <c r="AK358" i="5"/>
  <c r="AL358" i="5"/>
  <c r="AP358" i="5"/>
  <c r="AL317" i="5"/>
  <c r="AK317" i="5"/>
  <c r="AP317" i="5"/>
  <c r="AL132" i="5"/>
  <c r="AP132" i="5"/>
  <c r="AK132" i="5"/>
  <c r="AL20" i="5"/>
  <c r="AK20" i="5"/>
  <c r="AL454" i="5"/>
  <c r="AK454" i="5"/>
  <c r="AK357" i="5"/>
  <c r="AL357" i="5"/>
  <c r="AP357" i="5"/>
  <c r="AL205" i="5"/>
  <c r="AK205" i="5"/>
  <c r="AK54" i="5"/>
  <c r="AL54" i="5"/>
  <c r="AP442" i="5"/>
  <c r="AK442" i="5"/>
  <c r="AL442" i="5"/>
  <c r="AK394" i="5"/>
  <c r="AL394" i="5"/>
  <c r="AL293" i="5"/>
  <c r="AK293" i="5"/>
  <c r="AP293" i="5"/>
  <c r="AK165" i="5"/>
  <c r="AL165" i="5"/>
  <c r="AL74" i="5"/>
  <c r="AP74" i="5"/>
  <c r="AK74" i="5"/>
  <c r="AL542" i="5"/>
  <c r="AK542" i="5"/>
  <c r="AK378" i="5"/>
  <c r="AL378" i="5"/>
  <c r="AL298" i="5"/>
  <c r="AK298" i="5"/>
  <c r="AP298" i="5"/>
  <c r="AK138" i="5"/>
  <c r="AL138" i="5"/>
  <c r="AK270" i="5"/>
  <c r="AL270" i="5"/>
  <c r="AL148" i="5"/>
  <c r="AK148" i="5"/>
  <c r="AK34" i="5"/>
  <c r="AL34" i="5"/>
  <c r="AP91" i="5"/>
  <c r="AK231" i="5"/>
  <c r="AL231" i="5"/>
  <c r="AP231" i="5"/>
  <c r="AP419" i="5"/>
  <c r="AP29" i="5"/>
  <c r="AP389" i="5"/>
  <c r="AP99" i="5"/>
  <c r="AK191" i="5"/>
  <c r="AL191" i="5"/>
  <c r="AP191" i="5"/>
  <c r="AP421" i="5"/>
  <c r="AP162" i="5"/>
  <c r="AK131" i="5"/>
  <c r="AL131" i="5"/>
  <c r="AK171" i="5"/>
  <c r="AP171" i="5"/>
  <c r="AL171" i="5"/>
  <c r="AL195" i="5"/>
  <c r="AK195" i="5"/>
  <c r="AP195" i="5"/>
  <c r="AK467" i="5"/>
  <c r="AL467" i="5"/>
  <c r="AP467" i="5"/>
  <c r="AK403" i="5"/>
  <c r="AL403" i="5"/>
  <c r="AP403" i="5"/>
  <c r="AL272" i="5"/>
  <c r="AK272" i="5"/>
  <c r="AP272" i="5"/>
  <c r="AL299" i="5"/>
  <c r="AK299" i="5"/>
  <c r="AK239" i="5"/>
  <c r="AL239" i="5"/>
  <c r="AL291" i="5"/>
  <c r="AK291" i="5"/>
  <c r="AK487" i="5"/>
  <c r="AL487" i="5"/>
  <c r="AK515" i="5"/>
  <c r="AL515" i="5"/>
  <c r="AP515" i="5"/>
  <c r="AP264" i="5"/>
  <c r="AL163" i="5"/>
  <c r="AK163" i="5"/>
  <c r="AP163" i="5"/>
  <c r="AP97" i="5"/>
  <c r="AK507" i="5"/>
  <c r="AL507" i="5"/>
  <c r="AP507" i="5"/>
  <c r="AL524" i="5"/>
  <c r="AK524" i="5"/>
  <c r="AL210" i="5"/>
  <c r="AK210" i="5"/>
  <c r="AL522" i="5"/>
  <c r="AK522" i="5"/>
  <c r="AK410" i="5"/>
  <c r="AL410" i="5"/>
  <c r="AL302" i="5"/>
  <c r="AK302" i="5"/>
  <c r="AL67" i="5"/>
  <c r="AK67" i="5"/>
  <c r="AP67" i="5"/>
  <c r="AP425" i="5"/>
  <c r="AK425" i="5"/>
  <c r="AL425" i="5"/>
  <c r="AK426" i="5"/>
  <c r="AL426" i="5"/>
  <c r="AK142" i="5"/>
  <c r="AL142" i="5"/>
  <c r="AK529" i="5"/>
  <c r="AL529" i="5"/>
  <c r="AP529" i="5"/>
  <c r="AP537" i="5"/>
  <c r="AL537" i="5"/>
  <c r="AK537" i="5"/>
  <c r="AL190" i="5"/>
  <c r="AK190" i="5"/>
  <c r="AK161" i="5"/>
  <c r="AL161" i="5"/>
  <c r="AP161" i="5"/>
  <c r="AL544" i="5"/>
  <c r="AK544" i="5"/>
  <c r="AL259" i="5"/>
  <c r="AK259" i="5"/>
  <c r="AK206" i="5"/>
  <c r="AL206" i="5"/>
  <c r="AP206" i="5"/>
  <c r="AL53" i="5"/>
  <c r="AK53" i="5"/>
  <c r="AP53" i="5"/>
  <c r="AK499" i="5"/>
  <c r="AL499" i="5"/>
  <c r="AL337" i="5"/>
  <c r="AK337" i="5"/>
  <c r="AL139" i="5"/>
  <c r="AK139" i="5"/>
  <c r="AP139" i="5"/>
  <c r="AL551" i="5"/>
  <c r="AK551" i="5"/>
  <c r="AL440" i="5"/>
  <c r="AP440" i="5"/>
  <c r="AK440" i="5"/>
  <c r="AK331" i="5"/>
  <c r="AL331" i="5"/>
  <c r="AP331" i="5"/>
  <c r="AK94" i="5"/>
  <c r="AL94" i="5"/>
  <c r="AK93" i="5"/>
  <c r="AL93" i="5"/>
  <c r="AK404" i="5"/>
  <c r="AL404" i="5"/>
  <c r="AL372" i="5"/>
  <c r="AK372" i="5"/>
  <c r="AL232" i="5"/>
  <c r="AK232" i="5"/>
  <c r="AL57" i="5"/>
  <c r="AP57" i="5"/>
  <c r="AK57" i="5"/>
  <c r="AK436" i="5"/>
  <c r="AL436" i="5"/>
  <c r="AK274" i="5"/>
  <c r="AL274" i="5"/>
  <c r="AK278" i="5"/>
  <c r="AL278" i="5"/>
  <c r="AK158" i="5"/>
  <c r="AL158" i="5"/>
  <c r="AK22" i="5"/>
  <c r="AL22" i="5"/>
  <c r="AK484" i="5"/>
  <c r="AL484" i="5"/>
  <c r="AP484" i="5"/>
  <c r="AK282" i="5"/>
  <c r="AP282" i="5"/>
  <c r="AL282" i="5"/>
  <c r="AK170" i="5"/>
  <c r="AL170" i="5"/>
  <c r="AP170" i="5"/>
  <c r="AK45" i="5"/>
  <c r="AL45" i="5"/>
  <c r="AL417" i="5"/>
  <c r="AK417" i="5"/>
  <c r="AK349" i="5"/>
  <c r="AP349" i="5"/>
  <c r="AL349" i="5"/>
  <c r="AK257" i="5"/>
  <c r="AL257" i="5"/>
  <c r="AL186" i="5"/>
  <c r="AK186" i="5"/>
  <c r="AP186" i="5"/>
  <c r="AP50" i="5"/>
  <c r="AL50" i="5"/>
  <c r="AK50" i="5"/>
  <c r="AK517" i="5"/>
  <c r="AL517" i="5"/>
  <c r="AK342" i="5"/>
  <c r="AL342" i="5"/>
  <c r="AP342" i="5"/>
  <c r="AL218" i="5"/>
  <c r="AK218" i="5"/>
  <c r="AK101" i="5"/>
  <c r="AL101" i="5"/>
  <c r="AK213" i="5"/>
  <c r="AP213" i="5"/>
  <c r="AL213" i="5"/>
  <c r="AL188" i="5"/>
  <c r="AP188" i="5"/>
  <c r="AK188" i="5"/>
  <c r="AL33" i="5"/>
  <c r="AP33" i="5"/>
  <c r="AK33" i="5"/>
  <c r="AP31" i="5"/>
  <c r="AP499" i="5"/>
  <c r="AK281" i="5"/>
  <c r="AL281" i="5"/>
  <c r="AK120" i="5"/>
  <c r="AL120" i="5"/>
  <c r="AP120" i="5"/>
  <c r="AK159" i="5"/>
  <c r="AL159" i="5"/>
  <c r="AK383" i="5"/>
  <c r="AL383" i="5"/>
  <c r="AK533" i="5"/>
  <c r="AL533" i="5"/>
  <c r="AM81" i="4"/>
  <c r="AN81" i="4" s="1"/>
  <c r="W81" i="4"/>
  <c r="Y81" i="4" s="1"/>
  <c r="Z81" i="4" s="1"/>
  <c r="AP299" i="5"/>
  <c r="W112" i="4" l="1"/>
  <c r="Y112" i="4" s="1"/>
  <c r="Z112" i="4" s="1"/>
  <c r="AF112" i="4" s="1"/>
  <c r="W114" i="4"/>
  <c r="Y114" i="4" s="1"/>
  <c r="Z114" i="4" s="1"/>
  <c r="W139" i="4"/>
  <c r="Y139" i="4" s="1"/>
  <c r="Z139" i="4" s="1"/>
  <c r="W17" i="4"/>
  <c r="Y17" i="4" s="1"/>
  <c r="Z17" i="4" s="1"/>
  <c r="W64" i="4"/>
  <c r="X64" i="4" s="1"/>
  <c r="AM49" i="4"/>
  <c r="AN49" i="4" s="1"/>
  <c r="W38" i="4"/>
  <c r="X38" i="4" s="1"/>
  <c r="AJ38" i="4" s="1"/>
  <c r="W108" i="4"/>
  <c r="Y108" i="4" s="1"/>
  <c r="Z108" i="4" s="1"/>
  <c r="AF108" i="4" s="1"/>
  <c r="AG108" i="4" s="1"/>
  <c r="AI108" i="4" s="1"/>
  <c r="AM32" i="4"/>
  <c r="AN32" i="4" s="1"/>
  <c r="W107" i="4"/>
  <c r="Y107" i="4" s="1"/>
  <c r="Z107" i="4" s="1"/>
  <c r="AF107" i="4" s="1"/>
  <c r="W100" i="4"/>
  <c r="AE100" i="4" s="1"/>
  <c r="AM146" i="4"/>
  <c r="AN146" i="4" s="1"/>
  <c r="AM23" i="4"/>
  <c r="AN23" i="4" s="1"/>
  <c r="W42" i="4"/>
  <c r="Y42" i="4" s="1"/>
  <c r="Z42" i="4" s="1"/>
  <c r="AF42" i="4" s="1"/>
  <c r="W9" i="4"/>
  <c r="Y9" i="4" s="1"/>
  <c r="Z9" i="4" s="1"/>
  <c r="AF9" i="4" s="1"/>
  <c r="AO9" i="4" s="1"/>
  <c r="Z40" i="4"/>
  <c r="AF40" i="4" s="1"/>
  <c r="Z138" i="4"/>
  <c r="AF138" i="4" s="1"/>
  <c r="W41" i="4"/>
  <c r="Y41" i="4" s="1"/>
  <c r="Z41" i="4" s="1"/>
  <c r="AF41" i="4" s="1"/>
  <c r="AG41" i="4" s="1"/>
  <c r="AI41" i="4" s="1"/>
  <c r="W82" i="4"/>
  <c r="Y82" i="4" s="1"/>
  <c r="Z82" i="4" s="1"/>
  <c r="AF82" i="4" s="1"/>
  <c r="AG82" i="4" s="1"/>
  <c r="AI82" i="4" s="1"/>
  <c r="AM80" i="4"/>
  <c r="AN80" i="4" s="1"/>
  <c r="W92" i="4"/>
  <c r="Y92" i="4" s="1"/>
  <c r="Z92" i="4" s="1"/>
  <c r="AF92" i="4" s="1"/>
  <c r="W93" i="4"/>
  <c r="X93" i="4" s="1"/>
  <c r="AJ93" i="4" s="1"/>
  <c r="X98" i="4"/>
  <c r="AJ98" i="4" s="1"/>
  <c r="AM97" i="4"/>
  <c r="AN97" i="4" s="1"/>
  <c r="W78" i="4"/>
  <c r="Y78" i="4" s="1"/>
  <c r="Z78" i="4" s="1"/>
  <c r="AF78" i="4" s="1"/>
  <c r="AG78" i="4" s="1"/>
  <c r="AI78" i="4" s="1"/>
  <c r="W54" i="4"/>
  <c r="X54" i="4" s="1"/>
  <c r="AJ54" i="4" s="1"/>
  <c r="W65" i="4"/>
  <c r="Y65" i="4" s="1"/>
  <c r="Z65" i="4" s="1"/>
  <c r="AF65" i="4" s="1"/>
  <c r="Z98" i="4"/>
  <c r="AF98" i="4" s="1"/>
  <c r="AO98" i="4" s="1"/>
  <c r="W30" i="4"/>
  <c r="Y30" i="4" s="1"/>
  <c r="Z30" i="4" s="1"/>
  <c r="AF30" i="4" s="1"/>
  <c r="AG30" i="4" s="1"/>
  <c r="AI30" i="4" s="1"/>
  <c r="AE98" i="4"/>
  <c r="AM87" i="4"/>
  <c r="AN87" i="4" s="1"/>
  <c r="AM120" i="4"/>
  <c r="AN120" i="4" s="1"/>
  <c r="W51" i="4"/>
  <c r="Y51" i="4" s="1"/>
  <c r="Z51" i="4" s="1"/>
  <c r="AF51" i="4" s="1"/>
  <c r="AM74" i="4"/>
  <c r="AN74" i="4" s="1"/>
  <c r="W48" i="4"/>
  <c r="Y48" i="4" s="1"/>
  <c r="Z48" i="4" s="1"/>
  <c r="AF48" i="4" s="1"/>
  <c r="W113" i="4"/>
  <c r="Y113" i="4" s="1"/>
  <c r="Z113" i="4" s="1"/>
  <c r="AF113" i="4" s="1"/>
  <c r="W19" i="4"/>
  <c r="Y19" i="4" s="1"/>
  <c r="Z19" i="4" s="1"/>
  <c r="AF19" i="4" s="1"/>
  <c r="AG19" i="4" s="1"/>
  <c r="AI19" i="4" s="1"/>
  <c r="W124" i="4"/>
  <c r="Y124" i="4" s="1"/>
  <c r="Z124" i="4" s="1"/>
  <c r="AF124" i="4" s="1"/>
  <c r="W89" i="4"/>
  <c r="Y89" i="4" s="1"/>
  <c r="Z89" i="4" s="1"/>
  <c r="AF89" i="4" s="1"/>
  <c r="AG89" i="4" s="1"/>
  <c r="AI89" i="4" s="1"/>
  <c r="AM45" i="4"/>
  <c r="AN45" i="4" s="1"/>
  <c r="W86" i="4"/>
  <c r="X86" i="4" s="1"/>
  <c r="AJ86" i="4" s="1"/>
  <c r="W91" i="4"/>
  <c r="X91" i="4" s="1"/>
  <c r="AJ91" i="4" s="1"/>
  <c r="W119" i="4"/>
  <c r="Y119" i="4" s="1"/>
  <c r="Z119" i="4" s="1"/>
  <c r="AF119" i="4" s="1"/>
  <c r="AM50" i="4"/>
  <c r="AN50" i="4" s="1"/>
  <c r="AM126" i="4"/>
  <c r="AN126" i="4" s="1"/>
  <c r="W13" i="4"/>
  <c r="Y13" i="4" s="1"/>
  <c r="Z13" i="4" s="1"/>
  <c r="AF13" i="4" s="1"/>
  <c r="AM63" i="4"/>
  <c r="AN63" i="4" s="1"/>
  <c r="AJ64" i="4"/>
  <c r="AM143" i="4"/>
  <c r="W28" i="4"/>
  <c r="Y28" i="4" s="1"/>
  <c r="Z28" i="4" s="1"/>
  <c r="AF28" i="4" s="1"/>
  <c r="AR141" i="5"/>
  <c r="AR552" i="5"/>
  <c r="W96" i="4"/>
  <c r="Y96" i="4" s="1"/>
  <c r="Z96" i="4" s="1"/>
  <c r="AF96" i="4" s="1"/>
  <c r="AO96" i="4" s="1"/>
  <c r="AJ150" i="4"/>
  <c r="AM98" i="4"/>
  <c r="AN98" i="4" s="1"/>
  <c r="W118" i="4"/>
  <c r="Y118" i="4" s="1"/>
  <c r="Z118" i="4" s="1"/>
  <c r="AF118" i="4" s="1"/>
  <c r="AG118" i="4" s="1"/>
  <c r="AI118" i="4" s="1"/>
  <c r="AN118" i="4"/>
  <c r="AQ338" i="5"/>
  <c r="AR548" i="5"/>
  <c r="AN157" i="4"/>
  <c r="Z123" i="4"/>
  <c r="AF123" i="4" s="1"/>
  <c r="AR465" i="5"/>
  <c r="AQ544" i="5"/>
  <c r="AR470" i="5"/>
  <c r="AR556" i="5"/>
  <c r="AR491" i="5"/>
  <c r="AR521" i="5"/>
  <c r="AQ539" i="5"/>
  <c r="AR335" i="5"/>
  <c r="AR383" i="5"/>
  <c r="AQ169" i="5"/>
  <c r="AQ450" i="5"/>
  <c r="AR65" i="5"/>
  <c r="AQ359" i="5"/>
  <c r="AR290" i="5"/>
  <c r="AQ25" i="5"/>
  <c r="AQ460" i="5"/>
  <c r="AR130" i="5"/>
  <c r="AQ355" i="5"/>
  <c r="AR281" i="5"/>
  <c r="AQ283" i="5"/>
  <c r="AR333" i="5"/>
  <c r="AR176" i="5"/>
  <c r="AR51" i="5"/>
  <c r="AQ192" i="5"/>
  <c r="AR119" i="5"/>
  <c r="AR437" i="5"/>
  <c r="AQ24" i="5"/>
  <c r="AQ129" i="5"/>
  <c r="AQ217" i="5"/>
  <c r="AR187" i="5"/>
  <c r="AR189" i="5"/>
  <c r="AQ69" i="5"/>
  <c r="AN12" i="5"/>
  <c r="AR398" i="5"/>
  <c r="AQ43" i="5"/>
  <c r="AQ340" i="5"/>
  <c r="AR212" i="5"/>
  <c r="AR244" i="5"/>
  <c r="X12" i="5"/>
  <c r="AQ157" i="5"/>
  <c r="AR348" i="5"/>
  <c r="AR451" i="5"/>
  <c r="AR314" i="5"/>
  <c r="AQ371" i="5"/>
  <c r="AQ560" i="5"/>
  <c r="AR492" i="5"/>
  <c r="AQ396" i="5"/>
  <c r="AQ64" i="5"/>
  <c r="AR354" i="5"/>
  <c r="AR558" i="5"/>
  <c r="AR557" i="5"/>
  <c r="AR238" i="5"/>
  <c r="AR485" i="5"/>
  <c r="AQ267" i="5"/>
  <c r="AQ109" i="5"/>
  <c r="AQ540" i="5"/>
  <c r="AR72" i="5"/>
  <c r="AQ405" i="5"/>
  <c r="AQ202" i="5"/>
  <c r="AR410" i="5"/>
  <c r="AR332" i="5"/>
  <c r="AQ434" i="5"/>
  <c r="AQ92" i="5"/>
  <c r="AR148" i="5"/>
  <c r="AR287" i="5"/>
  <c r="AR147" i="5"/>
  <c r="AR112" i="5"/>
  <c r="AQ512" i="5"/>
  <c r="AR516" i="5"/>
  <c r="AR47" i="5"/>
  <c r="AQ306" i="5"/>
  <c r="AR386" i="5"/>
  <c r="AR300" i="5"/>
  <c r="AR78" i="5"/>
  <c r="AR382" i="5"/>
  <c r="AQ346" i="5"/>
  <c r="AQ234" i="5"/>
  <c r="AR166" i="5"/>
  <c r="AQ48" i="5"/>
  <c r="AR222" i="5"/>
  <c r="AQ527" i="5"/>
  <c r="AQ273" i="5"/>
  <c r="AR536" i="5"/>
  <c r="AQ486" i="5"/>
  <c r="AR133" i="5"/>
  <c r="AR494" i="5"/>
  <c r="R12" i="5"/>
  <c r="AH12" i="5"/>
  <c r="AR379" i="5"/>
  <c r="AP12" i="5"/>
  <c r="AR12" i="5" s="1"/>
  <c r="AR390" i="5"/>
  <c r="AR313" i="5"/>
  <c r="AL12" i="5"/>
  <c r="AR270" i="5"/>
  <c r="AQ173" i="5"/>
  <c r="AQ520" i="5"/>
  <c r="AQ307" i="5"/>
  <c r="AK12" i="5"/>
  <c r="AQ110" i="5"/>
  <c r="AQ356" i="5"/>
  <c r="AQ214" i="5"/>
  <c r="AQ127" i="5"/>
  <c r="AR199" i="5"/>
  <c r="AQ250" i="5"/>
  <c r="AR182" i="5"/>
  <c r="AR365" i="5"/>
  <c r="AQ227" i="5"/>
  <c r="AR205" i="5"/>
  <c r="AR418" i="5"/>
  <c r="AR26" i="5"/>
  <c r="AQ153" i="5"/>
  <c r="AQ454" i="5"/>
  <c r="AQ93" i="5"/>
  <c r="AQ372" i="5"/>
  <c r="AR245" i="5"/>
  <c r="AQ135" i="5"/>
  <c r="AR225" i="5"/>
  <c r="AR387" i="5"/>
  <c r="AR483" i="5"/>
  <c r="AR496" i="5"/>
  <c r="AR510" i="5"/>
  <c r="AQ134" i="5"/>
  <c r="AR432" i="5"/>
  <c r="AQ380" i="5"/>
  <c r="AQ497" i="5"/>
  <c r="AQ404" i="5"/>
  <c r="AR262" i="5"/>
  <c r="AR394" i="5"/>
  <c r="AQ428" i="5"/>
  <c r="AQ58" i="5"/>
  <c r="AR528" i="5"/>
  <c r="AR175" i="5"/>
  <c r="AR304" i="5"/>
  <c r="AQ301" i="5"/>
  <c r="AR159" i="5"/>
  <c r="AQ252" i="5"/>
  <c r="AQ402" i="5"/>
  <c r="AR105" i="5"/>
  <c r="AR216" i="5"/>
  <c r="AR461" i="5"/>
  <c r="AQ178" i="5"/>
  <c r="AR324" i="5"/>
  <c r="AQ326" i="5"/>
  <c r="AR477" i="5"/>
  <c r="AQ350" i="5"/>
  <c r="AR506" i="5"/>
  <c r="AP10" i="5"/>
  <c r="AQ10" i="5" s="1"/>
  <c r="AM11" i="4"/>
  <c r="AN11" i="4" s="1"/>
  <c r="AM123" i="4"/>
  <c r="AN123" i="4" s="1"/>
  <c r="AM106" i="4"/>
  <c r="AN106" i="4" s="1"/>
  <c r="AM95" i="4"/>
  <c r="AN95" i="4" s="1"/>
  <c r="W151" i="4"/>
  <c r="Y151" i="4" s="1"/>
  <c r="Z151" i="4" s="1"/>
  <c r="AF151" i="4" s="1"/>
  <c r="AG151" i="4" s="1"/>
  <c r="AI151" i="4" s="1"/>
  <c r="W153" i="4"/>
  <c r="Y153" i="4" s="1"/>
  <c r="Z153" i="4" s="1"/>
  <c r="AF153" i="4" s="1"/>
  <c r="AM25" i="4"/>
  <c r="AN25" i="4" s="1"/>
  <c r="W27" i="4"/>
  <c r="Y27" i="4" s="1"/>
  <c r="Z27" i="4" s="1"/>
  <c r="AF27" i="4" s="1"/>
  <c r="AG27" i="4" s="1"/>
  <c r="AI27" i="4" s="1"/>
  <c r="W29" i="4"/>
  <c r="Y29" i="4" s="1"/>
  <c r="Z29" i="4" s="1"/>
  <c r="AF29" i="4" s="1"/>
  <c r="W154" i="4"/>
  <c r="Y154" i="4" s="1"/>
  <c r="Z154" i="4" s="1"/>
  <c r="AF154" i="4" s="1"/>
  <c r="W136" i="4"/>
  <c r="Y136" i="4" s="1"/>
  <c r="Z136" i="4" s="1"/>
  <c r="AF136" i="4" s="1"/>
  <c r="AG136" i="4" s="1"/>
  <c r="AI136" i="4" s="1"/>
  <c r="Z74" i="4"/>
  <c r="AF74" i="4" s="1"/>
  <c r="AG74" i="4" s="1"/>
  <c r="AI74" i="4" s="1"/>
  <c r="AJ73" i="4"/>
  <c r="AJ126" i="4"/>
  <c r="Z106" i="4"/>
  <c r="AF106" i="4" s="1"/>
  <c r="AO106" i="4" s="1"/>
  <c r="AR237" i="5"/>
  <c r="AR312" i="5"/>
  <c r="AQ146" i="5"/>
  <c r="AR522" i="5"/>
  <c r="AQ38" i="5"/>
  <c r="AR524" i="5"/>
  <c r="Z70" i="4"/>
  <c r="AF70" i="4" s="1"/>
  <c r="AR118" i="5"/>
  <c r="AQ218" i="5"/>
  <c r="AR81" i="5"/>
  <c r="AQ345" i="5"/>
  <c r="AN77" i="4"/>
  <c r="Z16" i="4"/>
  <c r="AF16" i="4" s="1"/>
  <c r="Z102" i="4"/>
  <c r="AF102" i="4" s="1"/>
  <c r="AG102" i="4" s="1"/>
  <c r="AI102" i="4" s="1"/>
  <c r="W7" i="4"/>
  <c r="AE7" i="4" s="1"/>
  <c r="W76" i="4"/>
  <c r="X76" i="4" s="1"/>
  <c r="AJ76" i="4" s="1"/>
  <c r="W127" i="4"/>
  <c r="X127" i="4" s="1"/>
  <c r="AJ127" i="4" s="1"/>
  <c r="Z49" i="4"/>
  <c r="AF49" i="4" s="1"/>
  <c r="AO49" i="4" s="1"/>
  <c r="AM52" i="4"/>
  <c r="AN52" i="4" s="1"/>
  <c r="W18" i="4"/>
  <c r="Y18" i="4" s="1"/>
  <c r="Z18" i="4" s="1"/>
  <c r="AF18" i="4" s="1"/>
  <c r="Z75" i="4"/>
  <c r="AF75" i="4" s="1"/>
  <c r="AO75" i="4" s="1"/>
  <c r="Z97" i="4"/>
  <c r="AF97" i="4" s="1"/>
  <c r="AO97" i="4" s="1"/>
  <c r="AM70" i="4"/>
  <c r="AN70" i="4" s="1"/>
  <c r="W35" i="4"/>
  <c r="X35" i="4" s="1"/>
  <c r="AJ35" i="4" s="1"/>
  <c r="AR535" i="5"/>
  <c r="AQ476" i="5"/>
  <c r="AR517" i="5"/>
  <c r="AR406" i="5"/>
  <c r="AR498" i="5"/>
  <c r="AQ104" i="5"/>
  <c r="AR330" i="5"/>
  <c r="AQ79" i="5"/>
  <c r="AQ184" i="5"/>
  <c r="AR384" i="5"/>
  <c r="AR426" i="5"/>
  <c r="AQ30" i="5"/>
  <c r="AR165" i="5"/>
  <c r="AR34" i="5"/>
  <c r="AQ318" i="5"/>
  <c r="AQ87" i="5"/>
  <c r="AR260" i="5"/>
  <c r="AQ23" i="5"/>
  <c r="AR551" i="5"/>
  <c r="AQ444" i="5"/>
  <c r="AQ530" i="5"/>
  <c r="AR321" i="5"/>
  <c r="AQ158" i="5"/>
  <c r="AR417" i="5"/>
  <c r="AQ302" i="5"/>
  <c r="AR70" i="5"/>
  <c r="AQ211" i="5"/>
  <c r="AN105" i="4"/>
  <c r="AC546" i="5"/>
  <c r="AD546" i="5" s="1"/>
  <c r="AC523" i="5"/>
  <c r="AE523" i="5" s="1"/>
  <c r="AC459" i="5"/>
  <c r="AD459" i="5" s="1"/>
  <c r="AC206" i="5"/>
  <c r="AS206" i="5" s="1"/>
  <c r="AL9" i="5"/>
  <c r="Z87" i="4"/>
  <c r="AF87" i="4" s="1"/>
  <c r="AO87" i="4" s="1"/>
  <c r="AC379" i="5"/>
  <c r="AE379" i="5" s="1"/>
  <c r="AC392" i="5"/>
  <c r="AS392" i="5" s="1"/>
  <c r="AC371" i="5"/>
  <c r="AE371" i="5" s="1"/>
  <c r="AC522" i="5"/>
  <c r="AD522" i="5" s="1"/>
  <c r="AC512" i="5"/>
  <c r="AS512" i="5" s="1"/>
  <c r="AC429" i="5"/>
  <c r="AS429" i="5" s="1"/>
  <c r="Z117" i="4"/>
  <c r="AF117" i="4" s="1"/>
  <c r="AC160" i="5"/>
  <c r="AS160" i="5" s="1"/>
  <c r="AB288" i="5"/>
  <c r="AC234" i="5"/>
  <c r="AD234" i="5" s="1"/>
  <c r="AC525" i="5"/>
  <c r="AE525" i="5" s="1"/>
  <c r="AC426" i="5"/>
  <c r="AD426" i="5" s="1"/>
  <c r="AC534" i="5"/>
  <c r="AD534" i="5" s="1"/>
  <c r="AC432" i="5"/>
  <c r="AS432" i="5" s="1"/>
  <c r="AC221" i="5"/>
  <c r="AS221" i="5" s="1"/>
  <c r="AC121" i="5"/>
  <c r="AS121" i="5" s="1"/>
  <c r="AC537" i="5"/>
  <c r="AE537" i="5" s="1"/>
  <c r="V11" i="5"/>
  <c r="AC80" i="5"/>
  <c r="AS80" i="5" s="1"/>
  <c r="AC23" i="5"/>
  <c r="AD23" i="5" s="1"/>
  <c r="AC530" i="5"/>
  <c r="AD530" i="5" s="1"/>
  <c r="AC289" i="5"/>
  <c r="AD289" i="5" s="1"/>
  <c r="AC264" i="5"/>
  <c r="AE264" i="5" s="1"/>
  <c r="AC446" i="5"/>
  <c r="AD446" i="5" s="1"/>
  <c r="AC117" i="5"/>
  <c r="AS117" i="5" s="1"/>
  <c r="AC97" i="5"/>
  <c r="AD97" i="5" s="1"/>
  <c r="AC105" i="5"/>
  <c r="AE105" i="5" s="1"/>
  <c r="B35" i="2"/>
  <c r="AC376" i="5"/>
  <c r="AD376" i="5" s="1"/>
  <c r="AC508" i="5"/>
  <c r="AE508" i="5" s="1"/>
  <c r="AC184" i="5"/>
  <c r="AD184" i="5" s="1"/>
  <c r="AQ77" i="5"/>
  <c r="AQ457" i="5"/>
  <c r="AR493" i="5"/>
  <c r="AR117" i="5"/>
  <c r="AQ22" i="5"/>
  <c r="AR422" i="5"/>
  <c r="AR20" i="5"/>
  <c r="AR284" i="5"/>
  <c r="AQ360" i="5"/>
  <c r="AR138" i="5"/>
  <c r="AR447" i="5"/>
  <c r="AQ37" i="5"/>
  <c r="AQ142" i="5"/>
  <c r="AQ229" i="5"/>
  <c r="AR233" i="5"/>
  <c r="AR258" i="5"/>
  <c r="AQ525" i="5"/>
  <c r="AQ239" i="5"/>
  <c r="AQ276" i="5"/>
  <c r="AQ42" i="5"/>
  <c r="AQ54" i="5"/>
  <c r="AR144" i="5"/>
  <c r="AR364" i="5"/>
  <c r="AQ219" i="5"/>
  <c r="AR463" i="5"/>
  <c r="K29" i="2"/>
  <c r="K30" i="2" s="1"/>
  <c r="AC463" i="5"/>
  <c r="AE463" i="5" s="1"/>
  <c r="AA445" i="5"/>
  <c r="W37" i="4"/>
  <c r="X37" i="4" s="1"/>
  <c r="AJ37" i="4" s="1"/>
  <c r="AR462" i="5"/>
  <c r="AQ21" i="5"/>
  <c r="AR448" i="5"/>
  <c r="AQ488" i="5"/>
  <c r="AR126" i="5"/>
  <c r="AR495" i="5"/>
  <c r="AR131" i="5"/>
  <c r="R31" i="2"/>
  <c r="S31" i="2" s="1"/>
  <c r="Q31" i="2"/>
  <c r="P31" i="2" s="1"/>
  <c r="AR378" i="5"/>
  <c r="AR255" i="5"/>
  <c r="AQ542" i="5"/>
  <c r="AR194" i="5"/>
  <c r="AQ190" i="5"/>
  <c r="AQ370" i="5"/>
  <c r="AQ257" i="5"/>
  <c r="AA97" i="5"/>
  <c r="AR368" i="5"/>
  <c r="AR45" i="5"/>
  <c r="AR232" i="5"/>
  <c r="AQ545" i="5"/>
  <c r="AR82" i="5"/>
  <c r="AR56" i="5"/>
  <c r="AM117" i="4"/>
  <c r="AN117" i="4" s="1"/>
  <c r="W46" i="4"/>
  <c r="Y46" i="4" s="1"/>
  <c r="Z46" i="4" s="1"/>
  <c r="AF46" i="4" s="1"/>
  <c r="AG46" i="4" s="1"/>
  <c r="AI46" i="4" s="1"/>
  <c r="W145" i="4"/>
  <c r="Y145" i="4" s="1"/>
  <c r="Z145" i="4" s="1"/>
  <c r="AF145" i="4" s="1"/>
  <c r="AA297" i="5"/>
  <c r="AB261" i="5"/>
  <c r="AA363" i="5"/>
  <c r="AC520" i="5"/>
  <c r="AS520" i="5" s="1"/>
  <c r="AC359" i="5"/>
  <c r="AD359" i="5" s="1"/>
  <c r="AB80" i="5"/>
  <c r="AC386" i="5"/>
  <c r="AS386" i="5" s="1"/>
  <c r="AA265" i="5"/>
  <c r="AB447" i="5"/>
  <c r="AB19" i="5"/>
  <c r="AB247" i="5"/>
  <c r="AB208" i="5"/>
  <c r="AB532" i="5"/>
  <c r="AB217" i="5"/>
  <c r="AA27" i="5"/>
  <c r="W20" i="4"/>
  <c r="X20" i="4" s="1"/>
  <c r="AJ20" i="4" s="1"/>
  <c r="AA7" i="5"/>
  <c r="AC265" i="5"/>
  <c r="AE265" i="5" s="1"/>
  <c r="AC540" i="5"/>
  <c r="AE540" i="5" s="1"/>
  <c r="AB529" i="5"/>
  <c r="AA540" i="5"/>
  <c r="AB560" i="5"/>
  <c r="AC470" i="5"/>
  <c r="AE470" i="5" s="1"/>
  <c r="AC460" i="5"/>
  <c r="AS460" i="5" s="1"/>
  <c r="AC138" i="5"/>
  <c r="AE138" i="5" s="1"/>
  <c r="AA550" i="5"/>
  <c r="AB293" i="5"/>
  <c r="AA551" i="5"/>
  <c r="Z115" i="4"/>
  <c r="AF115" i="4" s="1"/>
  <c r="AC31" i="5"/>
  <c r="AE31" i="5" s="1"/>
  <c r="AA26" i="5"/>
  <c r="AM16" i="4"/>
  <c r="AN16" i="4" s="1"/>
  <c r="AB301" i="5"/>
  <c r="AA283" i="5"/>
  <c r="AB254" i="5"/>
  <c r="AA116" i="5"/>
  <c r="AA405" i="5"/>
  <c r="AA142" i="5"/>
  <c r="AB150" i="5"/>
  <c r="AJ157" i="4"/>
  <c r="AM128" i="4"/>
  <c r="AN128" i="4" s="1"/>
  <c r="Z43" i="4"/>
  <c r="AF43" i="4" s="1"/>
  <c r="AO43" i="4" s="1"/>
  <c r="AB169" i="5"/>
  <c r="AB379" i="5"/>
  <c r="AB42" i="5"/>
  <c r="AB196" i="5"/>
  <c r="AB403" i="5"/>
  <c r="AB487" i="5"/>
  <c r="AB189" i="5"/>
  <c r="AA36" i="5"/>
  <c r="AA502" i="5"/>
  <c r="AB537" i="5"/>
  <c r="AA514" i="5"/>
  <c r="AB121" i="5"/>
  <c r="AB151" i="5"/>
  <c r="AA106" i="5"/>
  <c r="AA48" i="5"/>
  <c r="AA53" i="5"/>
  <c r="AM134" i="4"/>
  <c r="AN134" i="4" s="1"/>
  <c r="AA523" i="5"/>
  <c r="AB335" i="5"/>
  <c r="AB390" i="5"/>
  <c r="AA63" i="5"/>
  <c r="AB93" i="5"/>
  <c r="W61" i="4"/>
  <c r="Y61" i="4" s="1"/>
  <c r="Z61" i="4" s="1"/>
  <c r="AF61" i="4" s="1"/>
  <c r="AG61" i="4" s="1"/>
  <c r="AI61" i="4" s="1"/>
  <c r="AB262" i="5"/>
  <c r="AA90" i="5"/>
  <c r="AC277" i="5"/>
  <c r="AE277" i="5" s="1"/>
  <c r="AC306" i="5"/>
  <c r="AE306" i="5" s="1"/>
  <c r="AC38" i="5"/>
  <c r="AS38" i="5" s="1"/>
  <c r="AA263" i="5"/>
  <c r="AB235" i="5"/>
  <c r="AA343" i="5"/>
  <c r="AM56" i="4"/>
  <c r="AN56" i="4" s="1"/>
  <c r="AB331" i="5"/>
  <c r="W15" i="4"/>
  <c r="Y15" i="4" s="1"/>
  <c r="Z15" i="4" s="1"/>
  <c r="AF15" i="4" s="1"/>
  <c r="AA256" i="5"/>
  <c r="AB498" i="5"/>
  <c r="AB298" i="5"/>
  <c r="AC208" i="5"/>
  <c r="AS208" i="5" s="1"/>
  <c r="AC365" i="5"/>
  <c r="AS365" i="5" s="1"/>
  <c r="AC280" i="5"/>
  <c r="AS280" i="5" s="1"/>
  <c r="AC353" i="5"/>
  <c r="AE353" i="5" s="1"/>
  <c r="AC213" i="5"/>
  <c r="AD213" i="5" s="1"/>
  <c r="AC194" i="5"/>
  <c r="AE194" i="5" s="1"/>
  <c r="AA289" i="5"/>
  <c r="AA462" i="5"/>
  <c r="AB202" i="5"/>
  <c r="AA213" i="5"/>
  <c r="AC42" i="5"/>
  <c r="AD42" i="5" s="1"/>
  <c r="AC216" i="5"/>
  <c r="AS216" i="5" s="1"/>
  <c r="AC325" i="5"/>
  <c r="AE325" i="5" s="1"/>
  <c r="AB179" i="5"/>
  <c r="AA495" i="5"/>
  <c r="AC417" i="5"/>
  <c r="AS417" i="5" s="1"/>
  <c r="AC451" i="5"/>
  <c r="AE451" i="5" s="1"/>
  <c r="AC332" i="5"/>
  <c r="AS332" i="5" s="1"/>
  <c r="AB356" i="5"/>
  <c r="AB371" i="5"/>
  <c r="AB359" i="5"/>
  <c r="AB522" i="5"/>
  <c r="AB161" i="5"/>
  <c r="AB309" i="5"/>
  <c r="AA424" i="5"/>
  <c r="AA244" i="5"/>
  <c r="AC361" i="5"/>
  <c r="AE361" i="5" s="1"/>
  <c r="AC425" i="5"/>
  <c r="AD425" i="5" s="1"/>
  <c r="AC297" i="5"/>
  <c r="AD297" i="5" s="1"/>
  <c r="AC333" i="5"/>
  <c r="AS333" i="5" s="1"/>
  <c r="AC244" i="5"/>
  <c r="AE244" i="5" s="1"/>
  <c r="AC532" i="5"/>
  <c r="AD532" i="5" s="1"/>
  <c r="AC552" i="5"/>
  <c r="AD552" i="5" s="1"/>
  <c r="AC294" i="5"/>
  <c r="AS294" i="5" s="1"/>
  <c r="AA442" i="5"/>
  <c r="AA194" i="5"/>
  <c r="AA428" i="5"/>
  <c r="AA333" i="5"/>
  <c r="AC76" i="5"/>
  <c r="AD76" i="5" s="1"/>
  <c r="AC500" i="5"/>
  <c r="AS500" i="5" s="1"/>
  <c r="AC298" i="5"/>
  <c r="AS298" i="5" s="1"/>
  <c r="AC197" i="5"/>
  <c r="AE197" i="5" s="1"/>
  <c r="AC261" i="5"/>
  <c r="AS261" i="5" s="1"/>
  <c r="AA494" i="5"/>
  <c r="AA251" i="5"/>
  <c r="AB25" i="5"/>
  <c r="AB417" i="5"/>
  <c r="AC483" i="5"/>
  <c r="AD483" i="5" s="1"/>
  <c r="AC517" i="5"/>
  <c r="AD517" i="5" s="1"/>
  <c r="AC148" i="5"/>
  <c r="AD148" i="5" s="1"/>
  <c r="AC363" i="5"/>
  <c r="AE363" i="5" s="1"/>
  <c r="AC462" i="5"/>
  <c r="AD462" i="5" s="1"/>
  <c r="AC46" i="5"/>
  <c r="AE46" i="5" s="1"/>
  <c r="AC54" i="5"/>
  <c r="AS54" i="5" s="1"/>
  <c r="AU54" i="5" s="1"/>
  <c r="AC356" i="5"/>
  <c r="AS356" i="5" s="1"/>
  <c r="AC279" i="5"/>
  <c r="AS279" i="5" s="1"/>
  <c r="AC25" i="5"/>
  <c r="AD25" i="5" s="1"/>
  <c r="AB332" i="5"/>
  <c r="AA276" i="5"/>
  <c r="AC495" i="5"/>
  <c r="AS495" i="5" s="1"/>
  <c r="AC309" i="5"/>
  <c r="AD309" i="5" s="1"/>
  <c r="AC494" i="5"/>
  <c r="AD494" i="5" s="1"/>
  <c r="AC314" i="5"/>
  <c r="AD314" i="5" s="1"/>
  <c r="AC422" i="5"/>
  <c r="AS422" i="5" s="1"/>
  <c r="AC202" i="5"/>
  <c r="AS202" i="5" s="1"/>
  <c r="AU202" i="5" s="1"/>
  <c r="AC518" i="5"/>
  <c r="AE518" i="5" s="1"/>
  <c r="AC248" i="5"/>
  <c r="AD248" i="5" s="1"/>
  <c r="AB469" i="5"/>
  <c r="AA221" i="5"/>
  <c r="AB421" i="5"/>
  <c r="AB327" i="5"/>
  <c r="AA475" i="5"/>
  <c r="AB220" i="5"/>
  <c r="AB463" i="5"/>
  <c r="AC478" i="5"/>
  <c r="AE478" i="5" s="1"/>
  <c r="AC366" i="5"/>
  <c r="AE366" i="5" s="1"/>
  <c r="AC327" i="5"/>
  <c r="AE327" i="5" s="1"/>
  <c r="AM43" i="4"/>
  <c r="AN43" i="4" s="1"/>
  <c r="AC180" i="5"/>
  <c r="AS180" i="5" s="1"/>
  <c r="AA149" i="5"/>
  <c r="AB426" i="5"/>
  <c r="AB274" i="5"/>
  <c r="W142" i="4"/>
  <c r="Y142" i="4" s="1"/>
  <c r="Z142" i="4" s="1"/>
  <c r="AB366" i="5"/>
  <c r="AA304" i="5"/>
  <c r="AB94" i="5"/>
  <c r="W57" i="4"/>
  <c r="Y57" i="4" s="1"/>
  <c r="Z57" i="4" s="1"/>
  <c r="AF57" i="4" s="1"/>
  <c r="AC469" i="5"/>
  <c r="AE469" i="5" s="1"/>
  <c r="AC241" i="5"/>
  <c r="AS241" i="5" s="1"/>
  <c r="AC142" i="5"/>
  <c r="AS142" i="5" s="1"/>
  <c r="AC237" i="5"/>
  <c r="AS237" i="5" s="1"/>
  <c r="AC283" i="5"/>
  <c r="AE283" i="5" s="1"/>
  <c r="AC304" i="5"/>
  <c r="AS304" i="5" s="1"/>
  <c r="AC477" i="5"/>
  <c r="AD477" i="5" s="1"/>
  <c r="AB416" i="5"/>
  <c r="AA539" i="5"/>
  <c r="AC267" i="5"/>
  <c r="AE267" i="5" s="1"/>
  <c r="AC220" i="5"/>
  <c r="AD220" i="5" s="1"/>
  <c r="AC482" i="5"/>
  <c r="AS482" i="5" s="1"/>
  <c r="AC122" i="5"/>
  <c r="AD122" i="5" s="1"/>
  <c r="AC22" i="5"/>
  <c r="AD22" i="5" s="1"/>
  <c r="AB133" i="5"/>
  <c r="AA59" i="5"/>
  <c r="AB429" i="5"/>
  <c r="AC341" i="5"/>
  <c r="AS341" i="5" s="1"/>
  <c r="AC101" i="5"/>
  <c r="AS101" i="5" s="1"/>
  <c r="AC374" i="5"/>
  <c r="AE374" i="5" s="1"/>
  <c r="AC165" i="5"/>
  <c r="AS165" i="5" s="1"/>
  <c r="AC504" i="5"/>
  <c r="AE504" i="5" s="1"/>
  <c r="AB351" i="5"/>
  <c r="AC405" i="5"/>
  <c r="AD405" i="5" s="1"/>
  <c r="AC26" i="5"/>
  <c r="AE26" i="5" s="1"/>
  <c r="AC416" i="5"/>
  <c r="AD416" i="5" s="1"/>
  <c r="AC150" i="5"/>
  <c r="AE150" i="5" s="1"/>
  <c r="AA241" i="5"/>
  <c r="AC351" i="5"/>
  <c r="AD351" i="5" s="1"/>
  <c r="AC551" i="5"/>
  <c r="AD551" i="5" s="1"/>
  <c r="AC94" i="5"/>
  <c r="AE94" i="5" s="1"/>
  <c r="AC476" i="5"/>
  <c r="AD476" i="5" s="1"/>
  <c r="AC254" i="5"/>
  <c r="AS254" i="5" s="1"/>
  <c r="AC133" i="5"/>
  <c r="AS133" i="5" s="1"/>
  <c r="AC274" i="5"/>
  <c r="AS274" i="5" s="1"/>
  <c r="AC301" i="5"/>
  <c r="AE301" i="5" s="1"/>
  <c r="AC421" i="5"/>
  <c r="AE421" i="5" s="1"/>
  <c r="AC116" i="5"/>
  <c r="AE116" i="5" s="1"/>
  <c r="AC475" i="5"/>
  <c r="AE475" i="5" s="1"/>
  <c r="AC438" i="5"/>
  <c r="AE438" i="5" s="1"/>
  <c r="AA260" i="5"/>
  <c r="AB546" i="5"/>
  <c r="AB545" i="5"/>
  <c r="AC222" i="5"/>
  <c r="AD222" i="5" s="1"/>
  <c r="AC434" i="5"/>
  <c r="AS434" i="5" s="1"/>
  <c r="AC158" i="5"/>
  <c r="AE158" i="5" s="1"/>
  <c r="AC360" i="5"/>
  <c r="AE360" i="5" s="1"/>
  <c r="AC496" i="5"/>
  <c r="AD496" i="5" s="1"/>
  <c r="AC232" i="5"/>
  <c r="AS232" i="5" s="1"/>
  <c r="AA222" i="5"/>
  <c r="AB132" i="5"/>
  <c r="AB360" i="5"/>
  <c r="AA137" i="5"/>
  <c r="AB368" i="5"/>
  <c r="AB174" i="5"/>
  <c r="AC50" i="5"/>
  <c r="AE50" i="5" s="1"/>
  <c r="AC200" i="5"/>
  <c r="AD200" i="5" s="1"/>
  <c r="AC132" i="5"/>
  <c r="AE132" i="5" s="1"/>
  <c r="AB278" i="5"/>
  <c r="AC59" i="5"/>
  <c r="AS59" i="5" s="1"/>
  <c r="AA376" i="5"/>
  <c r="AB31" i="5"/>
  <c r="AA499" i="5"/>
  <c r="W125" i="4"/>
  <c r="Y125" i="4" s="1"/>
  <c r="Z125" i="4" s="1"/>
  <c r="W14" i="4"/>
  <c r="Y14" i="4" s="1"/>
  <c r="Z14" i="4" s="1"/>
  <c r="AC174" i="5"/>
  <c r="AE174" i="5" s="1"/>
  <c r="AC238" i="5"/>
  <c r="AE238" i="5" s="1"/>
  <c r="AC137" i="5"/>
  <c r="AD137" i="5" s="1"/>
  <c r="AC114" i="5"/>
  <c r="AE114" i="5" s="1"/>
  <c r="AC354" i="5"/>
  <c r="AD354" i="5" s="1"/>
  <c r="AC168" i="5"/>
  <c r="AE168" i="5" s="1"/>
  <c r="AA168" i="5"/>
  <c r="AA50" i="5"/>
  <c r="AA114" i="5"/>
  <c r="AA438" i="5"/>
  <c r="AC58" i="5"/>
  <c r="AD58" i="5" s="1"/>
  <c r="AC120" i="5"/>
  <c r="AD120" i="5" s="1"/>
  <c r="AC140" i="5"/>
  <c r="AD140" i="5" s="1"/>
  <c r="AA543" i="5"/>
  <c r="AB354" i="5"/>
  <c r="AA160" i="5"/>
  <c r="AB452" i="5"/>
  <c r="AB259" i="5"/>
  <c r="AA140" i="5"/>
  <c r="AC278" i="5"/>
  <c r="AS278" i="5" s="1"/>
  <c r="AU278" i="5" s="1"/>
  <c r="AC556" i="5"/>
  <c r="AE556" i="5" s="1"/>
  <c r="AC259" i="5"/>
  <c r="AE259" i="5" s="1"/>
  <c r="AC295" i="5"/>
  <c r="AE295" i="5" s="1"/>
  <c r="AC479" i="5"/>
  <c r="AS479" i="5" s="1"/>
  <c r="AC68" i="5"/>
  <c r="AD68" i="5" s="1"/>
  <c r="AC262" i="5"/>
  <c r="AS262" i="5" s="1"/>
  <c r="AC21" i="5"/>
  <c r="AE21" i="5" s="1"/>
  <c r="AC260" i="5"/>
  <c r="AS260" i="5" s="1"/>
  <c r="AC511" i="5"/>
  <c r="AE511" i="5" s="1"/>
  <c r="AC65" i="5"/>
  <c r="AD65" i="5" s="1"/>
  <c r="AC343" i="5"/>
  <c r="AS343" i="5" s="1"/>
  <c r="AC243" i="5"/>
  <c r="AD243" i="5" s="1"/>
  <c r="AC73" i="5"/>
  <c r="AE73" i="5" s="1"/>
  <c r="AC502" i="5"/>
  <c r="AD502" i="5" s="1"/>
  <c r="AC543" i="5"/>
  <c r="AS543" i="5" s="1"/>
  <c r="AC440" i="5"/>
  <c r="AE440" i="5" s="1"/>
  <c r="AC452" i="5"/>
  <c r="AE452" i="5" s="1"/>
  <c r="AC499" i="5"/>
  <c r="AS499" i="5" s="1"/>
  <c r="AC36" i="5"/>
  <c r="AD36" i="5" s="1"/>
  <c r="AB49" i="5"/>
  <c r="AC155" i="5"/>
  <c r="AE155" i="5" s="1"/>
  <c r="AC217" i="5"/>
  <c r="AE217" i="5" s="1"/>
  <c r="AC188" i="5"/>
  <c r="AD188" i="5" s="1"/>
  <c r="AC390" i="5"/>
  <c r="AD390" i="5" s="1"/>
  <c r="AC226" i="5"/>
  <c r="AE226" i="5" s="1"/>
  <c r="AC173" i="5"/>
  <c r="AS173" i="5" s="1"/>
  <c r="AC106" i="5"/>
  <c r="AD106" i="5" s="1"/>
  <c r="AC514" i="5"/>
  <c r="AE514" i="5" s="1"/>
  <c r="AC27" i="5"/>
  <c r="AE27" i="5" s="1"/>
  <c r="AC40" i="5"/>
  <c r="AS40" i="5" s="1"/>
  <c r="AC223" i="5"/>
  <c r="AS223" i="5" s="1"/>
  <c r="AC181" i="5"/>
  <c r="AS181" i="5" s="1"/>
  <c r="AC151" i="5"/>
  <c r="AS151" i="5" s="1"/>
  <c r="AC399" i="5"/>
  <c r="AS399" i="5" s="1"/>
  <c r="AC310" i="5"/>
  <c r="AE310" i="5" s="1"/>
  <c r="AC345" i="5"/>
  <c r="AE345" i="5" s="1"/>
  <c r="AC505" i="5"/>
  <c r="AD505" i="5" s="1"/>
  <c r="AA223" i="5"/>
  <c r="AA188" i="5"/>
  <c r="AB431" i="5"/>
  <c r="AB181" i="5"/>
  <c r="AA275" i="5"/>
  <c r="AC127" i="5"/>
  <c r="AS127" i="5" s="1"/>
  <c r="AU127" i="5" s="1"/>
  <c r="AC136" i="5"/>
  <c r="AS136" i="5" s="1"/>
  <c r="AC126" i="5"/>
  <c r="AE126" i="5" s="1"/>
  <c r="AC544" i="5"/>
  <c r="AS544" i="5" s="1"/>
  <c r="AC48" i="5"/>
  <c r="AE48" i="5" s="1"/>
  <c r="AC275" i="5"/>
  <c r="AS275" i="5" s="1"/>
  <c r="AC112" i="5"/>
  <c r="AS112" i="5" s="1"/>
  <c r="AC473" i="5"/>
  <c r="AD473" i="5" s="1"/>
  <c r="AC143" i="5"/>
  <c r="AD143" i="5" s="1"/>
  <c r="AC104" i="5"/>
  <c r="AE104" i="5" s="1"/>
  <c r="AA544" i="5"/>
  <c r="AA119" i="5"/>
  <c r="AB166" i="5"/>
  <c r="AC335" i="5"/>
  <c r="AE335" i="5" s="1"/>
  <c r="AC245" i="5"/>
  <c r="AE245" i="5" s="1"/>
  <c r="AC214" i="5"/>
  <c r="AD214" i="5" s="1"/>
  <c r="AC342" i="5"/>
  <c r="AS342" i="5" s="1"/>
  <c r="AB226" i="5"/>
  <c r="AB112" i="5"/>
  <c r="AB430" i="5"/>
  <c r="AC349" i="5"/>
  <c r="AD349" i="5" s="1"/>
  <c r="AC383" i="5"/>
  <c r="AE383" i="5" s="1"/>
  <c r="AC466" i="5"/>
  <c r="AE466" i="5" s="1"/>
  <c r="AC119" i="5"/>
  <c r="AE119" i="5" s="1"/>
  <c r="AC12" i="5"/>
  <c r="AD12" i="5" s="1"/>
  <c r="AB103" i="5"/>
  <c r="AC350" i="5"/>
  <c r="AE350" i="5" s="1"/>
  <c r="AC24" i="5"/>
  <c r="AD24" i="5" s="1"/>
  <c r="AC378" i="5"/>
  <c r="AD378" i="5" s="1"/>
  <c r="AC492" i="5"/>
  <c r="AE492" i="5" s="1"/>
  <c r="AC210" i="5"/>
  <c r="AD210" i="5" s="1"/>
  <c r="AA303" i="5"/>
  <c r="AB91" i="5"/>
  <c r="W66" i="4"/>
  <c r="Y66" i="4" s="1"/>
  <c r="Z66" i="4" s="1"/>
  <c r="AC111" i="5"/>
  <c r="AD111" i="5" s="1"/>
  <c r="AC239" i="5"/>
  <c r="AE239" i="5" s="1"/>
  <c r="AC32" i="5"/>
  <c r="AE32" i="5" s="1"/>
  <c r="AA64" i="5"/>
  <c r="AA387" i="5"/>
  <c r="AC55" i="5"/>
  <c r="AE55" i="5" s="1"/>
  <c r="AC77" i="5"/>
  <c r="AE77" i="5" s="1"/>
  <c r="AC113" i="5"/>
  <c r="AD113" i="5" s="1"/>
  <c r="AC369" i="5"/>
  <c r="AE369" i="5" s="1"/>
  <c r="AA404" i="5"/>
  <c r="AB86" i="5"/>
  <c r="AA55" i="5"/>
  <c r="AB203" i="5"/>
  <c r="AC269" i="5"/>
  <c r="AS269" i="5" s="1"/>
  <c r="AC468" i="5"/>
  <c r="AD468" i="5" s="1"/>
  <c r="AB436" i="5"/>
  <c r="AA32" i="5"/>
  <c r="AA111" i="5"/>
  <c r="AC303" i="5"/>
  <c r="AS303" i="5" s="1"/>
  <c r="AC49" i="5"/>
  <c r="AD49" i="5" s="1"/>
  <c r="AC103" i="5"/>
  <c r="AD103" i="5" s="1"/>
  <c r="AC404" i="5"/>
  <c r="AD404" i="5" s="1"/>
  <c r="AA321" i="5"/>
  <c r="AC166" i="5"/>
  <c r="AD166" i="5" s="1"/>
  <c r="AB105" i="5"/>
  <c r="AA296" i="5"/>
  <c r="AA175" i="5"/>
  <c r="AC441" i="5"/>
  <c r="AE441" i="5" s="1"/>
  <c r="AC62" i="5"/>
  <c r="AD62" i="5" s="1"/>
  <c r="AC536" i="5"/>
  <c r="AS536" i="5" s="1"/>
  <c r="AC83" i="5"/>
  <c r="AS83" i="5" s="1"/>
  <c r="AC75" i="5"/>
  <c r="AD75" i="5" s="1"/>
  <c r="AC385" i="5"/>
  <c r="AE385" i="5" s="1"/>
  <c r="AA375" i="5"/>
  <c r="AA329" i="5"/>
  <c r="AA336" i="5"/>
  <c r="AA402" i="5"/>
  <c r="AB401" i="5"/>
  <c r="AA441" i="5"/>
  <c r="AB525" i="5"/>
  <c r="AC515" i="5"/>
  <c r="AS515" i="5" s="1"/>
  <c r="AC189" i="5"/>
  <c r="AS189" i="5" s="1"/>
  <c r="AC313" i="5"/>
  <c r="AD313" i="5" s="1"/>
  <c r="AC203" i="5"/>
  <c r="AS203" i="5" s="1"/>
  <c r="AC472" i="5"/>
  <c r="AE472" i="5" s="1"/>
  <c r="AC186" i="5"/>
  <c r="AD186" i="5" s="1"/>
  <c r="AC134" i="5"/>
  <c r="AE134" i="5" s="1"/>
  <c r="AB396" i="5"/>
  <c r="AA236" i="5"/>
  <c r="AA313" i="5"/>
  <c r="AA205" i="5"/>
  <c r="AB472" i="5"/>
  <c r="AB453" i="5"/>
  <c r="AC403" i="5"/>
  <c r="AD403" i="5" s="1"/>
  <c r="AC541" i="5"/>
  <c r="AD541" i="5" s="1"/>
  <c r="AC300" i="5"/>
  <c r="AD300" i="5" s="1"/>
  <c r="AC34" i="5"/>
  <c r="AS34" i="5" s="1"/>
  <c r="AC44" i="5"/>
  <c r="AD44" i="5" s="1"/>
  <c r="AA62" i="5"/>
  <c r="AA392" i="5"/>
  <c r="AC401" i="5"/>
  <c r="AE401" i="5" s="1"/>
  <c r="AC229" i="5"/>
  <c r="AD229" i="5" s="1"/>
  <c r="AC427" i="5"/>
  <c r="AS427" i="5" s="1"/>
  <c r="AB456" i="5"/>
  <c r="AB171" i="5"/>
  <c r="Y73" i="4"/>
  <c r="Z73" i="4" s="1"/>
  <c r="AA73" i="4" s="1"/>
  <c r="AC73" i="4" s="1"/>
  <c r="AD73" i="4" s="1"/>
  <c r="AC455" i="5"/>
  <c r="AD455" i="5" s="1"/>
  <c r="AC456" i="5"/>
  <c r="AS456" i="5" s="1"/>
  <c r="AC205" i="5"/>
  <c r="AD205" i="5" s="1"/>
  <c r="AC218" i="5"/>
  <c r="AE218" i="5" s="1"/>
  <c r="AC395" i="5"/>
  <c r="AS395" i="5" s="1"/>
  <c r="AC128" i="5"/>
  <c r="AD128" i="5" s="1"/>
  <c r="AC375" i="5"/>
  <c r="AD375" i="5" s="1"/>
  <c r="AE73" i="4"/>
  <c r="AA455" i="5"/>
  <c r="AA60" i="5"/>
  <c r="AB8" i="5"/>
  <c r="AA382" i="5"/>
  <c r="AC329" i="5"/>
  <c r="AS329" i="5" s="1"/>
  <c r="AC302" i="5"/>
  <c r="AE302" i="5" s="1"/>
  <c r="AC171" i="5"/>
  <c r="AS171" i="5" s="1"/>
  <c r="AC450" i="5"/>
  <c r="AS450" i="5" s="1"/>
  <c r="AC336" i="5"/>
  <c r="AD336" i="5" s="1"/>
  <c r="AC60" i="5"/>
  <c r="AD60" i="5" s="1"/>
  <c r="AC381" i="5"/>
  <c r="AS381" i="5" s="1"/>
  <c r="AC236" i="5"/>
  <c r="AE236" i="5" s="1"/>
  <c r="AC402" i="5"/>
  <c r="AD402" i="5" s="1"/>
  <c r="AC145" i="5"/>
  <c r="AD145" i="5" s="1"/>
  <c r="AC433" i="5"/>
  <c r="AS433" i="5" s="1"/>
  <c r="AC453" i="5"/>
  <c r="AE453" i="5" s="1"/>
  <c r="AC382" i="5"/>
  <c r="AD382" i="5" s="1"/>
  <c r="W135" i="4"/>
  <c r="Y135" i="4" s="1"/>
  <c r="Z135" i="4" s="1"/>
  <c r="AN11" i="5"/>
  <c r="AC125" i="5"/>
  <c r="AS125" i="5" s="1"/>
  <c r="AC513" i="5"/>
  <c r="AE513" i="5" s="1"/>
  <c r="AC377" i="5"/>
  <c r="AD377" i="5" s="1"/>
  <c r="AC29" i="5"/>
  <c r="AE29" i="5" s="1"/>
  <c r="AC129" i="5"/>
  <c r="AD129" i="5" s="1"/>
  <c r="AC69" i="5"/>
  <c r="AS69" i="5" s="1"/>
  <c r="AC193" i="5"/>
  <c r="AE193" i="5" s="1"/>
  <c r="AC486" i="5"/>
  <c r="AE486" i="5" s="1"/>
  <c r="AC398" i="5"/>
  <c r="AE398" i="5" s="1"/>
  <c r="AA294" i="5"/>
  <c r="AA69" i="5"/>
  <c r="AA486" i="5"/>
  <c r="AA70" i="5"/>
  <c r="AA548" i="5"/>
  <c r="AC70" i="5"/>
  <c r="AS70" i="5" s="1"/>
  <c r="AC251" i="5"/>
  <c r="AS251" i="5" s="1"/>
  <c r="AC228" i="5"/>
  <c r="AE228" i="5" s="1"/>
  <c r="AC285" i="5"/>
  <c r="AD285" i="5" s="1"/>
  <c r="AC110" i="5"/>
  <c r="AE110" i="5" s="1"/>
  <c r="AC43" i="5"/>
  <c r="AS43" i="5" s="1"/>
  <c r="AB400" i="5"/>
  <c r="AB533" i="5"/>
  <c r="AB513" i="5"/>
  <c r="AB509" i="5"/>
  <c r="AB228" i="5"/>
  <c r="AA29" i="5"/>
  <c r="AM33" i="4"/>
  <c r="AN33" i="4" s="1"/>
  <c r="AC179" i="5"/>
  <c r="AE179" i="5" s="1"/>
  <c r="AC394" i="5"/>
  <c r="AD394" i="5" s="1"/>
  <c r="AC481" i="5"/>
  <c r="AS481" i="5" s="1"/>
  <c r="AC533" i="5"/>
  <c r="AD533" i="5" s="1"/>
  <c r="AC424" i="5"/>
  <c r="AS424" i="5" s="1"/>
  <c r="AC268" i="5"/>
  <c r="AS268" i="5" s="1"/>
  <c r="AC270" i="5"/>
  <c r="AE270" i="5" s="1"/>
  <c r="AB255" i="5"/>
  <c r="AA129" i="5"/>
  <c r="AA394" i="5"/>
  <c r="AB270" i="5"/>
  <c r="AB425" i="5"/>
  <c r="AB491" i="5"/>
  <c r="AH18" i="4"/>
  <c r="AC444" i="5"/>
  <c r="AE444" i="5" s="1"/>
  <c r="AC555" i="5"/>
  <c r="AD555" i="5" s="1"/>
  <c r="AC338" i="5"/>
  <c r="AS338" i="5" s="1"/>
  <c r="AC163" i="5"/>
  <c r="AD163" i="5" s="1"/>
  <c r="AB163" i="5"/>
  <c r="AA157" i="5"/>
  <c r="AC99" i="5"/>
  <c r="AD99" i="5" s="1"/>
  <c r="AC255" i="5"/>
  <c r="AE255" i="5" s="1"/>
  <c r="AC553" i="5"/>
  <c r="AS553" i="5" s="1"/>
  <c r="AC388" i="5"/>
  <c r="AE388" i="5" s="1"/>
  <c r="AC247" i="5"/>
  <c r="AD247" i="5" s="1"/>
  <c r="AC93" i="5"/>
  <c r="AE93" i="5" s="1"/>
  <c r="W12" i="4"/>
  <c r="AE12" i="4" s="1"/>
  <c r="AC509" i="5"/>
  <c r="AD509" i="5" s="1"/>
  <c r="AC157" i="5"/>
  <c r="AD157" i="5" s="1"/>
  <c r="AC90" i="5"/>
  <c r="AE90" i="5" s="1"/>
  <c r="AC153" i="5"/>
  <c r="AD153" i="5" s="1"/>
  <c r="AC35" i="5"/>
  <c r="AD35" i="5" s="1"/>
  <c r="AC548" i="5"/>
  <c r="AE548" i="5" s="1"/>
  <c r="AC53" i="5"/>
  <c r="AE53" i="5" s="1"/>
  <c r="AA43" i="5"/>
  <c r="AA125" i="5"/>
  <c r="AC257" i="5"/>
  <c r="AS257" i="5" s="1"/>
  <c r="AT257" i="5" s="1"/>
  <c r="AC331" i="5"/>
  <c r="AS331" i="5" s="1"/>
  <c r="AC178" i="5"/>
  <c r="AD178" i="5" s="1"/>
  <c r="AC498" i="5"/>
  <c r="AS498" i="5" s="1"/>
  <c r="AC491" i="5"/>
  <c r="AS491" i="5" s="1"/>
  <c r="AC362" i="5"/>
  <c r="AS362" i="5" s="1"/>
  <c r="AC400" i="5"/>
  <c r="AE400" i="5" s="1"/>
  <c r="AC67" i="5"/>
  <c r="AE67" i="5" s="1"/>
  <c r="AC33" i="5"/>
  <c r="AS33" i="5" s="1"/>
  <c r="AC428" i="5"/>
  <c r="AE428" i="5" s="1"/>
  <c r="AC263" i="5"/>
  <c r="AD263" i="5" s="1"/>
  <c r="AB380" i="5"/>
  <c r="AA501" i="5"/>
  <c r="AB471" i="5"/>
  <c r="AB320" i="5"/>
  <c r="AA306" i="5"/>
  <c r="AC141" i="5"/>
  <c r="AD141" i="5" s="1"/>
  <c r="AC198" i="5"/>
  <c r="AD198" i="5" s="1"/>
  <c r="AC183" i="5"/>
  <c r="AS183" i="5" s="1"/>
  <c r="AC465" i="5"/>
  <c r="AS465" i="5" s="1"/>
  <c r="AA118" i="5"/>
  <c r="AB209" i="5"/>
  <c r="AA435" i="5"/>
  <c r="AC82" i="5"/>
  <c r="AE82" i="5" s="1"/>
  <c r="AC253" i="5"/>
  <c r="AS253" i="5" s="1"/>
  <c r="AC380" i="5"/>
  <c r="AS380" i="5" s="1"/>
  <c r="AC291" i="5"/>
  <c r="AE291" i="5" s="1"/>
  <c r="AC209" i="5"/>
  <c r="AD209" i="5" s="1"/>
  <c r="AC293" i="5"/>
  <c r="AE293" i="5" s="1"/>
  <c r="AC560" i="5"/>
  <c r="AE560" i="5" s="1"/>
  <c r="AC384" i="5"/>
  <c r="AD384" i="5" s="1"/>
  <c r="AC175" i="5"/>
  <c r="AS175" i="5" s="1"/>
  <c r="AT175" i="5" s="1"/>
  <c r="AC296" i="5"/>
  <c r="AS296" i="5" s="1"/>
  <c r="AC318" i="5"/>
  <c r="AD318" i="5" s="1"/>
  <c r="AC413" i="5"/>
  <c r="AS413" i="5" s="1"/>
  <c r="AB348" i="5"/>
  <c r="AA108" i="5"/>
  <c r="AC199" i="5"/>
  <c r="AD199" i="5" s="1"/>
  <c r="AA100" i="5"/>
  <c r="AC7" i="5"/>
  <c r="AS7" i="5" s="1"/>
  <c r="AC147" i="5"/>
  <c r="AS147" i="5" s="1"/>
  <c r="AU147" i="5" s="1"/>
  <c r="AC471" i="5"/>
  <c r="AS471" i="5" s="1"/>
  <c r="AC348" i="5"/>
  <c r="AS348" i="5" s="1"/>
  <c r="AC339" i="5"/>
  <c r="AS339" i="5" s="1"/>
  <c r="AC19" i="5"/>
  <c r="AD19" i="5" s="1"/>
  <c r="AC219" i="5"/>
  <c r="AE219" i="5" s="1"/>
  <c r="AC501" i="5"/>
  <c r="AD501" i="5" s="1"/>
  <c r="AC316" i="5"/>
  <c r="AE316" i="5" s="1"/>
  <c r="AB291" i="5"/>
  <c r="AA231" i="5"/>
  <c r="AB460" i="5"/>
  <c r="AA82" i="5"/>
  <c r="AA199" i="5"/>
  <c r="AB521" i="5"/>
  <c r="AA470" i="5"/>
  <c r="AC437" i="5"/>
  <c r="AD437" i="5" s="1"/>
  <c r="AC108" i="5"/>
  <c r="AD108" i="5" s="1"/>
  <c r="AC308" i="5"/>
  <c r="AD308" i="5" s="1"/>
  <c r="AC406" i="5"/>
  <c r="AD406" i="5" s="1"/>
  <c r="AC447" i="5"/>
  <c r="AD447" i="5" s="1"/>
  <c r="AC344" i="5"/>
  <c r="AD344" i="5" s="1"/>
  <c r="AC231" i="5"/>
  <c r="AD231" i="5" s="1"/>
  <c r="AC78" i="5"/>
  <c r="AS78" i="5" s="1"/>
  <c r="AT78" i="5" s="1"/>
  <c r="AB92" i="5"/>
  <c r="AC529" i="5"/>
  <c r="AE529" i="5" s="1"/>
  <c r="AC521" i="5"/>
  <c r="AS521" i="5" s="1"/>
  <c r="AC320" i="5"/>
  <c r="AE320" i="5" s="1"/>
  <c r="AC411" i="5"/>
  <c r="AE411" i="5" s="1"/>
  <c r="AC115" i="5"/>
  <c r="AD115" i="5" s="1"/>
  <c r="AM115" i="4"/>
  <c r="AN115" i="4" s="1"/>
  <c r="AM26" i="4"/>
  <c r="AN26" i="4" s="1"/>
  <c r="W26" i="4"/>
  <c r="AA409" i="5"/>
  <c r="AA414" i="5"/>
  <c r="AC321" i="5"/>
  <c r="AD321" i="5" s="1"/>
  <c r="AC410" i="5"/>
  <c r="AE410" i="5" s="1"/>
  <c r="AC480" i="5"/>
  <c r="AD480" i="5" s="1"/>
  <c r="AC135" i="5"/>
  <c r="AS135" i="5" s="1"/>
  <c r="AC420" i="5"/>
  <c r="AD420" i="5" s="1"/>
  <c r="AC559" i="5"/>
  <c r="AD559" i="5" s="1"/>
  <c r="AC436" i="5"/>
  <c r="AS436" i="5" s="1"/>
  <c r="AA66" i="5"/>
  <c r="AC182" i="5"/>
  <c r="AS182" i="5" s="1"/>
  <c r="AT182" i="5" s="1"/>
  <c r="AC20" i="5"/>
  <c r="AD20" i="5" s="1"/>
  <c r="AC45" i="5"/>
  <c r="AE45" i="5" s="1"/>
  <c r="AC201" i="5"/>
  <c r="AD201" i="5" s="1"/>
  <c r="AC102" i="5"/>
  <c r="AD102" i="5" s="1"/>
  <c r="AC323" i="5"/>
  <c r="AD323" i="5" s="1"/>
  <c r="AC66" i="5"/>
  <c r="AE66" i="5" s="1"/>
  <c r="AC528" i="5"/>
  <c r="AE528" i="5" s="1"/>
  <c r="AA369" i="5"/>
  <c r="AA317" i="5"/>
  <c r="AA410" i="5"/>
  <c r="AC204" i="5"/>
  <c r="AE204" i="5" s="1"/>
  <c r="AC506" i="5"/>
  <c r="AS506" i="5" s="1"/>
  <c r="AC409" i="5"/>
  <c r="AE409" i="5" s="1"/>
  <c r="AA282" i="5"/>
  <c r="AA506" i="5"/>
  <c r="AB135" i="5"/>
  <c r="AA201" i="5"/>
  <c r="AC272" i="5"/>
  <c r="AE272" i="5" s="1"/>
  <c r="AC414" i="5"/>
  <c r="AE414" i="5" s="1"/>
  <c r="AC81" i="5"/>
  <c r="AS81" i="5" s="1"/>
  <c r="AU81" i="5" s="1"/>
  <c r="AC387" i="5"/>
  <c r="AD387" i="5" s="1"/>
  <c r="AC266" i="5"/>
  <c r="AS266" i="5" s="1"/>
  <c r="AC282" i="5"/>
  <c r="AS282" i="5" s="1"/>
  <c r="AC72" i="5"/>
  <c r="AS72" i="5" s="1"/>
  <c r="AU72" i="5" s="1"/>
  <c r="AC558" i="5"/>
  <c r="AD558" i="5" s="1"/>
  <c r="AC317" i="5"/>
  <c r="AS317" i="5" s="1"/>
  <c r="AC240" i="5"/>
  <c r="AD240" i="5" s="1"/>
  <c r="AL11" i="5"/>
  <c r="AJ77" i="4"/>
  <c r="AO9" i="5"/>
  <c r="W39" i="4"/>
  <c r="X39" i="4" s="1"/>
  <c r="AJ39" i="4" s="1"/>
  <c r="W72" i="4"/>
  <c r="Y72" i="4" s="1"/>
  <c r="Z72" i="4" s="1"/>
  <c r="AF72" i="4" s="1"/>
  <c r="AG72" i="4" s="1"/>
  <c r="AI72" i="4" s="1"/>
  <c r="Z149" i="4"/>
  <c r="AF149" i="4" s="1"/>
  <c r="AO149" i="4" s="1"/>
  <c r="W22" i="4"/>
  <c r="X22" i="4" s="1"/>
  <c r="AJ22" i="4" s="1"/>
  <c r="AE140" i="4"/>
  <c r="X140" i="4"/>
  <c r="AJ140" i="4" s="1"/>
  <c r="W109" i="4"/>
  <c r="X109" i="4" s="1"/>
  <c r="AJ109" i="4" s="1"/>
  <c r="W129" i="4"/>
  <c r="Y129" i="4" s="1"/>
  <c r="Z129" i="4" s="1"/>
  <c r="AF129" i="4" s="1"/>
  <c r="AP9" i="5"/>
  <c r="AR9" i="5" s="1"/>
  <c r="W148" i="4"/>
  <c r="X148" i="4" s="1"/>
  <c r="AJ148" i="4" s="1"/>
  <c r="AP11" i="5"/>
  <c r="AQ11" i="5" s="1"/>
  <c r="AM121" i="4"/>
  <c r="AN121" i="4" s="1"/>
  <c r="W67" i="4"/>
  <c r="Y67" i="4" s="1"/>
  <c r="Z67" i="4" s="1"/>
  <c r="AM59" i="4"/>
  <c r="AN59" i="4" s="1"/>
  <c r="W59" i="4"/>
  <c r="X59" i="4" s="1"/>
  <c r="AJ59" i="4" s="1"/>
  <c r="AM132" i="4"/>
  <c r="AN132" i="4" s="1"/>
  <c r="W132" i="4"/>
  <c r="AM83" i="4"/>
  <c r="AN83" i="4" s="1"/>
  <c r="W83" i="4"/>
  <c r="AM141" i="4"/>
  <c r="AN141" i="4" s="1"/>
  <c r="W141" i="4"/>
  <c r="AM62" i="4"/>
  <c r="AN62" i="4" s="1"/>
  <c r="W62" i="4"/>
  <c r="AM21" i="4"/>
  <c r="AN21" i="4" s="1"/>
  <c r="W21" i="4"/>
  <c r="AN84" i="4"/>
  <c r="AM79" i="4"/>
  <c r="AN79" i="4" s="1"/>
  <c r="W79" i="4"/>
  <c r="Y79" i="4" s="1"/>
  <c r="Z79" i="4" s="1"/>
  <c r="W24" i="4"/>
  <c r="AM24" i="4"/>
  <c r="AN24" i="4" s="1"/>
  <c r="X105" i="4"/>
  <c r="AJ105" i="4" s="1"/>
  <c r="Y105" i="4"/>
  <c r="Z105" i="4" s="1"/>
  <c r="AE105" i="4"/>
  <c r="AH105" i="4"/>
  <c r="AM133" i="4"/>
  <c r="AN133" i="4" s="1"/>
  <c r="W133" i="4"/>
  <c r="W155" i="4"/>
  <c r="AE155" i="4" s="1"/>
  <c r="AM155" i="4"/>
  <c r="AN155" i="4" s="1"/>
  <c r="AM101" i="4"/>
  <c r="AN101" i="4" s="1"/>
  <c r="W101" i="4"/>
  <c r="AM34" i="4"/>
  <c r="AN34" i="4" s="1"/>
  <c r="W34" i="4"/>
  <c r="AM130" i="4"/>
  <c r="AN130" i="4" s="1"/>
  <c r="W130" i="4"/>
  <c r="Z140" i="4"/>
  <c r="AN143" i="4"/>
  <c r="AM144" i="4"/>
  <c r="AN144" i="4" s="1"/>
  <c r="W144" i="4"/>
  <c r="AN140" i="4"/>
  <c r="W152" i="4"/>
  <c r="Y152" i="4" s="1"/>
  <c r="Z152" i="4" s="1"/>
  <c r="W94" i="4"/>
  <c r="AE94" i="4" s="1"/>
  <c r="AM94" i="4"/>
  <c r="AN94" i="4" s="1"/>
  <c r="AM58" i="4"/>
  <c r="AN58" i="4" s="1"/>
  <c r="W58" i="4"/>
  <c r="AH155" i="4"/>
  <c r="AM10" i="4"/>
  <c r="AN10" i="4" s="1"/>
  <c r="W10" i="4"/>
  <c r="Y91" i="4"/>
  <c r="Z91" i="4" s="1"/>
  <c r="AA91" i="4" s="1"/>
  <c r="AC91" i="4" s="1"/>
  <c r="AD91" i="4" s="1"/>
  <c r="AE143" i="4"/>
  <c r="R9" i="5"/>
  <c r="S9" i="5"/>
  <c r="X84" i="4"/>
  <c r="AJ84" i="4" s="1"/>
  <c r="AE84" i="4"/>
  <c r="Y84" i="4"/>
  <c r="Z84" i="4" s="1"/>
  <c r="AI9" i="5"/>
  <c r="AH9" i="5"/>
  <c r="V9" i="5"/>
  <c r="U9" i="5"/>
  <c r="Y9" i="5"/>
  <c r="X9" i="5"/>
  <c r="AF143" i="4"/>
  <c r="X143" i="4"/>
  <c r="AJ143" i="4" s="1"/>
  <c r="AE40" i="4"/>
  <c r="AA11" i="5"/>
  <c r="AI11" i="5"/>
  <c r="AH11" i="5"/>
  <c r="S11" i="5"/>
  <c r="R11" i="5"/>
  <c r="X11" i="5"/>
  <c r="Y11" i="5"/>
  <c r="AR327" i="5"/>
  <c r="AR436" i="5"/>
  <c r="AQ438" i="5"/>
  <c r="AQ420" i="5"/>
  <c r="AR381" i="5"/>
  <c r="AQ392" i="5"/>
  <c r="AR261" i="5"/>
  <c r="AR531" i="5"/>
  <c r="AQ259" i="5"/>
  <c r="AR103" i="5"/>
  <c r="AR533" i="5"/>
  <c r="AR274" i="5"/>
  <c r="AQ66" i="5"/>
  <c r="AR474" i="5"/>
  <c r="AQ140" i="5"/>
  <c r="AQ101" i="5"/>
  <c r="AQ487" i="5"/>
  <c r="AR278" i="5"/>
  <c r="AR337" i="5"/>
  <c r="AQ143" i="5"/>
  <c r="AR397" i="5"/>
  <c r="AR226" i="5"/>
  <c r="AR296" i="5"/>
  <c r="AE122" i="4"/>
  <c r="AB128" i="5"/>
  <c r="AA180" i="5"/>
  <c r="AA361" i="5"/>
  <c r="AA338" i="5"/>
  <c r="AB353" i="5"/>
  <c r="AC315" i="5"/>
  <c r="AE315" i="5" s="1"/>
  <c r="AA267" i="5"/>
  <c r="AA253" i="5"/>
  <c r="AB362" i="5"/>
  <c r="AC396" i="5"/>
  <c r="AE396" i="5" s="1"/>
  <c r="AA318" i="5"/>
  <c r="AB511" i="5"/>
  <c r="AC539" i="5"/>
  <c r="AD539" i="5" s="1"/>
  <c r="AB465" i="5"/>
  <c r="AC430" i="5"/>
  <c r="AD430" i="5" s="1"/>
  <c r="AA346" i="5"/>
  <c r="AA281" i="5"/>
  <c r="AC8" i="5"/>
  <c r="AE8" i="5" s="1"/>
  <c r="AA158" i="5"/>
  <c r="AB357" i="5"/>
  <c r="AC290" i="5"/>
  <c r="AS290" i="5" s="1"/>
  <c r="AC305" i="5"/>
  <c r="AS305" i="5" s="1"/>
  <c r="AB206" i="5"/>
  <c r="AB440" i="5"/>
  <c r="AC292" i="5"/>
  <c r="AD292" i="5" s="1"/>
  <c r="AB65" i="5"/>
  <c r="AB214" i="5"/>
  <c r="AB101" i="5"/>
  <c r="AB326" i="5"/>
  <c r="AB253" i="5"/>
  <c r="AB287" i="5"/>
  <c r="AA465" i="5"/>
  <c r="AA295" i="5"/>
  <c r="AC346" i="5"/>
  <c r="AD346" i="5" s="1"/>
  <c r="AA186" i="5"/>
  <c r="AB158" i="5"/>
  <c r="AC407" i="5"/>
  <c r="AD407" i="5" s="1"/>
  <c r="AC357" i="5"/>
  <c r="AE357" i="5" s="1"/>
  <c r="AA290" i="5"/>
  <c r="AA305" i="5"/>
  <c r="AA440" i="5"/>
  <c r="AB292" i="5"/>
  <c r="AA65" i="5"/>
  <c r="AB230" i="5"/>
  <c r="AC326" i="5"/>
  <c r="AD326" i="5" s="1"/>
  <c r="AA353" i="5"/>
  <c r="AB339" i="5"/>
  <c r="AC95" i="5"/>
  <c r="AE95" i="5" s="1"/>
  <c r="AB295" i="5"/>
  <c r="AB186" i="5"/>
  <c r="AA488" i="5"/>
  <c r="AA407" i="5"/>
  <c r="AA427" i="5"/>
  <c r="AA323" i="5"/>
  <c r="AC227" i="5"/>
  <c r="AD227" i="5" s="1"/>
  <c r="AC230" i="5"/>
  <c r="AD230" i="5" s="1"/>
  <c r="AA315" i="5"/>
  <c r="AA245" i="5"/>
  <c r="AC284" i="5"/>
  <c r="AS284" i="5" s="1"/>
  <c r="AC287" i="5"/>
  <c r="AE287" i="5" s="1"/>
  <c r="AC311" i="5"/>
  <c r="AS311" i="5" s="1"/>
  <c r="AC124" i="5"/>
  <c r="AD124" i="5" s="1"/>
  <c r="AA496" i="5"/>
  <c r="AB377" i="5"/>
  <c r="AB245" i="5"/>
  <c r="AC224" i="5"/>
  <c r="AD224" i="5" s="1"/>
  <c r="AA339" i="5"/>
  <c r="AA284" i="5"/>
  <c r="AA95" i="5"/>
  <c r="AA311" i="5"/>
  <c r="AA365" i="5"/>
  <c r="AA391" i="5"/>
  <c r="AC172" i="5"/>
  <c r="AD172" i="5" s="1"/>
  <c r="AB20" i="5"/>
  <c r="AB458" i="5"/>
  <c r="AA127" i="5"/>
  <c r="AA122" i="5"/>
  <c r="AB323" i="5"/>
  <c r="AB496" i="5"/>
  <c r="AA377" i="5"/>
  <c r="AA172" i="5"/>
  <c r="AA197" i="5"/>
  <c r="AB399" i="5"/>
  <c r="AA224" i="5"/>
  <c r="AB365" i="5"/>
  <c r="AC176" i="5"/>
  <c r="AS176" i="5" s="1"/>
  <c r="AE146" i="4"/>
  <c r="AC391" i="5"/>
  <c r="AD391" i="5" s="1"/>
  <c r="AC458" i="5"/>
  <c r="AE458" i="5" s="1"/>
  <c r="AB127" i="5"/>
  <c r="AB122" i="5"/>
  <c r="AC435" i="5"/>
  <c r="AE435" i="5" s="1"/>
  <c r="AA176" i="5"/>
  <c r="AA504" i="5"/>
  <c r="AB117" i="5"/>
  <c r="AB124" i="5"/>
  <c r="AA239" i="5"/>
  <c r="AB197" i="5"/>
  <c r="AB45" i="5"/>
  <c r="AC196" i="5"/>
  <c r="AD196" i="5" s="1"/>
  <c r="AA450" i="5"/>
  <c r="AA20" i="5"/>
  <c r="AC442" i="5"/>
  <c r="AD442" i="5" s="1"/>
  <c r="AA269" i="5"/>
  <c r="AB473" i="5"/>
  <c r="AB450" i="5"/>
  <c r="AB165" i="5"/>
  <c r="AB120" i="5"/>
  <c r="AA45" i="5"/>
  <c r="AC423" i="5"/>
  <c r="AD423" i="5" s="1"/>
  <c r="AC490" i="5"/>
  <c r="AD490" i="5" s="1"/>
  <c r="AC355" i="5"/>
  <c r="AD355" i="5" s="1"/>
  <c r="AA300" i="5"/>
  <c r="AE123" i="4"/>
  <c r="AB433" i="5"/>
  <c r="AA248" i="5"/>
  <c r="AA252" i="5"/>
  <c r="AA84" i="5"/>
  <c r="AA23" i="5"/>
  <c r="AB427" i="5"/>
  <c r="AA28" i="5"/>
  <c r="AA399" i="5"/>
  <c r="AA87" i="5"/>
  <c r="AA381" i="5"/>
  <c r="AA178" i="5"/>
  <c r="AC28" i="5"/>
  <c r="AE28" i="5" s="1"/>
  <c r="AB178" i="5"/>
  <c r="AA334" i="5"/>
  <c r="AC524" i="5"/>
  <c r="AS524" i="5" s="1"/>
  <c r="AB54" i="5"/>
  <c r="AB143" i="5"/>
  <c r="AB61" i="5"/>
  <c r="AB246" i="5"/>
  <c r="AA21" i="5"/>
  <c r="AA225" i="5"/>
  <c r="AA10" i="5"/>
  <c r="AB341" i="5"/>
  <c r="AB268" i="5"/>
  <c r="AA480" i="5"/>
  <c r="AA434" i="5"/>
  <c r="AA104" i="5"/>
  <c r="AB434" i="5"/>
  <c r="AB280" i="5"/>
  <c r="AB182" i="5"/>
  <c r="AA530" i="5"/>
  <c r="AB542" i="5"/>
  <c r="X40" i="4"/>
  <c r="AJ40" i="4" s="1"/>
  <c r="AB302" i="5"/>
  <c r="AA310" i="5"/>
  <c r="AB307" i="5"/>
  <c r="AB30" i="5"/>
  <c r="AC187" i="5"/>
  <c r="AS187" i="5" s="1"/>
  <c r="AC167" i="5"/>
  <c r="AS167" i="5" s="1"/>
  <c r="AB508" i="5"/>
  <c r="AC449" i="5"/>
  <c r="AS449" i="5" s="1"/>
  <c r="AB44" i="5"/>
  <c r="AB449" i="5"/>
  <c r="AE71" i="4"/>
  <c r="AB210" i="5"/>
  <c r="AB73" i="5"/>
  <c r="AB279" i="5"/>
  <c r="AB159" i="5"/>
  <c r="AE31" i="4"/>
  <c r="AB411" i="5"/>
  <c r="AA383" i="5"/>
  <c r="AA183" i="5"/>
  <c r="AC322" i="5"/>
  <c r="AE322" i="5" s="1"/>
  <c r="AB237" i="5"/>
  <c r="AA73" i="5"/>
  <c r="AA337" i="5"/>
  <c r="AC37" i="5"/>
  <c r="AS37" i="5" s="1"/>
  <c r="AA510" i="5"/>
  <c r="AA152" i="5"/>
  <c r="AC86" i="5"/>
  <c r="AE86" i="5" s="1"/>
  <c r="AA508" i="5"/>
  <c r="AA78" i="5"/>
  <c r="AC79" i="5"/>
  <c r="AD79" i="5" s="1"/>
  <c r="AA162" i="5"/>
  <c r="AB240" i="5"/>
  <c r="AA79" i="5"/>
  <c r="AB378" i="5"/>
  <c r="AB233" i="5"/>
  <c r="AC249" i="5"/>
  <c r="AE249" i="5" s="1"/>
  <c r="AB68" i="5"/>
  <c r="AA190" i="5"/>
  <c r="AA52" i="5"/>
  <c r="AA12" i="5"/>
  <c r="AC177" i="5"/>
  <c r="AD177" i="5" s="1"/>
  <c r="AC211" i="5"/>
  <c r="AE211" i="5" s="1"/>
  <c r="AA227" i="5"/>
  <c r="AA237" i="5"/>
  <c r="AA352" i="5"/>
  <c r="AC233" i="5"/>
  <c r="AE233" i="5" s="1"/>
  <c r="AB249" i="5"/>
  <c r="AA68" i="5"/>
  <c r="AA234" i="5"/>
  <c r="AA177" i="5"/>
  <c r="AB156" i="5"/>
  <c r="AB198" i="5"/>
  <c r="AC419" i="5"/>
  <c r="AD419" i="5" s="1"/>
  <c r="AB211" i="5"/>
  <c r="AB195" i="5"/>
  <c r="AB345" i="5"/>
  <c r="AA378" i="5"/>
  <c r="AC246" i="5"/>
  <c r="AD246" i="5" s="1"/>
  <c r="AB123" i="5"/>
  <c r="AB271" i="5"/>
  <c r="AA56" i="5"/>
  <c r="AC352" i="5"/>
  <c r="AD352" i="5" s="1"/>
  <c r="AC393" i="5"/>
  <c r="AE393" i="5" s="1"/>
  <c r="AB234" i="5"/>
  <c r="AA556" i="5"/>
  <c r="AC330" i="5"/>
  <c r="AE330" i="5" s="1"/>
  <c r="AC156" i="5"/>
  <c r="AD156" i="5" s="1"/>
  <c r="AA164" i="5"/>
  <c r="AB141" i="5"/>
  <c r="AB386" i="5"/>
  <c r="AC195" i="5"/>
  <c r="AE195" i="5" s="1"/>
  <c r="AA552" i="5"/>
  <c r="AA115" i="5"/>
  <c r="AA280" i="5"/>
  <c r="AC123" i="5"/>
  <c r="AS123" i="5" s="1"/>
  <c r="AC271" i="5"/>
  <c r="AD271" i="5" s="1"/>
  <c r="AC56" i="5"/>
  <c r="AE56" i="5" s="1"/>
  <c r="AC159" i="5"/>
  <c r="AS159" i="5" s="1"/>
  <c r="AB393" i="5"/>
  <c r="AA187" i="5"/>
  <c r="AC337" i="5"/>
  <c r="AS337" i="5" s="1"/>
  <c r="AB556" i="5"/>
  <c r="AA44" i="5"/>
  <c r="AB37" i="5"/>
  <c r="AA330" i="5"/>
  <c r="AA218" i="5"/>
  <c r="AB102" i="5"/>
  <c r="AA141" i="5"/>
  <c r="AA167" i="5"/>
  <c r="AA229" i="5"/>
  <c r="AB115" i="5"/>
  <c r="AB77" i="5"/>
  <c r="AB21" i="5"/>
  <c r="AB310" i="5"/>
  <c r="AB218" i="5"/>
  <c r="AA102" i="5"/>
  <c r="AB183" i="5"/>
  <c r="AC30" i="5"/>
  <c r="AD30" i="5" s="1"/>
  <c r="AB322" i="5"/>
  <c r="AC542" i="5"/>
  <c r="AE542" i="5" s="1"/>
  <c r="AB229" i="5"/>
  <c r="X123" i="4"/>
  <c r="AJ123" i="4" s="1"/>
  <c r="AC162" i="5"/>
  <c r="AD162" i="5" s="1"/>
  <c r="AC52" i="5"/>
  <c r="AD52" i="5" s="1"/>
  <c r="AC307" i="5"/>
  <c r="AE307" i="5" s="1"/>
  <c r="AA182" i="5"/>
  <c r="AC152" i="5"/>
  <c r="AD152" i="5" s="1"/>
  <c r="AA210" i="5"/>
  <c r="AC10" i="5"/>
  <c r="AD10" i="5" s="1"/>
  <c r="AA279" i="5"/>
  <c r="AC190" i="5"/>
  <c r="AD190" i="5" s="1"/>
  <c r="AC225" i="5"/>
  <c r="AE225" i="5" s="1"/>
  <c r="AC96" i="5"/>
  <c r="AE96" i="5" s="1"/>
  <c r="AA240" i="5"/>
  <c r="AC164" i="5"/>
  <c r="AE164" i="5" s="1"/>
  <c r="AB12" i="5"/>
  <c r="AB78" i="5"/>
  <c r="AC299" i="5"/>
  <c r="AD299" i="5" s="1"/>
  <c r="AE70" i="4"/>
  <c r="AA243" i="5"/>
  <c r="AB38" i="5"/>
  <c r="AC63" i="5"/>
  <c r="AS63" i="5" s="1"/>
  <c r="AB154" i="5"/>
  <c r="AB272" i="5"/>
  <c r="AA385" i="5"/>
  <c r="AA492" i="5"/>
  <c r="AA72" i="5"/>
  <c r="AB559" i="5"/>
  <c r="AC250" i="5"/>
  <c r="AD250" i="5" s="1"/>
  <c r="AC131" i="5"/>
  <c r="AD131" i="5" s="1"/>
  <c r="AC64" i="5"/>
  <c r="AD64" i="5" s="1"/>
  <c r="AB67" i="5"/>
  <c r="AB477" i="5"/>
  <c r="AB204" i="5"/>
  <c r="AC516" i="5"/>
  <c r="AE516" i="5" s="1"/>
  <c r="AC347" i="5"/>
  <c r="AS347" i="5" s="1"/>
  <c r="AB99" i="5"/>
  <c r="AC74" i="5"/>
  <c r="AS74" i="5" s="1"/>
  <c r="AC169" i="5"/>
  <c r="AE169" i="5" s="1"/>
  <c r="AB83" i="5"/>
  <c r="AC281" i="5"/>
  <c r="AE281" i="5" s="1"/>
  <c r="AC154" i="5"/>
  <c r="AD154" i="5" s="1"/>
  <c r="AA107" i="5"/>
  <c r="AC146" i="5"/>
  <c r="AS146" i="5" s="1"/>
  <c r="AC98" i="5"/>
  <c r="AD98" i="5" s="1"/>
  <c r="AA559" i="5"/>
  <c r="AB131" i="5"/>
  <c r="AA266" i="5"/>
  <c r="AA204" i="5"/>
  <c r="AC550" i="5"/>
  <c r="AD550" i="5" s="1"/>
  <c r="AA478" i="5"/>
  <c r="AA374" i="5"/>
  <c r="AC11" i="5"/>
  <c r="AA328" i="5"/>
  <c r="AC328" i="5"/>
  <c r="AD328" i="5" s="1"/>
  <c r="AC526" i="5"/>
  <c r="AD526" i="5" s="1"/>
  <c r="AA113" i="5"/>
  <c r="AA500" i="5"/>
  <c r="AA516" i="5"/>
  <c r="AA457" i="5"/>
  <c r="AA541" i="5"/>
  <c r="AB347" i="5"/>
  <c r="AA99" i="5"/>
  <c r="AC273" i="5"/>
  <c r="AE273" i="5" s="1"/>
  <c r="AB74" i="5"/>
  <c r="AA344" i="5"/>
  <c r="AA319" i="5"/>
  <c r="AC107" i="5"/>
  <c r="AD107" i="5" s="1"/>
  <c r="AA146" i="5"/>
  <c r="AB98" i="5"/>
  <c r="AB534" i="5"/>
  <c r="AC139" i="5"/>
  <c r="AE139" i="5" s="1"/>
  <c r="AB419" i="5"/>
  <c r="AC170" i="5"/>
  <c r="AS170" i="5" s="1"/>
  <c r="AB266" i="5"/>
  <c r="AA173" i="5"/>
  <c r="AB96" i="5"/>
  <c r="X102" i="4"/>
  <c r="AJ102" i="4" s="1"/>
  <c r="AC288" i="5"/>
  <c r="AS288" i="5" s="1"/>
  <c r="AB413" i="5"/>
  <c r="AC488" i="5"/>
  <c r="AS488" i="5" s="1"/>
  <c r="AB526" i="5"/>
  <c r="AB113" i="5"/>
  <c r="AB500" i="5"/>
  <c r="AA134" i="5"/>
  <c r="AC457" i="5"/>
  <c r="AD457" i="5" s="1"/>
  <c r="AC71" i="5"/>
  <c r="AE71" i="5" s="1"/>
  <c r="AB541" i="5"/>
  <c r="AA273" i="5"/>
  <c r="AB344" i="5"/>
  <c r="AC258" i="5"/>
  <c r="AS258" i="5" s="1"/>
  <c r="AC319" i="5"/>
  <c r="AS319" i="5" s="1"/>
  <c r="AB39" i="5"/>
  <c r="AA534" i="5"/>
  <c r="AA198" i="5"/>
  <c r="AB139" i="5"/>
  <c r="AA170" i="5"/>
  <c r="AA345" i="5"/>
  <c r="AC370" i="5"/>
  <c r="AS370" i="5" s="1"/>
  <c r="AB71" i="5"/>
  <c r="AC39" i="5"/>
  <c r="AE39" i="5" s="1"/>
  <c r="AA519" i="5"/>
  <c r="AB134" i="5"/>
  <c r="AB432" i="5"/>
  <c r="AC100" i="5"/>
  <c r="AS100" i="5" s="1"/>
  <c r="AA238" i="5"/>
  <c r="AA22" i="5"/>
  <c r="AE75" i="4"/>
  <c r="AC85" i="5"/>
  <c r="AS85" i="5" s="1"/>
  <c r="AC235" i="5"/>
  <c r="AE235" i="5" s="1"/>
  <c r="AA444" i="5"/>
  <c r="AC92" i="5"/>
  <c r="AE92" i="5" s="1"/>
  <c r="AC185" i="5"/>
  <c r="AD185" i="5" s="1"/>
  <c r="AA517" i="5"/>
  <c r="AA258" i="5"/>
  <c r="AB370" i="5"/>
  <c r="AC161" i="5"/>
  <c r="AS161" i="5" s="1"/>
  <c r="AA432" i="5"/>
  <c r="AB299" i="5"/>
  <c r="AB22" i="5"/>
  <c r="AB85" i="5"/>
  <c r="AA185" i="5"/>
  <c r="AB238" i="5"/>
  <c r="AA277" i="5"/>
  <c r="AB481" i="5"/>
  <c r="AE9" i="4"/>
  <c r="AF111" i="4"/>
  <c r="AB466" i="5"/>
  <c r="AC412" i="5"/>
  <c r="AD412" i="5" s="1"/>
  <c r="AB381" i="5"/>
  <c r="AA47" i="5"/>
  <c r="AC464" i="5"/>
  <c r="AS464" i="5" s="1"/>
  <c r="AB248" i="5"/>
  <c r="AA408" i="5"/>
  <c r="AA433" i="5"/>
  <c r="AA349" i="5"/>
  <c r="AB312" i="5"/>
  <c r="AB555" i="5"/>
  <c r="AB443" i="5"/>
  <c r="AA505" i="5"/>
  <c r="AA155" i="5"/>
  <c r="AA512" i="5"/>
  <c r="AC334" i="5"/>
  <c r="AE334" i="5" s="1"/>
  <c r="AA355" i="5"/>
  <c r="AA547" i="5"/>
  <c r="AB451" i="5"/>
  <c r="AB232" i="5"/>
  <c r="AA46" i="5"/>
  <c r="AA420" i="5"/>
  <c r="AB536" i="5"/>
  <c r="AA481" i="5"/>
  <c r="AR210" i="5"/>
  <c r="AQ291" i="5"/>
  <c r="AE63" i="4"/>
  <c r="Y63" i="4"/>
  <c r="Z63" i="4" s="1"/>
  <c r="X23" i="4"/>
  <c r="AJ23" i="4" s="1"/>
  <c r="Y23" i="4"/>
  <c r="Z23" i="4" s="1"/>
  <c r="AE23" i="4"/>
  <c r="AN10" i="5"/>
  <c r="AO10" i="5"/>
  <c r="AE52" i="4"/>
  <c r="X52" i="4"/>
  <c r="AJ52" i="4" s="1"/>
  <c r="Y52" i="4"/>
  <c r="Z52" i="4" s="1"/>
  <c r="AG71" i="4"/>
  <c r="AI71" i="4" s="1"/>
  <c r="AO71" i="4"/>
  <c r="AA466" i="5"/>
  <c r="AA483" i="5"/>
  <c r="AB483" i="5"/>
  <c r="AC84" i="5"/>
  <c r="AD84" i="5" s="1"/>
  <c r="AB412" i="5"/>
  <c r="AC252" i="5"/>
  <c r="AS252" i="5" s="1"/>
  <c r="AB349" i="5"/>
  <c r="AA555" i="5"/>
  <c r="AB505" i="5"/>
  <c r="AB512" i="5"/>
  <c r="AA490" i="5"/>
  <c r="AA451" i="5"/>
  <c r="AA232" i="5"/>
  <c r="AB46" i="5"/>
  <c r="AA520" i="5"/>
  <c r="AA536" i="5"/>
  <c r="Y103" i="4"/>
  <c r="Z103" i="4" s="1"/>
  <c r="AF103" i="4" s="1"/>
  <c r="AO103" i="4" s="1"/>
  <c r="AE103" i="4"/>
  <c r="X103" i="4"/>
  <c r="AJ103" i="4" s="1"/>
  <c r="Y95" i="4"/>
  <c r="Z95" i="4" s="1"/>
  <c r="AE95" i="4"/>
  <c r="X95" i="4"/>
  <c r="AJ95" i="4" s="1"/>
  <c r="U10" i="5"/>
  <c r="V10" i="5"/>
  <c r="AE126" i="4"/>
  <c r="Y126" i="4"/>
  <c r="Z126" i="4" s="1"/>
  <c r="AE64" i="4"/>
  <c r="Y64" i="4"/>
  <c r="Z64" i="4" s="1"/>
  <c r="X128" i="4"/>
  <c r="AJ128" i="4" s="1"/>
  <c r="Y128" i="4"/>
  <c r="Z128" i="4" s="1"/>
  <c r="AE128" i="4"/>
  <c r="Y69" i="4"/>
  <c r="Z69" i="4" s="1"/>
  <c r="X69" i="4"/>
  <c r="AJ69" i="4" s="1"/>
  <c r="AE69" i="4"/>
  <c r="X45" i="4"/>
  <c r="AJ45" i="4" s="1"/>
  <c r="Y45" i="4"/>
  <c r="Z45" i="4" s="1"/>
  <c r="AF45" i="4" s="1"/>
  <c r="AG45" i="4" s="1"/>
  <c r="AI45" i="4" s="1"/>
  <c r="AE45" i="4"/>
  <c r="AE150" i="4"/>
  <c r="Y150" i="4"/>
  <c r="Z150" i="4" s="1"/>
  <c r="X68" i="4"/>
  <c r="AJ68" i="4" s="1"/>
  <c r="AE68" i="4"/>
  <c r="Y68" i="4"/>
  <c r="Z68" i="4" s="1"/>
  <c r="AF68" i="4" s="1"/>
  <c r="AG68" i="4" s="1"/>
  <c r="AI68" i="4" s="1"/>
  <c r="AH10" i="5"/>
  <c r="AI10" i="5"/>
  <c r="AA89" i="5"/>
  <c r="AA308" i="5"/>
  <c r="AA58" i="5"/>
  <c r="AB493" i="5"/>
  <c r="AA423" i="5"/>
  <c r="AA454" i="5"/>
  <c r="AC358" i="5"/>
  <c r="AE358" i="5" s="1"/>
  <c r="AA418" i="5"/>
  <c r="AA395" i="5"/>
  <c r="AB474" i="5"/>
  <c r="AB524" i="5"/>
  <c r="AC527" i="5"/>
  <c r="AE527" i="5" s="1"/>
  <c r="AA489" i="5"/>
  <c r="AA193" i="5"/>
  <c r="AQ181" i="5"/>
  <c r="X134" i="4"/>
  <c r="AJ134" i="4" s="1"/>
  <c r="Y134" i="4"/>
  <c r="Z134" i="4" s="1"/>
  <c r="AE134" i="4"/>
  <c r="R10" i="5"/>
  <c r="S10" i="5"/>
  <c r="Y137" i="4"/>
  <c r="Z137" i="4" s="1"/>
  <c r="X137" i="4"/>
  <c r="AJ137" i="4" s="1"/>
  <c r="AE137" i="4"/>
  <c r="X44" i="4"/>
  <c r="AK44" i="4" s="1"/>
  <c r="AE44" i="4"/>
  <c r="AE111" i="4"/>
  <c r="X111" i="4"/>
  <c r="AJ111" i="4" s="1"/>
  <c r="AA286" i="5"/>
  <c r="AB300" i="5"/>
  <c r="AC286" i="5"/>
  <c r="AS286" i="5" s="1"/>
  <c r="AC467" i="5"/>
  <c r="AS467" i="5" s="1"/>
  <c r="AB342" i="5"/>
  <c r="AC89" i="5"/>
  <c r="AD89" i="5" s="1"/>
  <c r="AB439" i="5"/>
  <c r="AB308" i="5"/>
  <c r="AC535" i="5"/>
  <c r="AD535" i="5" s="1"/>
  <c r="AC144" i="5"/>
  <c r="AS144" i="5" s="1"/>
  <c r="AB58" i="5"/>
  <c r="AC397" i="5"/>
  <c r="AS397" i="5" s="1"/>
  <c r="AC493" i="5"/>
  <c r="AD493" i="5" s="1"/>
  <c r="AC454" i="5"/>
  <c r="AS454" i="5" s="1"/>
  <c r="AA324" i="5"/>
  <c r="AA358" i="5"/>
  <c r="AB147" i="5"/>
  <c r="AC418" i="5"/>
  <c r="AD418" i="5" s="1"/>
  <c r="AB395" i="5"/>
  <c r="AB558" i="5"/>
  <c r="AC474" i="5"/>
  <c r="AD474" i="5" s="1"/>
  <c r="AC373" i="5"/>
  <c r="AS373" i="5" s="1"/>
  <c r="AB527" i="5"/>
  <c r="AC489" i="5"/>
  <c r="AS489" i="5" s="1"/>
  <c r="AB446" i="5"/>
  <c r="AC448" i="5"/>
  <c r="AS448" i="5" s="1"/>
  <c r="AC340" i="5"/>
  <c r="AD340" i="5" s="1"/>
  <c r="AB144" i="5"/>
  <c r="Y8" i="4"/>
  <c r="Z8" i="4" s="1"/>
  <c r="AE8" i="4"/>
  <c r="X8" i="4"/>
  <c r="AJ8" i="4" s="1"/>
  <c r="AF44" i="4"/>
  <c r="X70" i="4"/>
  <c r="AB34" i="5"/>
  <c r="AA467" i="5"/>
  <c r="AA342" i="5"/>
  <c r="AB485" i="5"/>
  <c r="AC439" i="5"/>
  <c r="AE439" i="5" s="1"/>
  <c r="AB325" i="5"/>
  <c r="AB535" i="5"/>
  <c r="AC367" i="5"/>
  <c r="AE367" i="5" s="1"/>
  <c r="AA415" i="5"/>
  <c r="AA397" i="5"/>
  <c r="AC324" i="5"/>
  <c r="AS324" i="5" s="1"/>
  <c r="AA147" i="5"/>
  <c r="AA558" i="5"/>
  <c r="AB109" i="5"/>
  <c r="AA373" i="5"/>
  <c r="AA446" i="5"/>
  <c r="AB448" i="5"/>
  <c r="AA340" i="5"/>
  <c r="AR94" i="5"/>
  <c r="Y157" i="4"/>
  <c r="Z157" i="4" s="1"/>
  <c r="AE157" i="4"/>
  <c r="AE102" i="4"/>
  <c r="AA184" i="5"/>
  <c r="AC485" i="5"/>
  <c r="AS485" i="5" s="1"/>
  <c r="AA325" i="5"/>
  <c r="AC47" i="5"/>
  <c r="AE47" i="5" s="1"/>
  <c r="AB367" i="5"/>
  <c r="AC415" i="5"/>
  <c r="AE415" i="5" s="1"/>
  <c r="AB464" i="5"/>
  <c r="AC408" i="5"/>
  <c r="AS408" i="5" s="1"/>
  <c r="AC312" i="5"/>
  <c r="AS312" i="5" s="1"/>
  <c r="AC443" i="5"/>
  <c r="AE443" i="5" s="1"/>
  <c r="AC109" i="5"/>
  <c r="AS109" i="5" s="1"/>
  <c r="AC547" i="5"/>
  <c r="AE547" i="5" s="1"/>
  <c r="AE43" i="4"/>
  <c r="AA81" i="5"/>
  <c r="Y77" i="4"/>
  <c r="Z77" i="4" s="1"/>
  <c r="AE77" i="4"/>
  <c r="AE86" i="4"/>
  <c r="AB184" i="5"/>
  <c r="AB81" i="5"/>
  <c r="X63" i="4"/>
  <c r="AJ63" i="4" s="1"/>
  <c r="X10" i="5"/>
  <c r="Y10" i="5"/>
  <c r="Y116" i="4"/>
  <c r="Z116" i="4" s="1"/>
  <c r="AE116" i="4"/>
  <c r="X71" i="4"/>
  <c r="AJ71" i="4" s="1"/>
  <c r="AG40" i="4"/>
  <c r="AI40" i="4" s="1"/>
  <c r="AO40" i="4"/>
  <c r="X47" i="4"/>
  <c r="AJ47" i="4" s="1"/>
  <c r="Y47" i="4"/>
  <c r="Z47" i="4" s="1"/>
  <c r="AE47" i="4"/>
  <c r="X116" i="4"/>
  <c r="AC192" i="5"/>
  <c r="AS192" i="5" s="1"/>
  <c r="AB242" i="5"/>
  <c r="AC549" i="5"/>
  <c r="AD549" i="5" s="1"/>
  <c r="AA145" i="5"/>
  <c r="AB145" i="5"/>
  <c r="AC149" i="5"/>
  <c r="AS149" i="5" s="1"/>
  <c r="AA264" i="5"/>
  <c r="AA528" i="5"/>
  <c r="AB51" i="5"/>
  <c r="AA476" i="5"/>
  <c r="AA33" i="5"/>
  <c r="AC445" i="5"/>
  <c r="AS445" i="5" s="1"/>
  <c r="AA553" i="5"/>
  <c r="AB24" i="5"/>
  <c r="AA398" i="5"/>
  <c r="AC88" i="5"/>
  <c r="AE88" i="5" s="1"/>
  <c r="AC368" i="5"/>
  <c r="AD368" i="5" s="1"/>
  <c r="AB406" i="5"/>
  <c r="AA497" i="5"/>
  <c r="AA136" i="5"/>
  <c r="AC431" i="5"/>
  <c r="AD431" i="5" s="1"/>
  <c r="AC519" i="5"/>
  <c r="AD519" i="5" s="1"/>
  <c r="AB191" i="5"/>
  <c r="AC484" i="5"/>
  <c r="AS484" i="5" s="1"/>
  <c r="AC461" i="5"/>
  <c r="AS461" i="5" s="1"/>
  <c r="AC207" i="5"/>
  <c r="AD207" i="5" s="1"/>
  <c r="AB41" i="5"/>
  <c r="AC538" i="5"/>
  <c r="AS538" i="5" s="1"/>
  <c r="AB200" i="5"/>
  <c r="AA314" i="5"/>
  <c r="AC61" i="5"/>
  <c r="AD61" i="5" s="1"/>
  <c r="AB215" i="5"/>
  <c r="AC87" i="5"/>
  <c r="AS87" i="5" s="1"/>
  <c r="AA67" i="5"/>
  <c r="AA126" i="5"/>
  <c r="AB384" i="5"/>
  <c r="AC503" i="5"/>
  <c r="AE503" i="5" s="1"/>
  <c r="AB264" i="5"/>
  <c r="AA153" i="5"/>
  <c r="AB110" i="5"/>
  <c r="AB316" i="5"/>
  <c r="AB437" i="5"/>
  <c r="AA148" i="5"/>
  <c r="AB476" i="5"/>
  <c r="AB33" i="5"/>
  <c r="AA138" i="5"/>
  <c r="AB76" i="5"/>
  <c r="AA24" i="5"/>
  <c r="AB88" i="5"/>
  <c r="AC510" i="5"/>
  <c r="AD510" i="5" s="1"/>
  <c r="AC545" i="5"/>
  <c r="AD545" i="5" s="1"/>
  <c r="AB459" i="5"/>
  <c r="AB40" i="5"/>
  <c r="AC91" i="5"/>
  <c r="AS91" i="5" s="1"/>
  <c r="AB136" i="5"/>
  <c r="AC191" i="5"/>
  <c r="AE191" i="5" s="1"/>
  <c r="AA484" i="5"/>
  <c r="AA461" i="5"/>
  <c r="AA207" i="5"/>
  <c r="AC276" i="5"/>
  <c r="AD276" i="5" s="1"/>
  <c r="AA538" i="5"/>
  <c r="AB173" i="5"/>
  <c r="AB388" i="5"/>
  <c r="AB126" i="5"/>
  <c r="B112" i="2"/>
  <c r="B154" i="2" s="1"/>
  <c r="H40" i="1" s="1"/>
  <c r="AB9" i="5"/>
  <c r="AA9" i="5"/>
  <c r="AC9" i="5"/>
  <c r="AC118" i="5"/>
  <c r="AS118" i="5" s="1"/>
  <c r="AB219" i="5"/>
  <c r="AC212" i="5"/>
  <c r="AS212" i="5" s="1"/>
  <c r="AA503" i="5"/>
  <c r="AA549" i="5"/>
  <c r="AC531" i="5"/>
  <c r="AD531" i="5" s="1"/>
  <c r="AB350" i="5"/>
  <c r="AC487" i="5"/>
  <c r="AD487" i="5" s="1"/>
  <c r="AA422" i="5"/>
  <c r="AA482" i="5"/>
  <c r="AA468" i="5"/>
  <c r="AA479" i="5"/>
  <c r="AA518" i="5"/>
  <c r="AB530" i="5"/>
  <c r="AA515" i="5"/>
  <c r="AC256" i="5"/>
  <c r="AS256" i="5" s="1"/>
  <c r="AA531" i="5"/>
  <c r="AC557" i="5"/>
  <c r="AS557" i="5" s="1"/>
  <c r="AA364" i="5"/>
  <c r="AC372" i="5"/>
  <c r="AE372" i="5" s="1"/>
  <c r="AB479" i="5"/>
  <c r="AA192" i="5"/>
  <c r="AC242" i="5"/>
  <c r="AD242" i="5" s="1"/>
  <c r="AB507" i="5"/>
  <c r="AA75" i="5"/>
  <c r="AC130" i="5"/>
  <c r="AS130" i="5" s="1"/>
  <c r="AB557" i="5"/>
  <c r="AC554" i="5"/>
  <c r="AS554" i="5" s="1"/>
  <c r="AB216" i="5"/>
  <c r="AA35" i="5"/>
  <c r="AB482" i="5"/>
  <c r="AA250" i="5"/>
  <c r="AC364" i="5"/>
  <c r="AE364" i="5" s="1"/>
  <c r="AA57" i="5"/>
  <c r="AA372" i="5"/>
  <c r="AC389" i="5"/>
  <c r="AE389" i="5" s="1"/>
  <c r="AA212" i="5"/>
  <c r="AB285" i="5"/>
  <c r="AB389" i="5"/>
  <c r="AA285" i="5"/>
  <c r="AA257" i="5"/>
  <c r="AB528" i="5"/>
  <c r="AC507" i="5"/>
  <c r="AD507" i="5" s="1"/>
  <c r="AB75" i="5"/>
  <c r="AB130" i="5"/>
  <c r="AC51" i="5"/>
  <c r="AE51" i="5" s="1"/>
  <c r="AB554" i="5"/>
  <c r="AA216" i="5"/>
  <c r="AB398" i="5"/>
  <c r="B118" i="2"/>
  <c r="B99" i="2" s="1"/>
  <c r="B119" i="2" s="1"/>
  <c r="AB35" i="5"/>
  <c r="AC497" i="5"/>
  <c r="AE497" i="5" s="1"/>
  <c r="AC41" i="5"/>
  <c r="AD41" i="5" s="1"/>
  <c r="AC57" i="5"/>
  <c r="AD57" i="5" s="1"/>
  <c r="AC215" i="5"/>
  <c r="AS215" i="5" s="1"/>
  <c r="AB257" i="5"/>
  <c r="AA200" i="5"/>
  <c r="AE92" i="4"/>
  <c r="AE49" i="4"/>
  <c r="X99" i="4"/>
  <c r="AJ99" i="4" s="1"/>
  <c r="X74" i="4"/>
  <c r="AJ74" i="4" s="1"/>
  <c r="AE55" i="4"/>
  <c r="AE106" i="4"/>
  <c r="AE53" i="4"/>
  <c r="B115" i="2"/>
  <c r="B96" i="2" s="1"/>
  <c r="B116" i="2" s="1"/>
  <c r="X81" i="4"/>
  <c r="AJ81" i="4" s="1"/>
  <c r="AE87" i="4"/>
  <c r="X117" i="4"/>
  <c r="AJ117" i="4" s="1"/>
  <c r="X75" i="4"/>
  <c r="AJ75" i="4" s="1"/>
  <c r="AE147" i="4"/>
  <c r="X80" i="4"/>
  <c r="AJ80" i="4" s="1"/>
  <c r="X122" i="4"/>
  <c r="AJ122" i="4" s="1"/>
  <c r="AE114" i="4"/>
  <c r="AF85" i="4"/>
  <c r="AG85" i="4" s="1"/>
  <c r="AI85" i="4" s="1"/>
  <c r="AE50" i="4"/>
  <c r="AE36" i="4"/>
  <c r="X85" i="4"/>
  <c r="AJ85" i="4" s="1"/>
  <c r="AE120" i="4"/>
  <c r="AF17" i="4"/>
  <c r="AG17" i="4" s="1"/>
  <c r="AI17" i="4" s="1"/>
  <c r="AF139" i="4"/>
  <c r="AO139" i="4" s="1"/>
  <c r="AF81" i="4"/>
  <c r="AG81" i="4" s="1"/>
  <c r="AI81" i="4" s="1"/>
  <c r="AF114" i="4"/>
  <c r="AO114" i="4" s="1"/>
  <c r="AE97" i="4"/>
  <c r="X114" i="4"/>
  <c r="AJ114" i="4" s="1"/>
  <c r="AE117" i="4"/>
  <c r="AE17" i="4"/>
  <c r="AE33" i="4"/>
  <c r="AE60" i="4"/>
  <c r="X104" i="4"/>
  <c r="AK104" i="4" s="1"/>
  <c r="X25" i="4"/>
  <c r="AK25" i="4" s="1"/>
  <c r="X138" i="4"/>
  <c r="AJ138" i="4" s="1"/>
  <c r="X55" i="4"/>
  <c r="AJ55" i="4" s="1"/>
  <c r="AE80" i="4"/>
  <c r="X97" i="4"/>
  <c r="AJ97" i="4" s="1"/>
  <c r="X120" i="4"/>
  <c r="AJ120" i="4" s="1"/>
  <c r="Z120" i="4"/>
  <c r="Z60" i="4"/>
  <c r="AF60" i="4" s="1"/>
  <c r="X17" i="4"/>
  <c r="AJ17" i="4" s="1"/>
  <c r="B76" i="2"/>
  <c r="AG25" i="4"/>
  <c r="AI25" i="4" s="1"/>
  <c r="AO25" i="4"/>
  <c r="AF80" i="4"/>
  <c r="AF11" i="4"/>
  <c r="AQ484" i="5"/>
  <c r="AR484" i="5"/>
  <c r="AQ500" i="5"/>
  <c r="AR500" i="5"/>
  <c r="AR347" i="5"/>
  <c r="AQ347" i="5"/>
  <c r="AQ341" i="5"/>
  <c r="AR341" i="5"/>
  <c r="AQ409" i="5"/>
  <c r="AR409" i="5"/>
  <c r="AR61" i="5"/>
  <c r="AQ61" i="5"/>
  <c r="B81" i="2"/>
  <c r="B82" i="2" s="1"/>
  <c r="H22" i="1" s="1"/>
  <c r="AR102" i="5"/>
  <c r="AQ102" i="5"/>
  <c r="AR120" i="5"/>
  <c r="AQ120" i="5"/>
  <c r="X32" i="4"/>
  <c r="AQ53" i="5"/>
  <c r="AR53" i="5"/>
  <c r="AR515" i="5"/>
  <c r="AQ515" i="5"/>
  <c r="AQ293" i="5"/>
  <c r="AR293" i="5"/>
  <c r="AR559" i="5"/>
  <c r="AQ559" i="5"/>
  <c r="AE131" i="4"/>
  <c r="AR8" i="5"/>
  <c r="AQ8" i="5"/>
  <c r="AQ223" i="5"/>
  <c r="AR223" i="5"/>
  <c r="AF156" i="4"/>
  <c r="AQ200" i="5"/>
  <c r="AR200" i="5"/>
  <c r="AQ519" i="5"/>
  <c r="AR519" i="5"/>
  <c r="AQ106" i="5"/>
  <c r="AR106" i="5"/>
  <c r="AQ289" i="5"/>
  <c r="AR289" i="5"/>
  <c r="AR235" i="5"/>
  <c r="AQ235" i="5"/>
  <c r="AQ343" i="5"/>
  <c r="AR343" i="5"/>
  <c r="AR456" i="5"/>
  <c r="AQ456" i="5"/>
  <c r="AQ96" i="5"/>
  <c r="AR96" i="5"/>
  <c r="X106" i="4"/>
  <c r="AE85" i="4"/>
  <c r="AQ203" i="5"/>
  <c r="AR203" i="5"/>
  <c r="AR553" i="5"/>
  <c r="AQ553" i="5"/>
  <c r="AR151" i="5"/>
  <c r="AQ151" i="5"/>
  <c r="AQ424" i="5"/>
  <c r="AR424" i="5"/>
  <c r="AQ464" i="5"/>
  <c r="AR464" i="5"/>
  <c r="AQ320" i="5"/>
  <c r="AR320" i="5"/>
  <c r="AQ504" i="5"/>
  <c r="AR504" i="5"/>
  <c r="AQ137" i="5"/>
  <c r="AR137" i="5"/>
  <c r="AQ393" i="5"/>
  <c r="AR393" i="5"/>
  <c r="AR391" i="5"/>
  <c r="AQ391" i="5"/>
  <c r="AR268" i="5"/>
  <c r="AQ268" i="5"/>
  <c r="AQ400" i="5"/>
  <c r="AR400" i="5"/>
  <c r="AR303" i="5"/>
  <c r="AQ303" i="5"/>
  <c r="AQ32" i="5"/>
  <c r="AR32" i="5"/>
  <c r="AR523" i="5"/>
  <c r="AQ523" i="5"/>
  <c r="AR242" i="5"/>
  <c r="AQ242" i="5"/>
  <c r="X49" i="4"/>
  <c r="AQ538" i="5"/>
  <c r="AR538" i="5"/>
  <c r="AQ505" i="5"/>
  <c r="AR505" i="5"/>
  <c r="AQ408" i="5"/>
  <c r="AR408" i="5"/>
  <c r="AQ468" i="5"/>
  <c r="AR468" i="5"/>
  <c r="AQ208" i="5"/>
  <c r="AR208" i="5"/>
  <c r="AE11" i="4"/>
  <c r="AR508" i="5"/>
  <c r="AQ508" i="5"/>
  <c r="AR532" i="5"/>
  <c r="AQ532" i="5"/>
  <c r="AR443" i="5"/>
  <c r="AQ443" i="5"/>
  <c r="AF33" i="4"/>
  <c r="AQ480" i="5"/>
  <c r="AR480" i="5"/>
  <c r="AR111" i="5"/>
  <c r="AQ111" i="5"/>
  <c r="AQ180" i="5"/>
  <c r="AR180" i="5"/>
  <c r="AR503" i="5"/>
  <c r="AQ503" i="5"/>
  <c r="AQ156" i="5"/>
  <c r="AR156" i="5"/>
  <c r="AR99" i="5"/>
  <c r="AQ99" i="5"/>
  <c r="AQ358" i="5"/>
  <c r="AR358" i="5"/>
  <c r="AQ439" i="5"/>
  <c r="AR439" i="5"/>
  <c r="AQ509" i="5"/>
  <c r="AR509" i="5"/>
  <c r="AQ230" i="5"/>
  <c r="AR230" i="5"/>
  <c r="AR115" i="5"/>
  <c r="AQ115" i="5"/>
  <c r="AQ256" i="5"/>
  <c r="AR256" i="5"/>
  <c r="AR546" i="5"/>
  <c r="AQ546" i="5"/>
  <c r="AQ207" i="5"/>
  <c r="AR207" i="5"/>
  <c r="AE90" i="4"/>
  <c r="AQ466" i="5"/>
  <c r="AR466" i="5"/>
  <c r="Y13" i="5"/>
  <c r="X13" i="5"/>
  <c r="AO112" i="4"/>
  <c r="AG112" i="4"/>
  <c r="AI112" i="4" s="1"/>
  <c r="AR265" i="5"/>
  <c r="AQ265" i="5"/>
  <c r="AR107" i="5"/>
  <c r="AQ107" i="5"/>
  <c r="AQ367" i="5"/>
  <c r="AR367" i="5"/>
  <c r="AR286" i="5"/>
  <c r="AQ286" i="5"/>
  <c r="AQ228" i="5"/>
  <c r="AR228" i="5"/>
  <c r="AR266" i="5"/>
  <c r="AQ266" i="5"/>
  <c r="AR248" i="5"/>
  <c r="AQ248" i="5"/>
  <c r="AR168" i="5"/>
  <c r="AQ168" i="5"/>
  <c r="AR427" i="5"/>
  <c r="AQ427" i="5"/>
  <c r="AG36" i="4"/>
  <c r="AI36" i="4" s="1"/>
  <c r="AO36" i="4"/>
  <c r="AQ399" i="5"/>
  <c r="AR399" i="5"/>
  <c r="AR164" i="5"/>
  <c r="AQ164" i="5"/>
  <c r="AQ329" i="5"/>
  <c r="AR329" i="5"/>
  <c r="AR63" i="5"/>
  <c r="AQ63" i="5"/>
  <c r="AR123" i="5"/>
  <c r="AQ123" i="5"/>
  <c r="AQ534" i="5"/>
  <c r="AR534" i="5"/>
  <c r="AR376" i="5"/>
  <c r="AQ376" i="5"/>
  <c r="AR28" i="5"/>
  <c r="AQ28" i="5"/>
  <c r="AQ526" i="5"/>
  <c r="AR526" i="5"/>
  <c r="AQ472" i="5"/>
  <c r="AR472" i="5"/>
  <c r="AR275" i="5"/>
  <c r="AQ275" i="5"/>
  <c r="AR198" i="5"/>
  <c r="AQ198" i="5"/>
  <c r="AQ482" i="5"/>
  <c r="AR482" i="5"/>
  <c r="AQ75" i="5"/>
  <c r="AR75" i="5"/>
  <c r="AQ170" i="5"/>
  <c r="AR170" i="5"/>
  <c r="AQ139" i="5"/>
  <c r="AR139" i="5"/>
  <c r="AQ529" i="5"/>
  <c r="AR529" i="5"/>
  <c r="AE115" i="4"/>
  <c r="AQ403" i="5"/>
  <c r="AR403" i="5"/>
  <c r="AR389" i="5"/>
  <c r="AQ389" i="5"/>
  <c r="AR352" i="5"/>
  <c r="AQ352" i="5"/>
  <c r="AR555" i="5"/>
  <c r="AQ555" i="5"/>
  <c r="AR366" i="5"/>
  <c r="AQ366" i="5"/>
  <c r="X156" i="4"/>
  <c r="AA156" i="4" s="1"/>
  <c r="AC156" i="4" s="1"/>
  <c r="AD156" i="4" s="1"/>
  <c r="AQ458" i="5"/>
  <c r="AR458" i="5"/>
  <c r="AQ297" i="5"/>
  <c r="AR297" i="5"/>
  <c r="AQ84" i="5"/>
  <c r="AR84" i="5"/>
  <c r="AQ249" i="5"/>
  <c r="AR249" i="5"/>
  <c r="AR27" i="5"/>
  <c r="AQ27" i="5"/>
  <c r="AQ271" i="5"/>
  <c r="AR271" i="5"/>
  <c r="X16" i="4"/>
  <c r="AJ16" i="4" s="1"/>
  <c r="AQ294" i="5"/>
  <c r="AR294" i="5"/>
  <c r="AE81" i="4"/>
  <c r="AR149" i="5"/>
  <c r="AQ149" i="5"/>
  <c r="AR197" i="5"/>
  <c r="AQ197" i="5"/>
  <c r="AR52" i="5"/>
  <c r="AQ52" i="5"/>
  <c r="AQ373" i="5"/>
  <c r="AR373" i="5"/>
  <c r="AQ469" i="5"/>
  <c r="AR469" i="5"/>
  <c r="AR253" i="5"/>
  <c r="AQ253" i="5"/>
  <c r="AR100" i="5"/>
  <c r="AQ100" i="5"/>
  <c r="AL13" i="5"/>
  <c r="AK13" i="5"/>
  <c r="AQ76" i="5"/>
  <c r="AR76" i="5"/>
  <c r="AR224" i="5"/>
  <c r="AQ224" i="5"/>
  <c r="AQ55" i="5"/>
  <c r="AR55" i="5"/>
  <c r="AQ336" i="5"/>
  <c r="AR336" i="5"/>
  <c r="AR288" i="5"/>
  <c r="AQ288" i="5"/>
  <c r="AF50" i="4"/>
  <c r="AR85" i="5"/>
  <c r="AQ85" i="5"/>
  <c r="AR501" i="5"/>
  <c r="AQ501" i="5"/>
  <c r="X53" i="4"/>
  <c r="AA53" i="4" s="1"/>
  <c r="AC53" i="4" s="1"/>
  <c r="AD53" i="4" s="1"/>
  <c r="AQ251" i="5"/>
  <c r="AR251" i="5"/>
  <c r="AQ236" i="5"/>
  <c r="AR236" i="5"/>
  <c r="AR243" i="5"/>
  <c r="AQ243" i="5"/>
  <c r="AR471" i="5"/>
  <c r="AQ471" i="5"/>
  <c r="AQ435" i="5"/>
  <c r="AR435" i="5"/>
  <c r="AQ213" i="5"/>
  <c r="AR213" i="5"/>
  <c r="AQ513" i="5"/>
  <c r="AR513" i="5"/>
  <c r="AE32" i="4"/>
  <c r="AR334" i="5"/>
  <c r="AQ334" i="5"/>
  <c r="AQ395" i="5"/>
  <c r="AR395" i="5"/>
  <c r="AO13" i="5"/>
  <c r="AN13" i="5"/>
  <c r="AQ323" i="5"/>
  <c r="AR323" i="5"/>
  <c r="AO53" i="4"/>
  <c r="AG53" i="4"/>
  <c r="AI53" i="4" s="1"/>
  <c r="AR292" i="5"/>
  <c r="AQ292" i="5"/>
  <c r="AQ499" i="5"/>
  <c r="AR499" i="5"/>
  <c r="Z32" i="4"/>
  <c r="AQ33" i="5"/>
  <c r="AR33" i="5"/>
  <c r="AR331" i="5"/>
  <c r="AQ331" i="5"/>
  <c r="AQ537" i="5"/>
  <c r="AR537" i="5"/>
  <c r="AQ91" i="5"/>
  <c r="AR91" i="5"/>
  <c r="AQ161" i="5"/>
  <c r="AR161" i="5"/>
  <c r="AQ163" i="5"/>
  <c r="AR163" i="5"/>
  <c r="AQ272" i="5"/>
  <c r="AR272" i="5"/>
  <c r="AR31" i="5"/>
  <c r="AQ31" i="5"/>
  <c r="AQ349" i="5"/>
  <c r="AR349" i="5"/>
  <c r="AQ206" i="5"/>
  <c r="AR206" i="5"/>
  <c r="AR425" i="5"/>
  <c r="AQ425" i="5"/>
  <c r="AQ195" i="5"/>
  <c r="AR195" i="5"/>
  <c r="AQ29" i="5"/>
  <c r="AR29" i="5"/>
  <c r="AR108" i="5"/>
  <c r="AQ108" i="5"/>
  <c r="AR41" i="5"/>
  <c r="AQ41" i="5"/>
  <c r="AF56" i="4"/>
  <c r="X110" i="4"/>
  <c r="AA110" i="4" s="1"/>
  <c r="AC110" i="4" s="1"/>
  <c r="AD110" i="4" s="1"/>
  <c r="X121" i="4"/>
  <c r="AA121" i="4" s="1"/>
  <c r="AC121" i="4" s="1"/>
  <c r="AD121" i="4" s="1"/>
  <c r="X115" i="4"/>
  <c r="AR449" i="5"/>
  <c r="AQ449" i="5"/>
  <c r="AQ473" i="5"/>
  <c r="AR473" i="5"/>
  <c r="AQ136" i="5"/>
  <c r="AR136" i="5"/>
  <c r="AQ441" i="5"/>
  <c r="AR441" i="5"/>
  <c r="AQ361" i="5"/>
  <c r="AR361" i="5"/>
  <c r="AQ430" i="5"/>
  <c r="AR430" i="5"/>
  <c r="AR113" i="5"/>
  <c r="AQ113" i="5"/>
  <c r="AR240" i="5"/>
  <c r="AQ240" i="5"/>
  <c r="AQ285" i="5"/>
  <c r="AR285" i="5"/>
  <c r="AQ263" i="5"/>
  <c r="AR263" i="5"/>
  <c r="AR154" i="5"/>
  <c r="AQ154" i="5"/>
  <c r="AQ124" i="5"/>
  <c r="AR124" i="5"/>
  <c r="X11" i="4"/>
  <c r="AJ11" i="4" s="1"/>
  <c r="AR40" i="5"/>
  <c r="AQ40" i="5"/>
  <c r="Z131" i="4"/>
  <c r="AF131" i="4" s="1"/>
  <c r="AR363" i="5"/>
  <c r="AQ363" i="5"/>
  <c r="AB13" i="5"/>
  <c r="AA13" i="5"/>
  <c r="AQ549" i="5"/>
  <c r="AR549" i="5"/>
  <c r="X146" i="4"/>
  <c r="AA146" i="4" s="1"/>
  <c r="AC146" i="4" s="1"/>
  <c r="AD146" i="4" s="1"/>
  <c r="AE104" i="4"/>
  <c r="AQ446" i="5"/>
  <c r="AR446" i="5"/>
  <c r="AR543" i="5"/>
  <c r="AQ543" i="5"/>
  <c r="AF122" i="4"/>
  <c r="AQ414" i="5"/>
  <c r="AR414" i="5"/>
  <c r="AQ407" i="5"/>
  <c r="AR407" i="5"/>
  <c r="AR215" i="5"/>
  <c r="AQ215" i="5"/>
  <c r="AQ431" i="5"/>
  <c r="AR431" i="5"/>
  <c r="AR7" i="5"/>
  <c r="AQ7" i="5"/>
  <c r="Z90" i="4"/>
  <c r="AF90" i="4" s="1"/>
  <c r="AR369" i="5"/>
  <c r="AQ369" i="5"/>
  <c r="AR177" i="5"/>
  <c r="AQ177" i="5"/>
  <c r="AR46" i="5"/>
  <c r="AQ46" i="5"/>
  <c r="AR80" i="5"/>
  <c r="AQ80" i="5"/>
  <c r="AQ362" i="5"/>
  <c r="AR362" i="5"/>
  <c r="AR411" i="5"/>
  <c r="AQ411" i="5"/>
  <c r="AQ97" i="5"/>
  <c r="AR97" i="5"/>
  <c r="AQ90" i="5"/>
  <c r="AR90" i="5"/>
  <c r="AQ19" i="5"/>
  <c r="AR19" i="5"/>
  <c r="AR308" i="5"/>
  <c r="AQ308" i="5"/>
  <c r="AQ188" i="5"/>
  <c r="AR188" i="5"/>
  <c r="AE110" i="4"/>
  <c r="AR121" i="5"/>
  <c r="AQ121" i="5"/>
  <c r="AQ241" i="5"/>
  <c r="AR241" i="5"/>
  <c r="AQ311" i="5"/>
  <c r="AR311" i="5"/>
  <c r="AR193" i="5"/>
  <c r="AQ193" i="5"/>
  <c r="AQ445" i="5"/>
  <c r="AR445" i="5"/>
  <c r="S13" i="5"/>
  <c r="R13" i="5"/>
  <c r="AQ269" i="5"/>
  <c r="AR269" i="5"/>
  <c r="AQ209" i="5"/>
  <c r="AR209" i="5"/>
  <c r="AQ433" i="5"/>
  <c r="AR433" i="5"/>
  <c r="AQ412" i="5"/>
  <c r="AR412" i="5"/>
  <c r="AQ322" i="5"/>
  <c r="AR322" i="5"/>
  <c r="AR514" i="5"/>
  <c r="AQ514" i="5"/>
  <c r="AE112" i="4"/>
  <c r="AF55" i="4"/>
  <c r="AR152" i="5"/>
  <c r="AQ152" i="5"/>
  <c r="AQ95" i="5"/>
  <c r="AR95" i="5"/>
  <c r="AR479" i="5"/>
  <c r="AQ479" i="5"/>
  <c r="AQ502" i="5"/>
  <c r="AR502" i="5"/>
  <c r="AQ518" i="5"/>
  <c r="AR518" i="5"/>
  <c r="AQ167" i="5"/>
  <c r="AR167" i="5"/>
  <c r="AQ442" i="5"/>
  <c r="AR442" i="5"/>
  <c r="AQ59" i="5"/>
  <c r="AR59" i="5"/>
  <c r="AR277" i="5"/>
  <c r="AQ277" i="5"/>
  <c r="AQ221" i="5"/>
  <c r="AR221" i="5"/>
  <c r="AQ310" i="5"/>
  <c r="AR310" i="5"/>
  <c r="AQ204" i="5"/>
  <c r="AR204" i="5"/>
  <c r="AR375" i="5"/>
  <c r="AQ375" i="5"/>
  <c r="AR507" i="5"/>
  <c r="AQ507" i="5"/>
  <c r="AQ191" i="5"/>
  <c r="AR191" i="5"/>
  <c r="AR298" i="5"/>
  <c r="AQ298" i="5"/>
  <c r="AQ357" i="5"/>
  <c r="AR357" i="5"/>
  <c r="AR309" i="5"/>
  <c r="AQ309" i="5"/>
  <c r="AQ478" i="5"/>
  <c r="AR478" i="5"/>
  <c r="AR89" i="5"/>
  <c r="AQ89" i="5"/>
  <c r="AR174" i="5"/>
  <c r="AQ174" i="5"/>
  <c r="AE56" i="4"/>
  <c r="AR385" i="5"/>
  <c r="AQ385" i="5"/>
  <c r="AR342" i="5"/>
  <c r="AQ342" i="5"/>
  <c r="AR186" i="5"/>
  <c r="AQ186" i="5"/>
  <c r="AQ282" i="5"/>
  <c r="AR282" i="5"/>
  <c r="AR57" i="5"/>
  <c r="AQ57" i="5"/>
  <c r="AQ440" i="5"/>
  <c r="AR440" i="5"/>
  <c r="AE88" i="4"/>
  <c r="AQ264" i="5"/>
  <c r="AR264" i="5"/>
  <c r="AQ467" i="5"/>
  <c r="AR467" i="5"/>
  <c r="AR162" i="5"/>
  <c r="AQ162" i="5"/>
  <c r="AQ419" i="5"/>
  <c r="AR419" i="5"/>
  <c r="AF121" i="4"/>
  <c r="AF88" i="4"/>
  <c r="AE16" i="4"/>
  <c r="AR295" i="5"/>
  <c r="AQ295" i="5"/>
  <c r="X139" i="4"/>
  <c r="AA139" i="4" s="1"/>
  <c r="AC139" i="4" s="1"/>
  <c r="AD139" i="4" s="1"/>
  <c r="X60" i="4"/>
  <c r="AR116" i="5"/>
  <c r="AQ116" i="5"/>
  <c r="AR145" i="5"/>
  <c r="AQ145" i="5"/>
  <c r="AQ453" i="5"/>
  <c r="AR453" i="5"/>
  <c r="AQ220" i="5"/>
  <c r="AR220" i="5"/>
  <c r="AQ279" i="5"/>
  <c r="AR279" i="5"/>
  <c r="X147" i="4"/>
  <c r="AA147" i="4" s="1"/>
  <c r="AC147" i="4" s="1"/>
  <c r="AD147" i="4" s="1"/>
  <c r="AR128" i="5"/>
  <c r="AQ128" i="5"/>
  <c r="AQ415" i="5"/>
  <c r="AR415" i="5"/>
  <c r="X87" i="4"/>
  <c r="AQ328" i="5"/>
  <c r="AR328" i="5"/>
  <c r="AQ160" i="5"/>
  <c r="AR160" i="5"/>
  <c r="AH13" i="5"/>
  <c r="AP13" i="5"/>
  <c r="AI13" i="5"/>
  <c r="AQ475" i="5"/>
  <c r="AR475" i="5"/>
  <c r="AQ423" i="5"/>
  <c r="AR423" i="5"/>
  <c r="AF146" i="4"/>
  <c r="X149" i="4"/>
  <c r="AQ35" i="5"/>
  <c r="AR35" i="5"/>
  <c r="AR155" i="5"/>
  <c r="AQ155" i="5"/>
  <c r="AQ351" i="5"/>
  <c r="AR351" i="5"/>
  <c r="AR114" i="5"/>
  <c r="AQ114" i="5"/>
  <c r="AR179" i="5"/>
  <c r="AQ179" i="5"/>
  <c r="AQ344" i="5"/>
  <c r="AR344" i="5"/>
  <c r="X50" i="4"/>
  <c r="AA50" i="4" s="1"/>
  <c r="AC50" i="4" s="1"/>
  <c r="AD50" i="4" s="1"/>
  <c r="AE149" i="4"/>
  <c r="AQ459" i="5"/>
  <c r="AR459" i="5"/>
  <c r="AR172" i="5"/>
  <c r="AQ172" i="5"/>
  <c r="AR315" i="5"/>
  <c r="AQ315" i="5"/>
  <c r="AR196" i="5"/>
  <c r="AQ196" i="5"/>
  <c r="AQ325" i="5"/>
  <c r="AR325" i="5"/>
  <c r="AQ452" i="5"/>
  <c r="AR452" i="5"/>
  <c r="AR353" i="5"/>
  <c r="AQ353" i="5"/>
  <c r="AE139" i="4"/>
  <c r="AR68" i="5"/>
  <c r="AQ68" i="5"/>
  <c r="AQ62" i="5"/>
  <c r="AR62" i="5"/>
  <c r="AE99" i="4"/>
  <c r="X33" i="4"/>
  <c r="AA33" i="4" s="1"/>
  <c r="AC33" i="4" s="1"/>
  <c r="AD33" i="4" s="1"/>
  <c r="AQ299" i="5"/>
  <c r="AR299" i="5"/>
  <c r="AQ171" i="5"/>
  <c r="AR171" i="5"/>
  <c r="AG31" i="4"/>
  <c r="AI31" i="4" s="1"/>
  <c r="AO31" i="4"/>
  <c r="AR246" i="5"/>
  <c r="AQ246" i="5"/>
  <c r="AQ183" i="5"/>
  <c r="AR183" i="5"/>
  <c r="AR125" i="5"/>
  <c r="AQ125" i="5"/>
  <c r="AQ50" i="5"/>
  <c r="AR50" i="5"/>
  <c r="AQ67" i="5"/>
  <c r="AR67" i="5"/>
  <c r="AQ74" i="5"/>
  <c r="AR74" i="5"/>
  <c r="AQ132" i="5"/>
  <c r="AR132" i="5"/>
  <c r="AF110" i="4"/>
  <c r="AQ455" i="5"/>
  <c r="AR455" i="5"/>
  <c r="AR83" i="5"/>
  <c r="AQ83" i="5"/>
  <c r="AQ316" i="5"/>
  <c r="AR316" i="5"/>
  <c r="AQ490" i="5"/>
  <c r="AR490" i="5"/>
  <c r="AE121" i="4"/>
  <c r="AR421" i="5"/>
  <c r="AQ421" i="5"/>
  <c r="AQ231" i="5"/>
  <c r="AR231" i="5"/>
  <c r="AR317" i="5"/>
  <c r="AQ317" i="5"/>
  <c r="AR319" i="5"/>
  <c r="AQ319" i="5"/>
  <c r="X56" i="4"/>
  <c r="AA56" i="4" s="1"/>
  <c r="AC56" i="4" s="1"/>
  <c r="AD56" i="4" s="1"/>
  <c r="X88" i="4"/>
  <c r="AA88" i="4" s="1"/>
  <c r="AC88" i="4" s="1"/>
  <c r="AD88" i="4" s="1"/>
  <c r="AQ280" i="5"/>
  <c r="AR280" i="5"/>
  <c r="AF104" i="4"/>
  <c r="AQ36" i="5"/>
  <c r="AR36" i="5"/>
  <c r="AR550" i="5"/>
  <c r="AQ550" i="5"/>
  <c r="AQ401" i="5"/>
  <c r="AR401" i="5"/>
  <c r="AR150" i="5"/>
  <c r="AQ150" i="5"/>
  <c r="AQ122" i="5"/>
  <c r="AR122" i="5"/>
  <c r="X31" i="4"/>
  <c r="AA31" i="4" s="1"/>
  <c r="AC31" i="4" s="1"/>
  <c r="AD31" i="4" s="1"/>
  <c r="AF147" i="4"/>
  <c r="AQ339" i="5"/>
  <c r="AR339" i="5"/>
  <c r="AQ254" i="5"/>
  <c r="AR254" i="5"/>
  <c r="AR547" i="5"/>
  <c r="AQ547" i="5"/>
  <c r="AR413" i="5"/>
  <c r="AQ413" i="5"/>
  <c r="AQ511" i="5"/>
  <c r="AR511" i="5"/>
  <c r="X131" i="4"/>
  <c r="AQ481" i="5"/>
  <c r="AR481" i="5"/>
  <c r="U13" i="5"/>
  <c r="V13" i="5"/>
  <c r="AC13" i="5"/>
  <c r="AR247" i="5"/>
  <c r="AQ247" i="5"/>
  <c r="AR86" i="5"/>
  <c r="AQ86" i="5"/>
  <c r="AR98" i="5"/>
  <c r="AQ98" i="5"/>
  <c r="AQ201" i="5"/>
  <c r="AR201" i="5"/>
  <c r="AE138" i="4"/>
  <c r="X112" i="4"/>
  <c r="AA112" i="4" s="1"/>
  <c r="AC112" i="4" s="1"/>
  <c r="AD112" i="4" s="1"/>
  <c r="AF99" i="4"/>
  <c r="AE156" i="4"/>
  <c r="H34" i="1"/>
  <c r="B145" i="2"/>
  <c r="H35" i="1" s="1"/>
  <c r="AQ60" i="5"/>
  <c r="AR60" i="5"/>
  <c r="AQ429" i="5"/>
  <c r="AR429" i="5"/>
  <c r="AR377" i="5"/>
  <c r="AQ377" i="5"/>
  <c r="AQ554" i="5"/>
  <c r="AR554" i="5"/>
  <c r="X36" i="4"/>
  <c r="AA36" i="4" s="1"/>
  <c r="AC36" i="4" s="1"/>
  <c r="AD36" i="4" s="1"/>
  <c r="AQ489" i="5"/>
  <c r="AR489" i="5"/>
  <c r="AQ541" i="5"/>
  <c r="AR541" i="5"/>
  <c r="AR88" i="5"/>
  <c r="AQ88" i="5"/>
  <c r="AQ305" i="5"/>
  <c r="AR305" i="5"/>
  <c r="AR44" i="5"/>
  <c r="AQ44" i="5"/>
  <c r="AR39" i="5"/>
  <c r="AQ39" i="5"/>
  <c r="AQ73" i="5"/>
  <c r="AR73" i="5"/>
  <c r="AQ374" i="5"/>
  <c r="AR374" i="5"/>
  <c r="AE25" i="4"/>
  <c r="AE74" i="4"/>
  <c r="AQ416" i="5"/>
  <c r="AR416" i="5"/>
  <c r="X90" i="4"/>
  <c r="X43" i="4"/>
  <c r="AQ388" i="5"/>
  <c r="AR388" i="5"/>
  <c r="AR185" i="5"/>
  <c r="AQ185" i="5"/>
  <c r="AR49" i="5"/>
  <c r="AQ49" i="5"/>
  <c r="AR71" i="5"/>
  <c r="AQ71" i="5"/>
  <c r="X41" i="4" l="1"/>
  <c r="AK41" i="4" s="1"/>
  <c r="AG98" i="4"/>
  <c r="AI98" i="4" s="1"/>
  <c r="AE108" i="4"/>
  <c r="X30" i="4"/>
  <c r="AJ30" i="4" s="1"/>
  <c r="X82" i="4"/>
  <c r="AJ82" i="4" s="1"/>
  <c r="X107" i="4"/>
  <c r="AA107" i="4" s="1"/>
  <c r="AC107" i="4" s="1"/>
  <c r="AD107" i="4" s="1"/>
  <c r="AO41" i="4"/>
  <c r="AE124" i="4"/>
  <c r="AO82" i="4"/>
  <c r="X136" i="4"/>
  <c r="AJ136" i="4" s="1"/>
  <c r="X124" i="4"/>
  <c r="AJ124" i="4" s="1"/>
  <c r="AE82" i="4"/>
  <c r="AO89" i="4"/>
  <c r="AE38" i="4"/>
  <c r="AE41" i="4"/>
  <c r="X89" i="4"/>
  <c r="AJ89" i="4" s="1"/>
  <c r="X108" i="4"/>
  <c r="AA108" i="4" s="1"/>
  <c r="AC108" i="4" s="1"/>
  <c r="AD108" i="4" s="1"/>
  <c r="AE89" i="4"/>
  <c r="Y38" i="4"/>
  <c r="Z38" i="4" s="1"/>
  <c r="AF38" i="4" s="1"/>
  <c r="AE136" i="4"/>
  <c r="AE30" i="4"/>
  <c r="AE28" i="4"/>
  <c r="X28" i="4"/>
  <c r="AA28" i="4" s="1"/>
  <c r="AC28" i="4" s="1"/>
  <c r="AD28" i="4" s="1"/>
  <c r="X100" i="4"/>
  <c r="AJ100" i="4" s="1"/>
  <c r="X92" i="4"/>
  <c r="AJ92" i="4" s="1"/>
  <c r="Y93" i="4"/>
  <c r="Z93" i="4" s="1"/>
  <c r="AE107" i="4"/>
  <c r="Y100" i="4"/>
  <c r="Z100" i="4" s="1"/>
  <c r="AF100" i="4" s="1"/>
  <c r="Y86" i="4"/>
  <c r="Z86" i="4" s="1"/>
  <c r="AF86" i="4" s="1"/>
  <c r="AE93" i="4"/>
  <c r="AE42" i="4"/>
  <c r="AK98" i="4"/>
  <c r="AE119" i="4"/>
  <c r="AE48" i="4"/>
  <c r="AA98" i="4"/>
  <c r="AC98" i="4" s="1"/>
  <c r="AD98" i="4" s="1"/>
  <c r="AR98" i="4" s="1"/>
  <c r="AT98" i="4" s="1"/>
  <c r="AG9" i="4"/>
  <c r="AI9" i="4" s="1"/>
  <c r="AE78" i="4"/>
  <c r="X48" i="4"/>
  <c r="AA48" i="4" s="1"/>
  <c r="AC48" i="4" s="1"/>
  <c r="AD48" i="4" s="1"/>
  <c r="X51" i="4"/>
  <c r="AJ51" i="4" s="1"/>
  <c r="AG96" i="4"/>
  <c r="AI96" i="4" s="1"/>
  <c r="X42" i="4"/>
  <c r="X9" i="4"/>
  <c r="AJ9" i="4" s="1"/>
  <c r="AE51" i="4"/>
  <c r="AE91" i="4"/>
  <c r="X78" i="4"/>
  <c r="AA78" i="4" s="1"/>
  <c r="AC78" i="4" s="1"/>
  <c r="AD78" i="4" s="1"/>
  <c r="X118" i="4"/>
  <c r="AA118" i="4" s="1"/>
  <c r="AC118" i="4" s="1"/>
  <c r="AD118" i="4" s="1"/>
  <c r="AE27" i="4"/>
  <c r="X113" i="4"/>
  <c r="AJ113" i="4" s="1"/>
  <c r="AO19" i="4"/>
  <c r="AE54" i="4"/>
  <c r="AE113" i="4"/>
  <c r="X13" i="4"/>
  <c r="AJ13" i="4" s="1"/>
  <c r="AE19" i="4"/>
  <c r="AE65" i="4"/>
  <c r="AE118" i="4"/>
  <c r="X65" i="4"/>
  <c r="AJ65" i="4" s="1"/>
  <c r="X19" i="4"/>
  <c r="AJ19" i="4" s="1"/>
  <c r="AA106" i="4"/>
  <c r="AC106" i="4" s="1"/>
  <c r="AD106" i="4" s="1"/>
  <c r="AO78" i="4"/>
  <c r="Y54" i="4"/>
  <c r="Z54" i="4" s="1"/>
  <c r="AA54" i="4" s="1"/>
  <c r="AC54" i="4" s="1"/>
  <c r="AD54" i="4" s="1"/>
  <c r="AE13" i="4"/>
  <c r="X27" i="4"/>
  <c r="AJ27" i="4" s="1"/>
  <c r="AG106" i="4"/>
  <c r="AI106" i="4" s="1"/>
  <c r="X96" i="4"/>
  <c r="AJ96" i="4" s="1"/>
  <c r="AE96" i="4"/>
  <c r="X119" i="4"/>
  <c r="AA119" i="4" s="1"/>
  <c r="AC119" i="4" s="1"/>
  <c r="AD119" i="4" s="1"/>
  <c r="AO30" i="4"/>
  <c r="AO102" i="4"/>
  <c r="AO136" i="4"/>
  <c r="AE127" i="4"/>
  <c r="X151" i="4"/>
  <c r="AJ151" i="4" s="1"/>
  <c r="Y35" i="4"/>
  <c r="Z35" i="4" s="1"/>
  <c r="AF35" i="4" s="1"/>
  <c r="AE35" i="4"/>
  <c r="Y127" i="4"/>
  <c r="Z127" i="4" s="1"/>
  <c r="AK127" i="4" s="1"/>
  <c r="AS264" i="5"/>
  <c r="AT264" i="5" s="1"/>
  <c r="AO74" i="4"/>
  <c r="AE151" i="4"/>
  <c r="AA49" i="4"/>
  <c r="AC49" i="4" s="1"/>
  <c r="AD49" i="4" s="1"/>
  <c r="AE153" i="4"/>
  <c r="AS459" i="5"/>
  <c r="AT459" i="5" s="1"/>
  <c r="Y7" i="4"/>
  <c r="Z7" i="4" s="1"/>
  <c r="AE459" i="5"/>
  <c r="X7" i="4"/>
  <c r="AJ7" i="4" s="1"/>
  <c r="Y76" i="4"/>
  <c r="Z76" i="4" s="1"/>
  <c r="AF76" i="4" s="1"/>
  <c r="AE76" i="4"/>
  <c r="AO151" i="4"/>
  <c r="AK70" i="4"/>
  <c r="AG87" i="4"/>
  <c r="AI87" i="4" s="1"/>
  <c r="X153" i="4"/>
  <c r="AJ153" i="4" s="1"/>
  <c r="AA87" i="4"/>
  <c r="AC87" i="4" s="1"/>
  <c r="AD87" i="4" s="1"/>
  <c r="AQ12" i="5"/>
  <c r="X154" i="4"/>
  <c r="AJ154" i="4" s="1"/>
  <c r="X29" i="4"/>
  <c r="AA29" i="4" s="1"/>
  <c r="AC29" i="4" s="1"/>
  <c r="AD29" i="4" s="1"/>
  <c r="AO27" i="4"/>
  <c r="AE154" i="4"/>
  <c r="AE29" i="4"/>
  <c r="AD265" i="5"/>
  <c r="AR10" i="5"/>
  <c r="AE206" i="5"/>
  <c r="AE512" i="5"/>
  <c r="AD206" i="5"/>
  <c r="AD523" i="5"/>
  <c r="AE522" i="5"/>
  <c r="AD512" i="5"/>
  <c r="AS522" i="5"/>
  <c r="AU522" i="5" s="1"/>
  <c r="AE221" i="5"/>
  <c r="AD221" i="5"/>
  <c r="AS525" i="5"/>
  <c r="AU525" i="5" s="1"/>
  <c r="AS371" i="5"/>
  <c r="AT371" i="5" s="1"/>
  <c r="X18" i="4"/>
  <c r="AJ18" i="4" s="1"/>
  <c r="AD371" i="5"/>
  <c r="AE18" i="4"/>
  <c r="AG18" i="4"/>
  <c r="AI18" i="4" s="1"/>
  <c r="AO18" i="4"/>
  <c r="AS523" i="5"/>
  <c r="AT523" i="5" s="1"/>
  <c r="AD80" i="5"/>
  <c r="AD525" i="5"/>
  <c r="AE80" i="5"/>
  <c r="AD105" i="5"/>
  <c r="AE546" i="5"/>
  <c r="AS546" i="5"/>
  <c r="AU546" i="5" s="1"/>
  <c r="AD537" i="5"/>
  <c r="AS379" i="5"/>
  <c r="AT379" i="5" s="1"/>
  <c r="AS537" i="5"/>
  <c r="AU537" i="5" s="1"/>
  <c r="AD379" i="5"/>
  <c r="AE117" i="5"/>
  <c r="AE234" i="5"/>
  <c r="AS234" i="5"/>
  <c r="AU234" i="5" s="1"/>
  <c r="AD392" i="5"/>
  <c r="AS446" i="5"/>
  <c r="AU446" i="5" s="1"/>
  <c r="AD26" i="5"/>
  <c r="AD121" i="5"/>
  <c r="AD254" i="5"/>
  <c r="AD160" i="5"/>
  <c r="AE121" i="5"/>
  <c r="AE446" i="5"/>
  <c r="AE392" i="5"/>
  <c r="AE160" i="5"/>
  <c r="AS376" i="5"/>
  <c r="AU376" i="5" s="1"/>
  <c r="AD429" i="5"/>
  <c r="AE432" i="5"/>
  <c r="AE429" i="5"/>
  <c r="AD432" i="5"/>
  <c r="AE426" i="5"/>
  <c r="AS23" i="5"/>
  <c r="AT23" i="5" s="1"/>
  <c r="AS426" i="5"/>
  <c r="AT426" i="5" s="1"/>
  <c r="Y37" i="4"/>
  <c r="Z37" i="4" s="1"/>
  <c r="AA37" i="4" s="1"/>
  <c r="AC37" i="4" s="1"/>
  <c r="AD37" i="4" s="1"/>
  <c r="AE23" i="5"/>
  <c r="AE534" i="5"/>
  <c r="AS534" i="5"/>
  <c r="AT534" i="5" s="1"/>
  <c r="AS530" i="5"/>
  <c r="AU530" i="5" s="1"/>
  <c r="AE530" i="5"/>
  <c r="X145" i="4"/>
  <c r="AJ145" i="4" s="1"/>
  <c r="AE145" i="4"/>
  <c r="AE376" i="5"/>
  <c r="AS105" i="5"/>
  <c r="AU105" i="5" s="1"/>
  <c r="AD264" i="5"/>
  <c r="AD508" i="5"/>
  <c r="AD417" i="5"/>
  <c r="AD422" i="5"/>
  <c r="AS483" i="5"/>
  <c r="AU483" i="5" s="1"/>
  <c r="AS508" i="5"/>
  <c r="AU508" i="5" s="1"/>
  <c r="AE289" i="5"/>
  <c r="AD232" i="5"/>
  <c r="AE483" i="5"/>
  <c r="AE279" i="5"/>
  <c r="AE254" i="5"/>
  <c r="AE232" i="5"/>
  <c r="AD500" i="5"/>
  <c r="AD279" i="5"/>
  <c r="X66" i="4"/>
  <c r="AJ66" i="4" s="1"/>
  <c r="AE422" i="5"/>
  <c r="AS532" i="5"/>
  <c r="AT532" i="5" s="1"/>
  <c r="AS200" i="5"/>
  <c r="AT200" i="5" s="1"/>
  <c r="AE500" i="5"/>
  <c r="AS26" i="5"/>
  <c r="AT26" i="5" s="1"/>
  <c r="AE532" i="5"/>
  <c r="AD479" i="5"/>
  <c r="AS289" i="5"/>
  <c r="AT289" i="5" s="1"/>
  <c r="AE14" i="4"/>
  <c r="AS469" i="5"/>
  <c r="AU469" i="5" s="1"/>
  <c r="AD469" i="5"/>
  <c r="AE417" i="5"/>
  <c r="AS243" i="5"/>
  <c r="AU243" i="5" s="1"/>
  <c r="AS345" i="5"/>
  <c r="AT345" i="5" s="1"/>
  <c r="AD117" i="5"/>
  <c r="AS97" i="5"/>
  <c r="AT97" i="5" s="1"/>
  <c r="AS463" i="5"/>
  <c r="AU463" i="5" s="1"/>
  <c r="AE97" i="5"/>
  <c r="K36" i="2"/>
  <c r="L36" i="2"/>
  <c r="X46" i="4"/>
  <c r="AK46" i="4" s="1"/>
  <c r="AE15" i="4"/>
  <c r="AO46" i="4"/>
  <c r="AE37" i="4"/>
  <c r="AS265" i="5"/>
  <c r="AT265" i="5" s="1"/>
  <c r="AE520" i="5"/>
  <c r="AD520" i="5"/>
  <c r="AS184" i="5"/>
  <c r="AT184" i="5" s="1"/>
  <c r="AE184" i="5"/>
  <c r="AD463" i="5"/>
  <c r="AE205" i="5"/>
  <c r="AD470" i="5"/>
  <c r="AS470" i="5"/>
  <c r="AU470" i="5" s="1"/>
  <c r="AD556" i="5"/>
  <c r="AS327" i="5"/>
  <c r="AT327" i="5" s="1"/>
  <c r="AS509" i="5"/>
  <c r="AT509" i="5" s="1"/>
  <c r="AD511" i="5"/>
  <c r="AE140" i="5"/>
  <c r="AD452" i="5"/>
  <c r="AS226" i="5"/>
  <c r="AT226" i="5" s="1"/>
  <c r="AE354" i="5"/>
  <c r="AS22" i="5"/>
  <c r="AT22" i="5" s="1"/>
  <c r="AE213" i="5"/>
  <c r="AS511" i="5"/>
  <c r="AT511" i="5" s="1"/>
  <c r="AS297" i="5"/>
  <c r="AT297" i="5" s="1"/>
  <c r="AS466" i="5"/>
  <c r="AU466" i="5" s="1"/>
  <c r="AE297" i="5"/>
  <c r="AS213" i="5"/>
  <c r="AU213" i="5" s="1"/>
  <c r="AS540" i="5"/>
  <c r="AU540" i="5" s="1"/>
  <c r="AE359" i="5"/>
  <c r="Y20" i="4"/>
  <c r="Z20" i="4" s="1"/>
  <c r="AF20" i="4" s="1"/>
  <c r="AE20" i="4"/>
  <c r="AD444" i="5"/>
  <c r="AD183" i="5"/>
  <c r="AS49" i="5"/>
  <c r="AT49" i="5" s="1"/>
  <c r="AE46" i="4"/>
  <c r="AA43" i="4"/>
  <c r="AC43" i="4" s="1"/>
  <c r="AD43" i="4" s="1"/>
  <c r="AD540" i="5"/>
  <c r="AS359" i="5"/>
  <c r="AT359" i="5" s="1"/>
  <c r="AE365" i="5"/>
  <c r="AS514" i="5"/>
  <c r="AT514" i="5" s="1"/>
  <c r="AE479" i="5"/>
  <c r="X14" i="4"/>
  <c r="AJ14" i="4" s="1"/>
  <c r="AE24" i="5"/>
  <c r="AS166" i="5"/>
  <c r="AT166" i="5" s="1"/>
  <c r="AD136" i="5"/>
  <c r="X61" i="4"/>
  <c r="AJ61" i="4" s="1"/>
  <c r="AE66" i="4"/>
  <c r="AF66" i="4"/>
  <c r="AO66" i="4" s="1"/>
  <c r="AD302" i="5"/>
  <c r="AA149" i="4"/>
  <c r="AC149" i="4" s="1"/>
  <c r="AD149" i="4" s="1"/>
  <c r="AO61" i="4"/>
  <c r="AA115" i="4"/>
  <c r="AC115" i="4" s="1"/>
  <c r="AD115" i="4" s="1"/>
  <c r="AE61" i="4"/>
  <c r="AE40" i="5"/>
  <c r="AE237" i="5"/>
  <c r="AE42" i="5"/>
  <c r="AD386" i="5"/>
  <c r="AE261" i="5"/>
  <c r="AS188" i="5"/>
  <c r="AT188" i="5" s="1"/>
  <c r="AE386" i="5"/>
  <c r="AS42" i="5"/>
  <c r="AU42" i="5" s="1"/>
  <c r="AF142" i="4"/>
  <c r="AG142" i="4" s="1"/>
  <c r="AI142" i="4" s="1"/>
  <c r="AS248" i="5"/>
  <c r="AU248" i="5" s="1"/>
  <c r="AD261" i="5"/>
  <c r="AE142" i="4"/>
  <c r="AS361" i="5"/>
  <c r="AU361" i="5" s="1"/>
  <c r="AD361" i="5"/>
  <c r="AD543" i="5"/>
  <c r="AD280" i="5"/>
  <c r="AS313" i="5"/>
  <c r="AU313" i="5" s="1"/>
  <c r="X142" i="4"/>
  <c r="AJ142" i="4" s="1"/>
  <c r="AE280" i="5"/>
  <c r="AD301" i="5"/>
  <c r="AE303" i="5"/>
  <c r="AE482" i="5"/>
  <c r="AE382" i="5"/>
  <c r="AS351" i="5"/>
  <c r="AT351" i="5" s="1"/>
  <c r="AS518" i="5"/>
  <c r="AU518" i="5" s="1"/>
  <c r="AS31" i="5"/>
  <c r="AT31" i="5" s="1"/>
  <c r="AE491" i="5"/>
  <c r="AT278" i="5"/>
  <c r="AD365" i="5"/>
  <c r="AE501" i="5"/>
  <c r="AS353" i="5"/>
  <c r="AT353" i="5" s="1"/>
  <c r="AS421" i="5"/>
  <c r="AT421" i="5" s="1"/>
  <c r="AD332" i="5"/>
  <c r="AE332" i="5"/>
  <c r="AD518" i="5"/>
  <c r="AD203" i="5"/>
  <c r="AE166" i="5"/>
  <c r="AS302" i="5"/>
  <c r="AU302" i="5" s="1"/>
  <c r="AE70" i="5"/>
  <c r="AS145" i="5"/>
  <c r="AU145" i="5" s="1"/>
  <c r="AD514" i="5"/>
  <c r="AS300" i="5"/>
  <c r="AT300" i="5" s="1"/>
  <c r="AS444" i="5"/>
  <c r="AU444" i="5" s="1"/>
  <c r="AD345" i="5"/>
  <c r="AE136" i="5"/>
  <c r="AE243" i="5"/>
  <c r="AS113" i="5"/>
  <c r="AU113" i="5" s="1"/>
  <c r="AE300" i="5"/>
  <c r="AS382" i="5"/>
  <c r="AT382" i="5" s="1"/>
  <c r="AD482" i="5"/>
  <c r="AS58" i="5"/>
  <c r="AU58" i="5" s="1"/>
  <c r="AE58" i="5"/>
  <c r="AD48" i="5"/>
  <c r="AD363" i="5"/>
  <c r="AS201" i="5"/>
  <c r="AU201" i="5" s="1"/>
  <c r="AS349" i="5"/>
  <c r="AT349" i="5" s="1"/>
  <c r="AE336" i="5"/>
  <c r="AS137" i="5"/>
  <c r="AT137" i="5" s="1"/>
  <c r="AE59" i="5"/>
  <c r="AE349" i="5"/>
  <c r="AE378" i="5"/>
  <c r="AS222" i="5"/>
  <c r="AU222" i="5" s="1"/>
  <c r="AS336" i="5"/>
  <c r="AT336" i="5" s="1"/>
  <c r="AS21" i="5"/>
  <c r="AT21" i="5" s="1"/>
  <c r="AD21" i="5"/>
  <c r="AS148" i="5"/>
  <c r="AT148" i="5" s="1"/>
  <c r="AE248" i="5"/>
  <c r="AE188" i="5"/>
  <c r="AE137" i="5"/>
  <c r="AD59" i="5"/>
  <c r="AD374" i="5"/>
  <c r="AD32" i="5"/>
  <c r="AS478" i="5"/>
  <c r="AU478" i="5" s="1"/>
  <c r="AE223" i="5"/>
  <c r="AS374" i="5"/>
  <c r="AU374" i="5" s="1"/>
  <c r="AE455" i="5"/>
  <c r="AS32" i="5"/>
  <c r="AT32" i="5" s="1"/>
  <c r="AD478" i="5"/>
  <c r="AD223" i="5"/>
  <c r="AE199" i="5"/>
  <c r="AD303" i="5"/>
  <c r="AE313" i="5"/>
  <c r="AD481" i="5"/>
  <c r="AD237" i="5"/>
  <c r="AS363" i="5"/>
  <c r="AT363" i="5" s="1"/>
  <c r="AS378" i="5"/>
  <c r="AU378" i="5" s="1"/>
  <c r="AE222" i="5"/>
  <c r="AE69" i="5"/>
  <c r="AE543" i="5"/>
  <c r="AS301" i="5"/>
  <c r="AU301" i="5" s="1"/>
  <c r="AS455" i="5"/>
  <c r="AU455" i="5" s="1"/>
  <c r="AD453" i="5"/>
  <c r="AS48" i="5"/>
  <c r="AU48" i="5" s="1"/>
  <c r="AD138" i="5"/>
  <c r="AS138" i="5"/>
  <c r="AT138" i="5" s="1"/>
  <c r="AD360" i="5"/>
  <c r="AS477" i="5"/>
  <c r="AT477" i="5" s="1"/>
  <c r="AE333" i="5"/>
  <c r="AE477" i="5"/>
  <c r="AS94" i="5"/>
  <c r="AU94" i="5" s="1"/>
  <c r="AD194" i="5"/>
  <c r="AS306" i="5"/>
  <c r="AU306" i="5" s="1"/>
  <c r="AS494" i="5"/>
  <c r="AU494" i="5" s="1"/>
  <c r="AD94" i="5"/>
  <c r="AD333" i="5"/>
  <c r="AS360" i="5"/>
  <c r="AU360" i="5" s="1"/>
  <c r="AS259" i="5"/>
  <c r="AU259" i="5" s="1"/>
  <c r="AD460" i="5"/>
  <c r="AT147" i="5"/>
  <c r="AS194" i="5"/>
  <c r="AU194" i="5" s="1"/>
  <c r="AD306" i="5"/>
  <c r="AE494" i="5"/>
  <c r="AT54" i="5"/>
  <c r="AS158" i="5"/>
  <c r="AU158" i="5" s="1"/>
  <c r="AD54" i="5"/>
  <c r="AE173" i="5"/>
  <c r="AD269" i="5"/>
  <c r="AS119" i="5"/>
  <c r="AU119" i="5" s="1"/>
  <c r="AE186" i="5"/>
  <c r="AE460" i="5"/>
  <c r="AD475" i="5"/>
  <c r="AE399" i="5"/>
  <c r="AD398" i="5"/>
  <c r="AS475" i="5"/>
  <c r="AU475" i="5" s="1"/>
  <c r="AD536" i="5"/>
  <c r="AE165" i="5"/>
  <c r="AE125" i="5"/>
  <c r="AS186" i="5"/>
  <c r="AU186" i="5" s="1"/>
  <c r="AD399" i="5"/>
  <c r="AD456" i="5"/>
  <c r="AE54" i="5"/>
  <c r="AS425" i="5"/>
  <c r="AT425" i="5" s="1"/>
  <c r="AS55" i="5"/>
  <c r="AT55" i="5" s="1"/>
  <c r="AE135" i="4"/>
  <c r="AE533" i="5"/>
  <c r="AD31" i="5"/>
  <c r="AS440" i="5"/>
  <c r="AT440" i="5" s="1"/>
  <c r="AD366" i="5"/>
  <c r="AS462" i="5"/>
  <c r="AU462" i="5" s="1"/>
  <c r="AE65" i="5"/>
  <c r="AD436" i="5"/>
  <c r="AD400" i="5"/>
  <c r="AD296" i="5"/>
  <c r="AS283" i="5"/>
  <c r="AT283" i="5" s="1"/>
  <c r="AE269" i="5"/>
  <c r="AE241" i="5"/>
  <c r="AS517" i="5"/>
  <c r="AT517" i="5" s="1"/>
  <c r="AE208" i="5"/>
  <c r="AS140" i="5"/>
  <c r="AU140" i="5" s="1"/>
  <c r="AS556" i="5"/>
  <c r="AU556" i="5" s="1"/>
  <c r="AE22" i="5"/>
  <c r="AD151" i="5"/>
  <c r="AD226" i="5"/>
  <c r="AD466" i="5"/>
  <c r="AS62" i="5"/>
  <c r="AT62" i="5" s="1"/>
  <c r="AS354" i="5"/>
  <c r="AU354" i="5" s="1"/>
  <c r="AS309" i="5"/>
  <c r="AT309" i="5" s="1"/>
  <c r="AD401" i="5"/>
  <c r="AS325" i="5"/>
  <c r="AU325" i="5" s="1"/>
  <c r="X15" i="4"/>
  <c r="AJ15" i="4" s="1"/>
  <c r="AE210" i="5"/>
  <c r="AE151" i="5"/>
  <c r="AD472" i="5"/>
  <c r="AD112" i="5"/>
  <c r="AE551" i="5"/>
  <c r="AE309" i="5"/>
  <c r="AD486" i="5"/>
  <c r="AE112" i="5"/>
  <c r="AS551" i="5"/>
  <c r="AU551" i="5" s="1"/>
  <c r="AD245" i="5"/>
  <c r="AD277" i="5"/>
  <c r="AS116" i="5"/>
  <c r="AT116" i="5" s="1"/>
  <c r="AD325" i="5"/>
  <c r="AS504" i="5"/>
  <c r="AT504" i="5" s="1"/>
  <c r="AS210" i="5"/>
  <c r="AU210" i="5" s="1"/>
  <c r="AE304" i="5"/>
  <c r="AD327" i="5"/>
  <c r="AS452" i="5"/>
  <c r="AU452" i="5" s="1"/>
  <c r="AD504" i="5"/>
  <c r="AD304" i="5"/>
  <c r="AS245" i="5"/>
  <c r="AT245" i="5" s="1"/>
  <c r="AS46" i="5"/>
  <c r="AT46" i="5" s="1"/>
  <c r="AS277" i="5"/>
  <c r="AU277" i="5" s="1"/>
  <c r="AD158" i="5"/>
  <c r="AD46" i="5"/>
  <c r="AD116" i="5"/>
  <c r="AS438" i="5"/>
  <c r="AT438" i="5" s="1"/>
  <c r="AS244" i="5"/>
  <c r="AU244" i="5" s="1"/>
  <c r="AD189" i="5"/>
  <c r="AD40" i="5"/>
  <c r="AE502" i="5"/>
  <c r="AD38" i="5"/>
  <c r="AD180" i="5"/>
  <c r="AE101" i="5"/>
  <c r="AE480" i="5"/>
  <c r="AS548" i="5"/>
  <c r="AT548" i="5" s="1"/>
  <c r="AS36" i="5"/>
  <c r="AU36" i="5" s="1"/>
  <c r="AS502" i="5"/>
  <c r="AT502" i="5" s="1"/>
  <c r="AS310" i="5"/>
  <c r="AU310" i="5" s="1"/>
  <c r="AD142" i="5"/>
  <c r="AE76" i="5"/>
  <c r="AS308" i="5"/>
  <c r="AU308" i="5" s="1"/>
  <c r="AD338" i="5"/>
  <c r="AE142" i="5"/>
  <c r="AD274" i="5"/>
  <c r="AD238" i="5"/>
  <c r="AE19" i="5"/>
  <c r="AD150" i="5"/>
  <c r="AE544" i="5"/>
  <c r="AD450" i="5"/>
  <c r="AS115" i="5"/>
  <c r="AT115" i="5" s="1"/>
  <c r="AD295" i="5"/>
  <c r="AE115" i="5"/>
  <c r="AD491" i="5"/>
  <c r="AS150" i="5"/>
  <c r="AU150" i="5" s="1"/>
  <c r="AE552" i="5"/>
  <c r="AE517" i="5"/>
  <c r="AE341" i="5"/>
  <c r="AE25" i="5"/>
  <c r="AS552" i="5"/>
  <c r="AT552" i="5" s="1"/>
  <c r="AD241" i="5"/>
  <c r="AD298" i="5"/>
  <c r="AS25" i="5"/>
  <c r="AT25" i="5" s="1"/>
  <c r="AE298" i="5"/>
  <c r="AD451" i="5"/>
  <c r="AT202" i="5"/>
  <c r="AE202" i="5"/>
  <c r="AD202" i="5"/>
  <c r="AD208" i="5"/>
  <c r="AS451" i="5"/>
  <c r="AU451" i="5" s="1"/>
  <c r="AS267" i="5"/>
  <c r="AU267" i="5" s="1"/>
  <c r="AS174" i="5"/>
  <c r="AU174" i="5" s="1"/>
  <c r="AS104" i="5"/>
  <c r="AU104" i="5" s="1"/>
  <c r="AE145" i="5"/>
  <c r="AD104" i="5"/>
  <c r="AS178" i="5"/>
  <c r="AU178" i="5" s="1"/>
  <c r="AE113" i="5"/>
  <c r="AE200" i="5"/>
  <c r="AS533" i="5"/>
  <c r="AT533" i="5" s="1"/>
  <c r="AE216" i="5"/>
  <c r="AS120" i="5"/>
  <c r="AU120" i="5" s="1"/>
  <c r="AS501" i="5"/>
  <c r="AU501" i="5" s="1"/>
  <c r="AE456" i="5"/>
  <c r="AD421" i="5"/>
  <c r="AE120" i="5"/>
  <c r="AU78" i="5"/>
  <c r="AE351" i="5"/>
  <c r="AD275" i="5"/>
  <c r="AD440" i="5"/>
  <c r="AS400" i="5"/>
  <c r="AT400" i="5" s="1"/>
  <c r="AE203" i="5"/>
  <c r="AS366" i="5"/>
  <c r="AU366" i="5" s="1"/>
  <c r="AD216" i="5"/>
  <c r="AE434" i="5"/>
  <c r="AS390" i="5"/>
  <c r="AU390" i="5" s="1"/>
  <c r="AD383" i="5"/>
  <c r="AE275" i="5"/>
  <c r="AE181" i="5"/>
  <c r="AD260" i="5"/>
  <c r="AD434" i="5"/>
  <c r="AE384" i="5"/>
  <c r="AE425" i="5"/>
  <c r="AE390" i="5"/>
  <c r="AD165" i="5"/>
  <c r="AD335" i="5"/>
  <c r="AD506" i="5"/>
  <c r="AD181" i="5"/>
  <c r="AE260" i="5"/>
  <c r="AS383" i="5"/>
  <c r="AU383" i="5" s="1"/>
  <c r="AS492" i="5"/>
  <c r="AU492" i="5" s="1"/>
  <c r="AS384" i="5"/>
  <c r="AT384" i="5" s="1"/>
  <c r="AS335" i="5"/>
  <c r="AU335" i="5" s="1"/>
  <c r="AE506" i="5"/>
  <c r="AD492" i="5"/>
  <c r="AD353" i="5"/>
  <c r="AE495" i="5"/>
  <c r="AS193" i="5"/>
  <c r="AT193" i="5" s="1"/>
  <c r="AD114" i="5"/>
  <c r="AD495" i="5"/>
  <c r="AT81" i="5"/>
  <c r="AD283" i="5"/>
  <c r="AS114" i="5"/>
  <c r="AT114" i="5" s="1"/>
  <c r="AS420" i="5"/>
  <c r="AT420" i="5" s="1"/>
  <c r="AD441" i="5"/>
  <c r="AE462" i="5"/>
  <c r="AS441" i="5"/>
  <c r="AU441" i="5" s="1"/>
  <c r="AE420" i="5"/>
  <c r="AE278" i="5"/>
  <c r="AS60" i="5"/>
  <c r="AU60" i="5" s="1"/>
  <c r="X135" i="4"/>
  <c r="AJ135" i="4" s="1"/>
  <c r="AD278" i="5"/>
  <c r="AD81" i="5"/>
  <c r="AE122" i="5"/>
  <c r="AE49" i="5"/>
  <c r="AD70" i="5"/>
  <c r="AS122" i="5"/>
  <c r="AT122" i="5" s="1"/>
  <c r="AE81" i="5"/>
  <c r="AE78" i="5"/>
  <c r="AE60" i="5"/>
  <c r="AE36" i="5"/>
  <c r="AD356" i="5"/>
  <c r="AD310" i="5"/>
  <c r="AF125" i="4"/>
  <c r="AG125" i="4" s="1"/>
  <c r="AI125" i="4" s="1"/>
  <c r="AD127" i="5"/>
  <c r="AE356" i="5"/>
  <c r="AE125" i="4"/>
  <c r="AE127" i="5"/>
  <c r="AE143" i="5"/>
  <c r="AD343" i="5"/>
  <c r="AS314" i="5"/>
  <c r="AT314" i="5" s="1"/>
  <c r="AE343" i="5"/>
  <c r="AS50" i="5"/>
  <c r="AT50" i="5" s="1"/>
  <c r="AE342" i="5"/>
  <c r="X125" i="4"/>
  <c r="AJ125" i="4" s="1"/>
  <c r="AS143" i="5"/>
  <c r="AT143" i="5" s="1"/>
  <c r="AE12" i="5"/>
  <c r="AS541" i="5"/>
  <c r="AT541" i="5" s="1"/>
  <c r="AD50" i="5"/>
  <c r="AD428" i="5"/>
  <c r="AS12" i="5"/>
  <c r="AU12" i="5" s="1"/>
  <c r="AS496" i="5"/>
  <c r="AU496" i="5" s="1"/>
  <c r="AE496" i="5"/>
  <c r="AE314" i="5"/>
  <c r="AE38" i="5"/>
  <c r="AD342" i="5"/>
  <c r="AE308" i="5"/>
  <c r="AS77" i="5"/>
  <c r="AT77" i="5" s="1"/>
  <c r="AX77" i="5" s="1"/>
  <c r="AY77" i="5" s="1"/>
  <c r="AS476" i="5"/>
  <c r="AT476" i="5" s="1"/>
  <c r="AS405" i="5"/>
  <c r="AU405" i="5" s="1"/>
  <c r="AE106" i="5"/>
  <c r="AD244" i="5"/>
  <c r="AS295" i="5"/>
  <c r="AU295" i="5" s="1"/>
  <c r="AS76" i="5"/>
  <c r="AU76" i="5" s="1"/>
  <c r="AD438" i="5"/>
  <c r="AE405" i="5"/>
  <c r="AS106" i="5"/>
  <c r="AT106" i="5" s="1"/>
  <c r="AS134" i="5"/>
  <c r="AU134" i="5" s="1"/>
  <c r="AE180" i="5"/>
  <c r="AE476" i="5"/>
  <c r="AS90" i="5"/>
  <c r="AU90" i="5" s="1"/>
  <c r="AD282" i="5"/>
  <c r="AD528" i="5"/>
  <c r="X57" i="4"/>
  <c r="AJ57" i="4" s="1"/>
  <c r="AD77" i="5"/>
  <c r="AE57" i="4"/>
  <c r="AD239" i="5"/>
  <c r="AS24" i="5"/>
  <c r="AT24" i="5" s="1"/>
  <c r="AE338" i="5"/>
  <c r="AE274" i="5"/>
  <c r="AD294" i="5"/>
  <c r="AS239" i="5"/>
  <c r="AU239" i="5" s="1"/>
  <c r="AS293" i="5"/>
  <c r="AT293" i="5" s="1"/>
  <c r="AD262" i="5"/>
  <c r="AS44" i="5"/>
  <c r="AT44" i="5" s="1"/>
  <c r="AE294" i="5"/>
  <c r="AD217" i="5"/>
  <c r="AE247" i="5"/>
  <c r="AS238" i="5"/>
  <c r="AU238" i="5" s="1"/>
  <c r="AD293" i="5"/>
  <c r="AE189" i="5"/>
  <c r="AE262" i="5"/>
  <c r="AS344" i="5"/>
  <c r="AU344" i="5" s="1"/>
  <c r="AD101" i="5"/>
  <c r="AE44" i="5"/>
  <c r="AS394" i="5"/>
  <c r="AT394" i="5" s="1"/>
  <c r="AS19" i="5"/>
  <c r="AT19" i="5" s="1"/>
  <c r="AS453" i="5"/>
  <c r="AT453" i="5" s="1"/>
  <c r="AD548" i="5"/>
  <c r="AE148" i="5"/>
  <c r="AD197" i="5"/>
  <c r="AS220" i="5"/>
  <c r="AU220" i="5" s="1"/>
  <c r="AD544" i="5"/>
  <c r="AE450" i="5"/>
  <c r="AS217" i="5"/>
  <c r="AU217" i="5" s="1"/>
  <c r="AS197" i="5"/>
  <c r="AU197" i="5" s="1"/>
  <c r="AE220" i="5"/>
  <c r="AE266" i="5"/>
  <c r="AD257" i="5"/>
  <c r="AE436" i="5"/>
  <c r="AD174" i="5"/>
  <c r="AS410" i="5"/>
  <c r="AU410" i="5" s="1"/>
  <c r="AE34" i="5"/>
  <c r="AS132" i="5"/>
  <c r="AU132" i="5" s="1"/>
  <c r="AS27" i="5"/>
  <c r="AU27" i="5" s="1"/>
  <c r="AE133" i="5"/>
  <c r="AS126" i="5"/>
  <c r="AT126" i="5" s="1"/>
  <c r="AS416" i="5"/>
  <c r="AT416" i="5" s="1"/>
  <c r="AS385" i="5"/>
  <c r="AT385" i="5" s="1"/>
  <c r="AS111" i="5"/>
  <c r="AU111" i="5" s="1"/>
  <c r="AD133" i="5"/>
  <c r="AD267" i="5"/>
  <c r="AS68" i="5"/>
  <c r="AT68" i="5" s="1"/>
  <c r="AE416" i="5"/>
  <c r="AD27" i="5"/>
  <c r="AS447" i="5"/>
  <c r="AT447" i="5" s="1"/>
  <c r="AD385" i="5"/>
  <c r="AD350" i="5"/>
  <c r="AS350" i="5"/>
  <c r="AT350" i="5" s="1"/>
  <c r="AE375" i="5"/>
  <c r="AS179" i="5"/>
  <c r="AU179" i="5" s="1"/>
  <c r="AE35" i="5"/>
  <c r="AD73" i="5"/>
  <c r="AD29" i="5"/>
  <c r="AS155" i="5"/>
  <c r="AU155" i="5" s="1"/>
  <c r="AE505" i="5"/>
  <c r="AS369" i="5"/>
  <c r="AT369" i="5" s="1"/>
  <c r="AE43" i="5"/>
  <c r="AD155" i="5"/>
  <c r="AE68" i="5"/>
  <c r="AS73" i="5"/>
  <c r="AT73" i="5" s="1"/>
  <c r="AE111" i="5"/>
  <c r="AD369" i="5"/>
  <c r="AD341" i="5"/>
  <c r="AS505" i="5"/>
  <c r="AT505" i="5" s="1"/>
  <c r="AD126" i="5"/>
  <c r="AS388" i="5"/>
  <c r="AU388" i="5" s="1"/>
  <c r="AD465" i="5"/>
  <c r="AD132" i="5"/>
  <c r="AU257" i="5"/>
  <c r="AD125" i="5"/>
  <c r="AD529" i="5"/>
  <c r="AE296" i="5"/>
  <c r="AD253" i="5"/>
  <c r="AD228" i="5"/>
  <c r="AD55" i="5"/>
  <c r="AS529" i="5"/>
  <c r="AU529" i="5" s="1"/>
  <c r="AD499" i="5"/>
  <c r="AD168" i="5"/>
  <c r="AS228" i="5"/>
  <c r="AU228" i="5" s="1"/>
  <c r="AD236" i="5"/>
  <c r="AE499" i="5"/>
  <c r="AE403" i="5"/>
  <c r="AD33" i="5"/>
  <c r="AE147" i="5"/>
  <c r="AE157" i="5"/>
  <c r="AS168" i="5"/>
  <c r="AU168" i="5" s="1"/>
  <c r="AS99" i="5"/>
  <c r="AU99" i="5" s="1"/>
  <c r="AE253" i="5"/>
  <c r="AD66" i="5"/>
  <c r="AS473" i="5"/>
  <c r="AU473" i="5" s="1"/>
  <c r="AS236" i="5"/>
  <c r="AU236" i="5" s="1"/>
  <c r="AE214" i="5"/>
  <c r="AS141" i="5"/>
  <c r="AU141" i="5" s="1"/>
  <c r="AS404" i="5"/>
  <c r="AU404" i="5" s="1"/>
  <c r="AD268" i="5"/>
  <c r="AS403" i="5"/>
  <c r="AU403" i="5" s="1"/>
  <c r="AE33" i="5"/>
  <c r="AS218" i="5"/>
  <c r="AT218" i="5" s="1"/>
  <c r="AS398" i="5"/>
  <c r="AT398" i="5" s="1"/>
  <c r="AD173" i="5"/>
  <c r="AS66" i="5"/>
  <c r="AU66" i="5" s="1"/>
  <c r="AE473" i="5"/>
  <c r="AD119" i="5"/>
  <c r="AS214" i="5"/>
  <c r="AU214" i="5" s="1"/>
  <c r="AE141" i="5"/>
  <c r="AE404" i="5"/>
  <c r="AE268" i="5"/>
  <c r="AD259" i="5"/>
  <c r="AD266" i="5"/>
  <c r="AE257" i="5"/>
  <c r="AS229" i="5"/>
  <c r="AU229" i="5" s="1"/>
  <c r="AE229" i="5"/>
  <c r="AE536" i="5"/>
  <c r="AS108" i="5"/>
  <c r="AT108" i="5" s="1"/>
  <c r="AD218" i="5"/>
  <c r="AS65" i="5"/>
  <c r="AU65" i="5" s="1"/>
  <c r="AD147" i="5"/>
  <c r="AE99" i="5"/>
  <c r="AS157" i="5"/>
  <c r="AU157" i="5" s="1"/>
  <c r="AE541" i="5"/>
  <c r="AD90" i="5"/>
  <c r="AE282" i="5"/>
  <c r="AS468" i="5"/>
  <c r="AT468" i="5" s="1"/>
  <c r="AS528" i="5"/>
  <c r="AU528" i="5" s="1"/>
  <c r="AD134" i="5"/>
  <c r="AS428" i="5"/>
  <c r="AU428" i="5" s="1"/>
  <c r="AE468" i="5"/>
  <c r="AS198" i="5"/>
  <c r="AT198" i="5" s="1"/>
  <c r="AD513" i="5"/>
  <c r="AE329" i="5"/>
  <c r="AS285" i="5"/>
  <c r="AT285" i="5" s="1"/>
  <c r="AE521" i="5"/>
  <c r="AE380" i="5"/>
  <c r="AS513" i="5"/>
  <c r="AU513" i="5" s="1"/>
  <c r="AE331" i="5"/>
  <c r="AD395" i="5"/>
  <c r="AS318" i="5"/>
  <c r="AU318" i="5" s="1"/>
  <c r="AD329" i="5"/>
  <c r="AD83" i="5"/>
  <c r="AE285" i="5"/>
  <c r="AD521" i="5"/>
  <c r="AE198" i="5"/>
  <c r="AD255" i="5"/>
  <c r="AE471" i="5"/>
  <c r="AD471" i="5"/>
  <c r="AD380" i="5"/>
  <c r="AD331" i="5"/>
  <c r="AE395" i="5"/>
  <c r="AE318" i="5"/>
  <c r="AS270" i="5"/>
  <c r="AT270" i="5" s="1"/>
  <c r="AD427" i="5"/>
  <c r="AE83" i="5"/>
  <c r="AS402" i="5"/>
  <c r="AU402" i="5" s="1"/>
  <c r="AD270" i="5"/>
  <c r="AE427" i="5"/>
  <c r="AE402" i="5"/>
  <c r="AS255" i="5"/>
  <c r="AT255" i="5" s="1"/>
  <c r="Y39" i="4"/>
  <c r="Z39" i="4" s="1"/>
  <c r="AF39" i="4" s="1"/>
  <c r="AE62" i="5"/>
  <c r="AS205" i="5"/>
  <c r="AT205" i="5" s="1"/>
  <c r="AD251" i="5"/>
  <c r="AU175" i="5"/>
  <c r="AS82" i="5"/>
  <c r="AU82" i="5" s="1"/>
  <c r="AE39" i="4"/>
  <c r="AS401" i="5"/>
  <c r="AU401" i="5" s="1"/>
  <c r="AS437" i="5"/>
  <c r="AT437" i="5" s="1"/>
  <c r="AD82" i="5"/>
  <c r="AE437" i="5"/>
  <c r="AE251" i="5"/>
  <c r="AD424" i="5"/>
  <c r="AS387" i="5"/>
  <c r="AT387" i="5" s="1"/>
  <c r="AS103" i="5"/>
  <c r="AT103" i="5" s="1"/>
  <c r="AE175" i="5"/>
  <c r="AD381" i="5"/>
  <c r="AE424" i="5"/>
  <c r="AS316" i="5"/>
  <c r="AU316" i="5" s="1"/>
  <c r="AD7" i="5"/>
  <c r="B215" i="2" s="1"/>
  <c r="B216" i="2" s="1"/>
  <c r="B217" i="2" s="1"/>
  <c r="B227" i="2" s="1"/>
  <c r="B229" i="2" s="1"/>
  <c r="AE381" i="5"/>
  <c r="AD67" i="5"/>
  <c r="AO118" i="4"/>
  <c r="AE509" i="5"/>
  <c r="AD316" i="5"/>
  <c r="AS67" i="5"/>
  <c r="AU67" i="5" s="1"/>
  <c r="AS486" i="5"/>
  <c r="AU486" i="5" s="1"/>
  <c r="AE7" i="5"/>
  <c r="AS472" i="5"/>
  <c r="AT472" i="5" s="1"/>
  <c r="AE103" i="5"/>
  <c r="AD175" i="5"/>
  <c r="AD410" i="5"/>
  <c r="AE339" i="5"/>
  <c r="AS558" i="5"/>
  <c r="AU558" i="5" s="1"/>
  <c r="AE555" i="5"/>
  <c r="AE515" i="5"/>
  <c r="AD553" i="5"/>
  <c r="AD339" i="5"/>
  <c r="AE178" i="5"/>
  <c r="AE72" i="5"/>
  <c r="X12" i="4"/>
  <c r="AJ12" i="4" s="1"/>
  <c r="AD34" i="5"/>
  <c r="AE558" i="5"/>
  <c r="AS555" i="5"/>
  <c r="AU555" i="5" s="1"/>
  <c r="AE553" i="5"/>
  <c r="AS128" i="5"/>
  <c r="AT128" i="5" s="1"/>
  <c r="AE209" i="5"/>
  <c r="AD388" i="5"/>
  <c r="AE406" i="5"/>
  <c r="AD498" i="5"/>
  <c r="AD515" i="5"/>
  <c r="AD433" i="5"/>
  <c r="AE498" i="5"/>
  <c r="AS411" i="5"/>
  <c r="AU411" i="5" s="1"/>
  <c r="AS321" i="5"/>
  <c r="AU321" i="5" s="1"/>
  <c r="AE377" i="5"/>
  <c r="AE153" i="5"/>
  <c r="AE263" i="5"/>
  <c r="AE75" i="5"/>
  <c r="AE102" i="5"/>
  <c r="AD193" i="5"/>
  <c r="AE128" i="5"/>
  <c r="AS102" i="5"/>
  <c r="AT102" i="5" s="1"/>
  <c r="AD110" i="5"/>
  <c r="Y12" i="4"/>
  <c r="Z12" i="4" s="1"/>
  <c r="AD411" i="5"/>
  <c r="AS263" i="5"/>
  <c r="AU263" i="5" s="1"/>
  <c r="AS75" i="5"/>
  <c r="AU75" i="5" s="1"/>
  <c r="AS209" i="5"/>
  <c r="AT209" i="5" s="1"/>
  <c r="AE171" i="5"/>
  <c r="AE433" i="5"/>
  <c r="AS29" i="5"/>
  <c r="AT29" i="5" s="1"/>
  <c r="AS377" i="5"/>
  <c r="AU377" i="5" s="1"/>
  <c r="AS153" i="5"/>
  <c r="AT153" i="5" s="1"/>
  <c r="AE465" i="5"/>
  <c r="AD43" i="5"/>
  <c r="AD179" i="5"/>
  <c r="AS110" i="5"/>
  <c r="AU110" i="5" s="1"/>
  <c r="AE447" i="5"/>
  <c r="AD171" i="5"/>
  <c r="AS35" i="5"/>
  <c r="AT35" i="5" s="1"/>
  <c r="AS375" i="5"/>
  <c r="AT375" i="5" s="1"/>
  <c r="AE182" i="5"/>
  <c r="AD78" i="5"/>
  <c r="AS20" i="5"/>
  <c r="AT20" i="5" s="1"/>
  <c r="AD69" i="5"/>
  <c r="AE135" i="5"/>
  <c r="AD414" i="5"/>
  <c r="AE481" i="5"/>
  <c r="AD560" i="5"/>
  <c r="AS240" i="5"/>
  <c r="AT240" i="5" s="1"/>
  <c r="AE129" i="5"/>
  <c r="AD135" i="5"/>
  <c r="AE394" i="5"/>
  <c r="AD362" i="5"/>
  <c r="AS414" i="5"/>
  <c r="AT414" i="5" s="1"/>
  <c r="AD204" i="5"/>
  <c r="AS560" i="5"/>
  <c r="AT560" i="5" s="1"/>
  <c r="AS231" i="5"/>
  <c r="AU231" i="5" s="1"/>
  <c r="AS219" i="5"/>
  <c r="AT219" i="5" s="1"/>
  <c r="AS129" i="5"/>
  <c r="AT129" i="5" s="1"/>
  <c r="AE201" i="5"/>
  <c r="AD93" i="5"/>
  <c r="AE362" i="5"/>
  <c r="AS53" i="5"/>
  <c r="AT53" i="5" s="1"/>
  <c r="AS204" i="5"/>
  <c r="AT204" i="5" s="1"/>
  <c r="AE231" i="5"/>
  <c r="AE240" i="5"/>
  <c r="AE163" i="5"/>
  <c r="AD53" i="5"/>
  <c r="AD219" i="5"/>
  <c r="AS93" i="5"/>
  <c r="AT93" i="5" s="1"/>
  <c r="AS199" i="5"/>
  <c r="AT199" i="5" s="1"/>
  <c r="AE344" i="5"/>
  <c r="AS163" i="5"/>
  <c r="AT163" i="5" s="1"/>
  <c r="AS247" i="5"/>
  <c r="AT247" i="5" s="1"/>
  <c r="AE321" i="5"/>
  <c r="AD320" i="5"/>
  <c r="AS291" i="5"/>
  <c r="AU291" i="5" s="1"/>
  <c r="AE108" i="5"/>
  <c r="AD348" i="5"/>
  <c r="AS320" i="5"/>
  <c r="AT320" i="5" s="1"/>
  <c r="AD291" i="5"/>
  <c r="AE183" i="5"/>
  <c r="AE348" i="5"/>
  <c r="AU182" i="5"/>
  <c r="AK118" i="4"/>
  <c r="AT72" i="5"/>
  <c r="AE413" i="5"/>
  <c r="AD182" i="5"/>
  <c r="AD413" i="5"/>
  <c r="AD72" i="5"/>
  <c r="AS406" i="5"/>
  <c r="AT406" i="5" s="1"/>
  <c r="AS480" i="5"/>
  <c r="AT480" i="5" s="1"/>
  <c r="AD45" i="5"/>
  <c r="AE317" i="5"/>
  <c r="AE20" i="5"/>
  <c r="AD317" i="5"/>
  <c r="AS272" i="5"/>
  <c r="AU272" i="5" s="1"/>
  <c r="Y26" i="4"/>
  <c r="Z26" i="4" s="1"/>
  <c r="X26" i="4"/>
  <c r="AJ26" i="4" s="1"/>
  <c r="AE26" i="4"/>
  <c r="AD272" i="5"/>
  <c r="AS45" i="5"/>
  <c r="AT45" i="5" s="1"/>
  <c r="AE323" i="5"/>
  <c r="AE559" i="5"/>
  <c r="AS323" i="5"/>
  <c r="AU323" i="5" s="1"/>
  <c r="AS559" i="5"/>
  <c r="AU559" i="5" s="1"/>
  <c r="AS409" i="5"/>
  <c r="AU409" i="5" s="1"/>
  <c r="AE387" i="5"/>
  <c r="AD409" i="5"/>
  <c r="AR11" i="5"/>
  <c r="Y22" i="4"/>
  <c r="Z22" i="4" s="1"/>
  <c r="AA22" i="4" s="1"/>
  <c r="AC22" i="4" s="1"/>
  <c r="AD22" i="4" s="1"/>
  <c r="AE22" i="4"/>
  <c r="AE129" i="4"/>
  <c r="X72" i="4"/>
  <c r="AJ72" i="4" s="1"/>
  <c r="AE72" i="4"/>
  <c r="AO72" i="4"/>
  <c r="AS11" i="5"/>
  <c r="AU11" i="5" s="1"/>
  <c r="Y148" i="4"/>
  <c r="Z148" i="4" s="1"/>
  <c r="AF148" i="4" s="1"/>
  <c r="AE148" i="4"/>
  <c r="Y109" i="4"/>
  <c r="Z109" i="4" s="1"/>
  <c r="AF109" i="4" s="1"/>
  <c r="AE109" i="4"/>
  <c r="AA143" i="4"/>
  <c r="AC143" i="4" s="1"/>
  <c r="AD143" i="4" s="1"/>
  <c r="AT127" i="5"/>
  <c r="AS287" i="5"/>
  <c r="AT287" i="5" s="1"/>
  <c r="AA42" i="4"/>
  <c r="AC42" i="4" s="1"/>
  <c r="AD42" i="4" s="1"/>
  <c r="AQ9" i="5"/>
  <c r="AE79" i="4"/>
  <c r="X129" i="4"/>
  <c r="AJ129" i="4" s="1"/>
  <c r="AF152" i="4"/>
  <c r="AG152" i="4" s="1"/>
  <c r="AI152" i="4" s="1"/>
  <c r="AS249" i="5"/>
  <c r="AU249" i="5" s="1"/>
  <c r="AF67" i="4"/>
  <c r="AG67" i="4" s="1"/>
  <c r="AI67" i="4" s="1"/>
  <c r="AE67" i="4"/>
  <c r="X67" i="4"/>
  <c r="AA67" i="4" s="1"/>
  <c r="AC67" i="4" s="1"/>
  <c r="AD67" i="4" s="1"/>
  <c r="X79" i="4"/>
  <c r="AJ79" i="4" s="1"/>
  <c r="AD130" i="5"/>
  <c r="AD449" i="5"/>
  <c r="X152" i="4"/>
  <c r="AA152" i="4" s="1"/>
  <c r="AC152" i="4" s="1"/>
  <c r="AD152" i="4" s="1"/>
  <c r="AK143" i="4"/>
  <c r="AE152" i="4"/>
  <c r="Y34" i="4"/>
  <c r="Z34" i="4" s="1"/>
  <c r="AE34" i="4"/>
  <c r="X34" i="4"/>
  <c r="AJ34" i="4" s="1"/>
  <c r="X133" i="4"/>
  <c r="AJ133" i="4" s="1"/>
  <c r="AE133" i="4"/>
  <c r="Y133" i="4"/>
  <c r="Z133" i="4" s="1"/>
  <c r="Y21" i="4"/>
  <c r="Z21" i="4" s="1"/>
  <c r="AE21" i="4"/>
  <c r="X21" i="4"/>
  <c r="AJ21" i="4" s="1"/>
  <c r="Y58" i="4"/>
  <c r="Z58" i="4" s="1"/>
  <c r="X58" i="4"/>
  <c r="AJ58" i="4" s="1"/>
  <c r="AE58" i="4"/>
  <c r="Y144" i="4"/>
  <c r="X144" i="4"/>
  <c r="AE144" i="4"/>
  <c r="Y24" i="4"/>
  <c r="Z24" i="4" s="1"/>
  <c r="AE24" i="4"/>
  <c r="X24" i="4"/>
  <c r="Y83" i="4"/>
  <c r="Z83" i="4" s="1"/>
  <c r="AE83" i="4"/>
  <c r="AE62" i="4"/>
  <c r="Y62" i="4"/>
  <c r="Z62" i="4" s="1"/>
  <c r="Y101" i="4"/>
  <c r="Z101" i="4" s="1"/>
  <c r="X101" i="4"/>
  <c r="AJ101" i="4" s="1"/>
  <c r="AE101" i="4"/>
  <c r="AF79" i="4"/>
  <c r="Y132" i="4"/>
  <c r="Z132" i="4" s="1"/>
  <c r="AF132" i="4" s="1"/>
  <c r="AE132" i="4"/>
  <c r="X132" i="4"/>
  <c r="Y94" i="4"/>
  <c r="Z94" i="4" s="1"/>
  <c r="X94" i="4"/>
  <c r="AA140" i="4"/>
  <c r="AC140" i="4" s="1"/>
  <c r="AD140" i="4" s="1"/>
  <c r="AK140" i="4"/>
  <c r="AF140" i="4"/>
  <c r="X62" i="4"/>
  <c r="AJ62" i="4" s="1"/>
  <c r="X83" i="4"/>
  <c r="AJ83" i="4" s="1"/>
  <c r="X141" i="4"/>
  <c r="AJ141" i="4" s="1"/>
  <c r="Y141" i="4"/>
  <c r="AE141" i="4"/>
  <c r="Y59" i="4"/>
  <c r="Z59" i="4" s="1"/>
  <c r="AE59" i="4"/>
  <c r="Y10" i="4"/>
  <c r="Z10" i="4" s="1"/>
  <c r="X10" i="4"/>
  <c r="AJ10" i="4" s="1"/>
  <c r="AE10" i="4"/>
  <c r="Y130" i="4"/>
  <c r="X130" i="4"/>
  <c r="AE130" i="4"/>
  <c r="X155" i="4"/>
  <c r="Y155" i="4"/>
  <c r="AF105" i="4"/>
  <c r="AA105" i="4"/>
  <c r="AC105" i="4" s="1"/>
  <c r="AD105" i="4" s="1"/>
  <c r="AK105" i="4"/>
  <c r="AD287" i="5"/>
  <c r="AD249" i="5"/>
  <c r="AE449" i="5"/>
  <c r="AE292" i="5"/>
  <c r="AS393" i="5"/>
  <c r="AT393" i="5" s="1"/>
  <c r="AS292" i="5"/>
  <c r="AU292" i="5" s="1"/>
  <c r="AS391" i="5"/>
  <c r="AT391" i="5" s="1"/>
  <c r="AD393" i="5"/>
  <c r="AE391" i="5"/>
  <c r="AA84" i="4"/>
  <c r="AC84" i="4" s="1"/>
  <c r="AD84" i="4" s="1"/>
  <c r="AK84" i="4"/>
  <c r="AF84" i="4"/>
  <c r="AE286" i="5"/>
  <c r="AD286" i="5"/>
  <c r="AS162" i="5"/>
  <c r="AT162" i="5" s="1"/>
  <c r="AD123" i="5"/>
  <c r="AD74" i="5"/>
  <c r="AG143" i="4"/>
  <c r="AI143" i="4" s="1"/>
  <c r="AO143" i="4"/>
  <c r="AD11" i="5"/>
  <c r="AG75" i="4"/>
  <c r="AI75" i="4" s="1"/>
  <c r="AE11" i="5"/>
  <c r="AS235" i="5"/>
  <c r="AU235" i="5" s="1"/>
  <c r="AE10" i="5"/>
  <c r="AS10" i="5"/>
  <c r="AU10" i="5" s="1"/>
  <c r="AD235" i="5"/>
  <c r="AE123" i="5"/>
  <c r="AE74" i="5"/>
  <c r="AE162" i="5"/>
  <c r="AS299" i="5"/>
  <c r="AU299" i="5" s="1"/>
  <c r="AA123" i="4"/>
  <c r="AC123" i="4" s="1"/>
  <c r="AD123" i="4" s="1"/>
  <c r="AO108" i="4"/>
  <c r="AK40" i="4"/>
  <c r="AA32" i="4"/>
  <c r="AC32" i="4" s="1"/>
  <c r="AD32" i="4" s="1"/>
  <c r="AD557" i="5"/>
  <c r="AE549" i="5"/>
  <c r="AK123" i="4"/>
  <c r="AE271" i="5"/>
  <c r="AA40" i="4"/>
  <c r="AC40" i="4" s="1"/>
  <c r="AD40" i="4" s="1"/>
  <c r="AR40" i="4" s="1"/>
  <c r="AT40" i="4" s="1"/>
  <c r="AD311" i="5"/>
  <c r="AS8" i="5"/>
  <c r="AT8" i="5" s="1"/>
  <c r="AK99" i="4"/>
  <c r="AS169" i="5"/>
  <c r="AT169" i="5" s="1"/>
  <c r="AE340" i="5"/>
  <c r="AD397" i="5"/>
  <c r="AD538" i="5"/>
  <c r="AE407" i="5"/>
  <c r="AD176" i="5"/>
  <c r="AE311" i="5"/>
  <c r="AE130" i="5"/>
  <c r="AS340" i="5"/>
  <c r="AU340" i="5" s="1"/>
  <c r="AE412" i="5"/>
  <c r="AS271" i="5"/>
  <c r="AT271" i="5" s="1"/>
  <c r="AD445" i="5"/>
  <c r="AS95" i="5"/>
  <c r="AT95" i="5" s="1"/>
  <c r="AE538" i="5"/>
  <c r="AS412" i="5"/>
  <c r="AT412" i="5" s="1"/>
  <c r="AD334" i="5"/>
  <c r="AE445" i="5"/>
  <c r="AD95" i="5"/>
  <c r="AD458" i="5"/>
  <c r="AS79" i="5"/>
  <c r="AT79" i="5" s="1"/>
  <c r="AX78" i="5" s="1"/>
  <c r="AY78" i="5" s="1"/>
  <c r="AE52" i="5"/>
  <c r="AS458" i="5"/>
  <c r="AU458" i="5" s="1"/>
  <c r="AE79" i="5"/>
  <c r="AS52" i="5"/>
  <c r="AU52" i="5" s="1"/>
  <c r="AD233" i="5"/>
  <c r="AE510" i="5"/>
  <c r="AE467" i="5"/>
  <c r="AS233" i="5"/>
  <c r="AU233" i="5" s="1"/>
  <c r="AS396" i="5"/>
  <c r="AT396" i="5" s="1"/>
  <c r="AD169" i="5"/>
  <c r="AS510" i="5"/>
  <c r="AU510" i="5" s="1"/>
  <c r="AD467" i="5"/>
  <c r="AE299" i="5"/>
  <c r="AD396" i="5"/>
  <c r="AE397" i="5"/>
  <c r="AS443" i="5"/>
  <c r="AU443" i="5" s="1"/>
  <c r="AE373" i="5"/>
  <c r="AD448" i="5"/>
  <c r="AS364" i="5"/>
  <c r="AT364" i="5" s="1"/>
  <c r="AE215" i="5"/>
  <c r="AD215" i="5"/>
  <c r="AS549" i="5"/>
  <c r="AU549" i="5" s="1"/>
  <c r="AE557" i="5"/>
  <c r="AE448" i="5"/>
  <c r="AD364" i="5"/>
  <c r="AS56" i="5"/>
  <c r="AU56" i="5" s="1"/>
  <c r="AE370" i="5"/>
  <c r="AE107" i="5"/>
  <c r="AE57" i="5"/>
  <c r="AD39" i="5"/>
  <c r="AS191" i="5"/>
  <c r="AU191" i="5" s="1"/>
  <c r="AE172" i="5"/>
  <c r="AS490" i="5"/>
  <c r="AT490" i="5" s="1"/>
  <c r="AD464" i="5"/>
  <c r="AD373" i="5"/>
  <c r="AS539" i="5"/>
  <c r="AT539" i="5" s="1"/>
  <c r="AD443" i="5"/>
  <c r="AS550" i="5"/>
  <c r="AU550" i="5" s="1"/>
  <c r="AS503" i="5"/>
  <c r="AT503" i="5" s="1"/>
  <c r="AE490" i="5"/>
  <c r="AE539" i="5"/>
  <c r="AE550" i="5"/>
  <c r="AD290" i="5"/>
  <c r="AE464" i="5"/>
  <c r="AE252" i="5"/>
  <c r="AD96" i="5"/>
  <c r="AS154" i="5"/>
  <c r="AU154" i="5" s="1"/>
  <c r="AE290" i="5"/>
  <c r="AD370" i="5"/>
  <c r="AS230" i="5"/>
  <c r="AT230" i="5" s="1"/>
  <c r="AD252" i="5"/>
  <c r="AS96" i="5"/>
  <c r="AU96" i="5" s="1"/>
  <c r="AE154" i="5"/>
  <c r="AD542" i="5"/>
  <c r="AS457" i="5"/>
  <c r="AT457" i="5" s="1"/>
  <c r="AE457" i="5"/>
  <c r="AE230" i="5"/>
  <c r="AS542" i="5"/>
  <c r="AU542" i="5" s="1"/>
  <c r="AD191" i="5"/>
  <c r="AS57" i="5"/>
  <c r="AT57" i="5" s="1"/>
  <c r="AS207" i="5"/>
  <c r="AU207" i="5" s="1"/>
  <c r="AE207" i="5"/>
  <c r="AE212" i="5"/>
  <c r="AD284" i="5"/>
  <c r="AD212" i="5"/>
  <c r="AE418" i="5"/>
  <c r="AE85" i="5"/>
  <c r="AS196" i="5"/>
  <c r="AU196" i="5" s="1"/>
  <c r="AS352" i="5"/>
  <c r="AU352" i="5" s="1"/>
  <c r="AE161" i="5"/>
  <c r="AE64" i="5"/>
  <c r="AD547" i="5"/>
  <c r="AE288" i="5"/>
  <c r="AD187" i="5"/>
  <c r="AD435" i="5"/>
  <c r="AE305" i="5"/>
  <c r="AE187" i="5"/>
  <c r="AS435" i="5"/>
  <c r="AT435" i="5" s="1"/>
  <c r="AD305" i="5"/>
  <c r="AD71" i="5"/>
  <c r="AD315" i="5"/>
  <c r="AS315" i="5"/>
  <c r="AT315" i="5" s="1"/>
  <c r="AE250" i="5"/>
  <c r="AE156" i="5"/>
  <c r="AS346" i="5"/>
  <c r="AT346" i="5" s="1"/>
  <c r="AD149" i="5"/>
  <c r="AE312" i="5"/>
  <c r="AS124" i="5"/>
  <c r="AU124" i="5" s="1"/>
  <c r="AD367" i="5"/>
  <c r="AE124" i="5"/>
  <c r="AE526" i="5"/>
  <c r="AS307" i="5"/>
  <c r="AT307" i="5" s="1"/>
  <c r="AS211" i="5"/>
  <c r="AT211" i="5" s="1"/>
  <c r="AS526" i="5"/>
  <c r="AU526" i="5" s="1"/>
  <c r="AE531" i="5"/>
  <c r="AD312" i="5"/>
  <c r="AD225" i="5"/>
  <c r="AD159" i="5"/>
  <c r="AS330" i="5"/>
  <c r="AT330" i="5" s="1"/>
  <c r="AD485" i="5"/>
  <c r="AS419" i="5"/>
  <c r="AU419" i="5" s="1"/>
  <c r="AD330" i="5"/>
  <c r="AE485" i="5"/>
  <c r="AS139" i="5"/>
  <c r="AT139" i="5" s="1"/>
  <c r="AS185" i="5"/>
  <c r="AT185" i="5" s="1"/>
  <c r="AS519" i="5"/>
  <c r="AU519" i="5" s="1"/>
  <c r="AS227" i="5"/>
  <c r="AU227" i="5" s="1"/>
  <c r="AE246" i="5"/>
  <c r="AE224" i="5"/>
  <c r="AD47" i="5"/>
  <c r="AS487" i="5"/>
  <c r="AU487" i="5" s="1"/>
  <c r="AA124" i="4"/>
  <c r="AC124" i="4" s="1"/>
  <c r="AD124" i="4" s="1"/>
  <c r="AE487" i="5"/>
  <c r="AE326" i="5"/>
  <c r="AD167" i="5"/>
  <c r="AD28" i="5"/>
  <c r="AS326" i="5"/>
  <c r="AU326" i="5" s="1"/>
  <c r="AE118" i="5"/>
  <c r="AE176" i="5"/>
  <c r="AS407" i="5"/>
  <c r="AT407" i="5" s="1"/>
  <c r="AS39" i="5"/>
  <c r="AT39" i="5" s="1"/>
  <c r="AE98" i="5"/>
  <c r="AS172" i="5"/>
  <c r="AU172" i="5" s="1"/>
  <c r="AE284" i="5"/>
  <c r="AS547" i="5"/>
  <c r="AU547" i="5" s="1"/>
  <c r="AD488" i="5"/>
  <c r="AS418" i="5"/>
  <c r="AT418" i="5" s="1"/>
  <c r="AE196" i="5"/>
  <c r="AS357" i="5"/>
  <c r="AU357" i="5" s="1"/>
  <c r="AD358" i="5"/>
  <c r="AS98" i="5"/>
  <c r="AT98" i="5" s="1"/>
  <c r="AE488" i="5"/>
  <c r="AD357" i="5"/>
  <c r="AD144" i="5"/>
  <c r="AS322" i="5"/>
  <c r="AT322" i="5" s="1"/>
  <c r="AE144" i="5"/>
  <c r="AS107" i="5"/>
  <c r="AU107" i="5" s="1"/>
  <c r="AE352" i="5"/>
  <c r="AD85" i="5"/>
  <c r="AD322" i="5"/>
  <c r="AD161" i="5"/>
  <c r="AS64" i="5"/>
  <c r="AT64" i="5" s="1"/>
  <c r="AD8" i="5"/>
  <c r="AD139" i="5"/>
  <c r="AE346" i="5"/>
  <c r="AE423" i="5"/>
  <c r="AE185" i="5"/>
  <c r="AE419" i="5"/>
  <c r="AE159" i="5"/>
  <c r="AE227" i="5"/>
  <c r="AD37" i="5"/>
  <c r="AS246" i="5"/>
  <c r="AU246" i="5" s="1"/>
  <c r="AD524" i="5"/>
  <c r="AS423" i="5"/>
  <c r="AU423" i="5" s="1"/>
  <c r="AE37" i="5"/>
  <c r="AE524" i="5"/>
  <c r="AE319" i="5"/>
  <c r="AE100" i="5"/>
  <c r="AD319" i="5"/>
  <c r="AD273" i="5"/>
  <c r="AE442" i="5"/>
  <c r="AS225" i="5"/>
  <c r="AT225" i="5" s="1"/>
  <c r="AD100" i="5"/>
  <c r="AS273" i="5"/>
  <c r="AT273" i="5" s="1"/>
  <c r="AS281" i="5"/>
  <c r="AT281" i="5" s="1"/>
  <c r="AE408" i="5"/>
  <c r="AS442" i="5"/>
  <c r="AU442" i="5" s="1"/>
  <c r="AD281" i="5"/>
  <c r="AE535" i="5"/>
  <c r="AD86" i="5"/>
  <c r="AS535" i="5"/>
  <c r="AU535" i="5" s="1"/>
  <c r="AE489" i="5"/>
  <c r="AO68" i="4"/>
  <c r="AD489" i="5"/>
  <c r="AS224" i="5"/>
  <c r="AT224" i="5" s="1"/>
  <c r="AE61" i="5"/>
  <c r="AK68" i="4"/>
  <c r="AE355" i="5"/>
  <c r="AE430" i="5"/>
  <c r="AS61" i="5"/>
  <c r="AU61" i="5" s="1"/>
  <c r="AE177" i="5"/>
  <c r="AS28" i="5"/>
  <c r="AU28" i="5" s="1"/>
  <c r="AS355" i="5"/>
  <c r="AT355" i="5" s="1"/>
  <c r="AS430" i="5"/>
  <c r="AU430" i="5" s="1"/>
  <c r="AD256" i="5"/>
  <c r="AE337" i="5"/>
  <c r="AD389" i="5"/>
  <c r="AD56" i="5"/>
  <c r="AD307" i="5"/>
  <c r="AD211" i="5"/>
  <c r="AG103" i="4"/>
  <c r="AI103" i="4" s="1"/>
  <c r="AD87" i="5"/>
  <c r="AE493" i="5"/>
  <c r="AA68" i="4"/>
  <c r="AC68" i="4" s="1"/>
  <c r="AD68" i="4" s="1"/>
  <c r="AS493" i="5"/>
  <c r="AT493" i="5" s="1"/>
  <c r="AS195" i="5"/>
  <c r="AT195" i="5" s="1"/>
  <c r="AS92" i="5"/>
  <c r="AT92" i="5" s="1"/>
  <c r="AS190" i="5"/>
  <c r="AU190" i="5" s="1"/>
  <c r="AS30" i="5"/>
  <c r="AU30" i="5" s="1"/>
  <c r="AD195" i="5"/>
  <c r="AK103" i="4"/>
  <c r="AE190" i="5"/>
  <c r="AE30" i="5"/>
  <c r="AS41" i="5"/>
  <c r="AU41" i="5" s="1"/>
  <c r="AD439" i="5"/>
  <c r="AK85" i="4"/>
  <c r="AD192" i="5"/>
  <c r="AS86" i="5"/>
  <c r="AT86" i="5" s="1"/>
  <c r="AS177" i="5"/>
  <c r="AT177" i="5" s="1"/>
  <c r="AS164" i="5"/>
  <c r="AU164" i="5" s="1"/>
  <c r="AD164" i="5"/>
  <c r="AE461" i="5"/>
  <c r="AE192" i="5"/>
  <c r="AE347" i="5"/>
  <c r="AE146" i="5"/>
  <c r="AE41" i="5"/>
  <c r="AD51" i="5"/>
  <c r="AS527" i="5"/>
  <c r="AU527" i="5" s="1"/>
  <c r="AD337" i="5"/>
  <c r="AE87" i="5"/>
  <c r="AK82" i="4"/>
  <c r="AD461" i="5"/>
  <c r="AS367" i="5"/>
  <c r="AU367" i="5" s="1"/>
  <c r="AS51" i="5"/>
  <c r="AU51" i="5" s="1"/>
  <c r="AA120" i="4"/>
  <c r="AC120" i="4" s="1"/>
  <c r="AD120" i="4" s="1"/>
  <c r="AA99" i="4"/>
  <c r="AC99" i="4" s="1"/>
  <c r="AD99" i="4" s="1"/>
  <c r="AD527" i="5"/>
  <c r="AD408" i="5"/>
  <c r="AS389" i="5"/>
  <c r="AT389" i="5" s="1"/>
  <c r="AA103" i="4"/>
  <c r="AC103" i="4" s="1"/>
  <c r="AD103" i="4" s="1"/>
  <c r="AK102" i="4"/>
  <c r="AS368" i="5"/>
  <c r="AT368" i="5" s="1"/>
  <c r="AA9" i="4"/>
  <c r="AC9" i="4" s="1"/>
  <c r="AD9" i="4" s="1"/>
  <c r="AE368" i="5"/>
  <c r="AE63" i="5"/>
  <c r="AE131" i="5"/>
  <c r="AS131" i="5"/>
  <c r="AT131" i="5" s="1"/>
  <c r="AE167" i="5"/>
  <c r="AK81" i="4"/>
  <c r="AD347" i="5"/>
  <c r="AD146" i="5"/>
  <c r="AD63" i="5"/>
  <c r="AS439" i="5"/>
  <c r="AT439" i="5" s="1"/>
  <c r="AG97" i="4"/>
  <c r="AI97" i="4" s="1"/>
  <c r="AA45" i="4"/>
  <c r="AC45" i="4" s="1"/>
  <c r="AD45" i="4" s="1"/>
  <c r="AA102" i="4"/>
  <c r="AC102" i="4" s="1"/>
  <c r="AD102" i="4" s="1"/>
  <c r="AS156" i="5"/>
  <c r="AU156" i="5" s="1"/>
  <c r="AS71" i="5"/>
  <c r="AT71" i="5" s="1"/>
  <c r="AD170" i="5"/>
  <c r="AE170" i="5"/>
  <c r="AS250" i="5"/>
  <c r="AT250" i="5" s="1"/>
  <c r="AF32" i="4"/>
  <c r="AG32" i="4" s="1"/>
  <c r="AI32" i="4" s="1"/>
  <c r="AA122" i="4"/>
  <c r="AC122" i="4" s="1"/>
  <c r="AD122" i="4" s="1"/>
  <c r="AA74" i="4"/>
  <c r="AC74" i="4" s="1"/>
  <c r="AD74" i="4" s="1"/>
  <c r="AK45" i="4"/>
  <c r="AS415" i="5"/>
  <c r="AU415" i="5" s="1"/>
  <c r="AA60" i="4"/>
  <c r="AC60" i="4" s="1"/>
  <c r="AD60" i="4" s="1"/>
  <c r="AD415" i="5"/>
  <c r="AO45" i="4"/>
  <c r="AD516" i="5"/>
  <c r="AA82" i="4"/>
  <c r="AC82" i="4" s="1"/>
  <c r="AD82" i="4" s="1"/>
  <c r="AS516" i="5"/>
  <c r="AU516" i="5" s="1"/>
  <c r="AS152" i="5"/>
  <c r="AU152" i="5" s="1"/>
  <c r="AE152" i="5"/>
  <c r="AD288" i="5"/>
  <c r="AK74" i="4"/>
  <c r="AK71" i="4"/>
  <c r="AE149" i="5"/>
  <c r="AF120" i="4"/>
  <c r="AO120" i="4" s="1"/>
  <c r="AS531" i="5"/>
  <c r="AU531" i="5" s="1"/>
  <c r="AE554" i="5"/>
  <c r="AS334" i="5"/>
  <c r="AU334" i="5" s="1"/>
  <c r="AE256" i="5"/>
  <c r="AD554" i="5"/>
  <c r="AK120" i="4"/>
  <c r="AE258" i="5"/>
  <c r="AE276" i="5"/>
  <c r="AE328" i="5"/>
  <c r="AS358" i="5"/>
  <c r="AU358" i="5" s="1"/>
  <c r="AE519" i="5"/>
  <c r="AD92" i="5"/>
  <c r="AS372" i="5"/>
  <c r="AT372" i="5" s="1"/>
  <c r="AS276" i="5"/>
  <c r="AT276" i="5" s="1"/>
  <c r="AS507" i="5"/>
  <c r="AT507" i="5" s="1"/>
  <c r="AD258" i="5"/>
  <c r="AS328" i="5"/>
  <c r="AT328" i="5" s="1"/>
  <c r="AE507" i="5"/>
  <c r="AK80" i="4"/>
  <c r="AA81" i="4"/>
  <c r="AC81" i="4" s="1"/>
  <c r="AD81" i="4" s="1"/>
  <c r="AF52" i="4"/>
  <c r="AA52" i="4"/>
  <c r="AC52" i="4" s="1"/>
  <c r="AD52" i="4" s="1"/>
  <c r="AE431" i="5"/>
  <c r="AS89" i="5"/>
  <c r="AU89" i="5" s="1"/>
  <c r="AS47" i="5"/>
  <c r="AT47" i="5" s="1"/>
  <c r="AE474" i="5"/>
  <c r="AF116" i="4"/>
  <c r="AK116" i="4"/>
  <c r="AF63" i="4"/>
  <c r="AA63" i="4"/>
  <c r="AC63" i="4" s="1"/>
  <c r="AD63" i="4" s="1"/>
  <c r="AK63" i="4"/>
  <c r="AO70" i="4"/>
  <c r="AG70" i="4"/>
  <c r="AI70" i="4" s="1"/>
  <c r="AS431" i="5"/>
  <c r="AU431" i="5" s="1"/>
  <c r="AE89" i="5"/>
  <c r="AS474" i="5"/>
  <c r="AT474" i="5" s="1"/>
  <c r="B93" i="2"/>
  <c r="B113" i="2" s="1"/>
  <c r="H25" i="1" s="1"/>
  <c r="AG44" i="4"/>
  <c r="AI44" i="4" s="1"/>
  <c r="AO44" i="4"/>
  <c r="AF137" i="4"/>
  <c r="AK137" i="4"/>
  <c r="AA137" i="4"/>
  <c r="AC137" i="4" s="1"/>
  <c r="AD137" i="4" s="1"/>
  <c r="AA126" i="4"/>
  <c r="AC126" i="4" s="1"/>
  <c r="AD126" i="4" s="1"/>
  <c r="AF126" i="4"/>
  <c r="AK126" i="4"/>
  <c r="AF95" i="4"/>
  <c r="AK95" i="4"/>
  <c r="AA95" i="4"/>
  <c r="AC95" i="4" s="1"/>
  <c r="AD95" i="4" s="1"/>
  <c r="AK64" i="4"/>
  <c r="AF64" i="4"/>
  <c r="AA64" i="4"/>
  <c r="AC64" i="4" s="1"/>
  <c r="AD64" i="4" s="1"/>
  <c r="AS545" i="5"/>
  <c r="AU545" i="5" s="1"/>
  <c r="AD109" i="5"/>
  <c r="AA117" i="4"/>
  <c r="AC117" i="4" s="1"/>
  <c r="AD117" i="4" s="1"/>
  <c r="AA75" i="4"/>
  <c r="AC75" i="4" s="1"/>
  <c r="AD75" i="4" s="1"/>
  <c r="AA27" i="4"/>
  <c r="AC27" i="4" s="1"/>
  <c r="AD27" i="4" s="1"/>
  <c r="AF69" i="4"/>
  <c r="AK69" i="4"/>
  <c r="AA69" i="4"/>
  <c r="AC69" i="4" s="1"/>
  <c r="AD69" i="4" s="1"/>
  <c r="AE545" i="5"/>
  <c r="AE109" i="5"/>
  <c r="AD324" i="5"/>
  <c r="AK30" i="4"/>
  <c r="AA157" i="4"/>
  <c r="AC157" i="4" s="1"/>
  <c r="AD157" i="4" s="1"/>
  <c r="AF157" i="4"/>
  <c r="AK157" i="4"/>
  <c r="AF14" i="4"/>
  <c r="AF150" i="4"/>
  <c r="AA150" i="4"/>
  <c r="AC150" i="4" s="1"/>
  <c r="AD150" i="4" s="1"/>
  <c r="AK150" i="4"/>
  <c r="AA111" i="4"/>
  <c r="AC111" i="4" s="1"/>
  <c r="AD111" i="4" s="1"/>
  <c r="AS84" i="5"/>
  <c r="AT84" i="5" s="1"/>
  <c r="AE454" i="5"/>
  <c r="AA116" i="4"/>
  <c r="AC116" i="4" s="1"/>
  <c r="AD116" i="4" s="1"/>
  <c r="AJ116" i="4"/>
  <c r="AA71" i="4"/>
  <c r="AC71" i="4" s="1"/>
  <c r="AD71" i="4" s="1"/>
  <c r="AR71" i="4" s="1"/>
  <c r="AT71" i="4" s="1"/>
  <c r="AA30" i="4"/>
  <c r="AC30" i="4" s="1"/>
  <c r="AD30" i="4" s="1"/>
  <c r="AA44" i="4"/>
  <c r="AC44" i="4" s="1"/>
  <c r="AD44" i="4" s="1"/>
  <c r="AJ44" i="4"/>
  <c r="AK128" i="4"/>
  <c r="AF128" i="4"/>
  <c r="AA128" i="4"/>
  <c r="AC128" i="4" s="1"/>
  <c r="AD128" i="4" s="1"/>
  <c r="AK111" i="4"/>
  <c r="AF77" i="4"/>
  <c r="AA77" i="4"/>
  <c r="AC77" i="4" s="1"/>
  <c r="AD77" i="4" s="1"/>
  <c r="AK77" i="4"/>
  <c r="AE324" i="5"/>
  <c r="AE84" i="5"/>
  <c r="AD372" i="5"/>
  <c r="AK122" i="4"/>
  <c r="AD454" i="5"/>
  <c r="AK75" i="4"/>
  <c r="AO123" i="4"/>
  <c r="AG123" i="4"/>
  <c r="AI123" i="4" s="1"/>
  <c r="AA8" i="4"/>
  <c r="AC8" i="4" s="1"/>
  <c r="AD8" i="4" s="1"/>
  <c r="AF8" i="4"/>
  <c r="AK8" i="4"/>
  <c r="AA134" i="4"/>
  <c r="AC134" i="4" s="1"/>
  <c r="AD134" i="4" s="1"/>
  <c r="AF134" i="4"/>
  <c r="AK134" i="4"/>
  <c r="AA93" i="4"/>
  <c r="AC93" i="4" s="1"/>
  <c r="AD93" i="4" s="1"/>
  <c r="AF93" i="4"/>
  <c r="AK93" i="4"/>
  <c r="AO111" i="4"/>
  <c r="AG111" i="4"/>
  <c r="AI111" i="4" s="1"/>
  <c r="AK52" i="4"/>
  <c r="AA80" i="4"/>
  <c r="AC80" i="4" s="1"/>
  <c r="AD80" i="4" s="1"/>
  <c r="AK47" i="4"/>
  <c r="AF47" i="4"/>
  <c r="AA47" i="4"/>
  <c r="AC47" i="4" s="1"/>
  <c r="AD47" i="4" s="1"/>
  <c r="AF135" i="4"/>
  <c r="AJ70" i="4"/>
  <c r="AA70" i="4"/>
  <c r="AC70" i="4" s="1"/>
  <c r="AD70" i="4" s="1"/>
  <c r="AF23" i="4"/>
  <c r="AA23" i="4"/>
  <c r="AC23" i="4" s="1"/>
  <c r="AD23" i="4" s="1"/>
  <c r="AK23" i="4"/>
  <c r="AD118" i="5"/>
  <c r="AS242" i="5"/>
  <c r="AU242" i="5" s="1"/>
  <c r="AE91" i="5"/>
  <c r="AE242" i="5"/>
  <c r="AE484" i="5"/>
  <c r="AS88" i="5"/>
  <c r="AU88" i="5" s="1"/>
  <c r="AD91" i="5"/>
  <c r="AS497" i="5"/>
  <c r="AU497" i="5" s="1"/>
  <c r="AD484" i="5"/>
  <c r="AD88" i="5"/>
  <c r="AD497" i="5"/>
  <c r="AD503" i="5"/>
  <c r="AE9" i="5"/>
  <c r="AS9" i="5"/>
  <c r="AD9" i="5"/>
  <c r="AO85" i="4"/>
  <c r="AK89" i="4"/>
  <c r="AK65" i="4"/>
  <c r="AO81" i="4"/>
  <c r="AG49" i="4"/>
  <c r="AI49" i="4" s="1"/>
  <c r="AA153" i="4"/>
  <c r="AC153" i="4" s="1"/>
  <c r="AD153" i="4" s="1"/>
  <c r="AK117" i="4"/>
  <c r="AG114" i="4"/>
  <c r="AI114" i="4" s="1"/>
  <c r="AK124" i="4"/>
  <c r="AG43" i="4"/>
  <c r="AI43" i="4" s="1"/>
  <c r="AA13" i="4"/>
  <c r="AC13" i="4" s="1"/>
  <c r="AD13" i="4" s="1"/>
  <c r="AO17" i="4"/>
  <c r="AK92" i="4"/>
  <c r="AA65" i="4"/>
  <c r="AC65" i="4" s="1"/>
  <c r="AD65" i="4" s="1"/>
  <c r="AG149" i="4"/>
  <c r="AI149" i="4" s="1"/>
  <c r="AA89" i="4"/>
  <c r="AC89" i="4" s="1"/>
  <c r="AD89" i="4" s="1"/>
  <c r="AR89" i="4" s="1"/>
  <c r="AT89" i="4" s="1"/>
  <c r="AA17" i="4"/>
  <c r="AC17" i="4" s="1"/>
  <c r="AD17" i="4" s="1"/>
  <c r="AG139" i="4"/>
  <c r="AI139" i="4" s="1"/>
  <c r="AR139" i="4" s="1"/>
  <c r="AT139" i="4" s="1"/>
  <c r="AA92" i="4"/>
  <c r="AC92" i="4" s="1"/>
  <c r="AD92" i="4" s="1"/>
  <c r="AK97" i="4"/>
  <c r="AK17" i="4"/>
  <c r="AK55" i="4"/>
  <c r="AA97" i="4"/>
  <c r="AC97" i="4" s="1"/>
  <c r="AD97" i="4" s="1"/>
  <c r="AA85" i="4"/>
  <c r="AC85" i="4" s="1"/>
  <c r="AD85" i="4" s="1"/>
  <c r="AA90" i="4"/>
  <c r="AC90" i="4" s="1"/>
  <c r="AD90" i="4" s="1"/>
  <c r="AK138" i="4"/>
  <c r="AJ25" i="4"/>
  <c r="AA25" i="4"/>
  <c r="AC25" i="4" s="1"/>
  <c r="AD25" i="4" s="1"/>
  <c r="AR25" i="4" s="1"/>
  <c r="AT25" i="4" s="1"/>
  <c r="AA114" i="4"/>
  <c r="AC114" i="4" s="1"/>
  <c r="AD114" i="4" s="1"/>
  <c r="AA138" i="4"/>
  <c r="AC138" i="4" s="1"/>
  <c r="AD138" i="4" s="1"/>
  <c r="AJ104" i="4"/>
  <c r="AA104" i="4"/>
  <c r="AC104" i="4" s="1"/>
  <c r="AD104" i="4" s="1"/>
  <c r="AK114" i="4"/>
  <c r="AK16" i="4"/>
  <c r="AJ41" i="4"/>
  <c r="AA41" i="4"/>
  <c r="AC41" i="4" s="1"/>
  <c r="AD41" i="4" s="1"/>
  <c r="AA55" i="4"/>
  <c r="AC55" i="4" s="1"/>
  <c r="AD55" i="4" s="1"/>
  <c r="AA131" i="4"/>
  <c r="AC131" i="4" s="1"/>
  <c r="AD131" i="4" s="1"/>
  <c r="AR36" i="4"/>
  <c r="AT36" i="4" s="1"/>
  <c r="AO48" i="4"/>
  <c r="AG48" i="4"/>
  <c r="AI48" i="4" s="1"/>
  <c r="AG131" i="4"/>
  <c r="AI131" i="4" s="1"/>
  <c r="AO131" i="4"/>
  <c r="AG90" i="4"/>
  <c r="AI90" i="4" s="1"/>
  <c r="AO90" i="4"/>
  <c r="AJ31" i="4"/>
  <c r="AK31" i="4"/>
  <c r="AG117" i="4"/>
  <c r="AI117" i="4" s="1"/>
  <c r="AO117" i="4"/>
  <c r="AT7" i="5"/>
  <c r="AU7" i="5"/>
  <c r="AT83" i="5"/>
  <c r="AU83" i="5"/>
  <c r="AT146" i="5"/>
  <c r="AU146" i="5"/>
  <c r="AO57" i="4"/>
  <c r="AG57" i="4"/>
  <c r="AI57" i="4" s="1"/>
  <c r="AU500" i="5"/>
  <c r="AT500" i="5"/>
  <c r="AU294" i="5"/>
  <c r="AT294" i="5"/>
  <c r="AF73" i="4"/>
  <c r="AK73" i="4"/>
  <c r="AJ28" i="4"/>
  <c r="AK28" i="4"/>
  <c r="AJ36" i="4"/>
  <c r="AK36" i="4"/>
  <c r="AT109" i="5"/>
  <c r="AU109" i="5"/>
  <c r="AT337" i="5"/>
  <c r="AU337" i="5"/>
  <c r="AG104" i="4"/>
  <c r="AI104" i="4" s="1"/>
  <c r="AO104" i="4"/>
  <c r="AT434" i="5"/>
  <c r="AU434" i="5"/>
  <c r="AU424" i="5"/>
  <c r="AT424" i="5"/>
  <c r="AU171" i="5"/>
  <c r="AT171" i="5"/>
  <c r="AT208" i="5"/>
  <c r="AU208" i="5"/>
  <c r="AU118" i="5"/>
  <c r="AT118" i="5"/>
  <c r="AG138" i="4"/>
  <c r="AI138" i="4" s="1"/>
  <c r="AO138" i="4"/>
  <c r="AT317" i="5"/>
  <c r="AU317" i="5"/>
  <c r="AJ115" i="4"/>
  <c r="AK115" i="4"/>
  <c r="AT461" i="5"/>
  <c r="AU461" i="5"/>
  <c r="AU159" i="5"/>
  <c r="AT159" i="5"/>
  <c r="AU303" i="5"/>
  <c r="AT303" i="5"/>
  <c r="AT520" i="5"/>
  <c r="AU520" i="5"/>
  <c r="AT347" i="5"/>
  <c r="AU347" i="5"/>
  <c r="AO33" i="4"/>
  <c r="AG33" i="4"/>
  <c r="AI33" i="4" s="1"/>
  <c r="AT101" i="5"/>
  <c r="AU101" i="5"/>
  <c r="AU495" i="5"/>
  <c r="AT495" i="5"/>
  <c r="AJ119" i="4"/>
  <c r="AK119" i="4"/>
  <c r="AT544" i="5"/>
  <c r="AU544" i="5"/>
  <c r="AT33" i="5"/>
  <c r="AU33" i="5"/>
  <c r="AU413" i="5"/>
  <c r="AT413" i="5"/>
  <c r="AU279" i="5"/>
  <c r="AT279" i="5"/>
  <c r="AJ32" i="4"/>
  <c r="AK32" i="4"/>
  <c r="AA16" i="4"/>
  <c r="AC16" i="4" s="1"/>
  <c r="AD16" i="4" s="1"/>
  <c r="AG51" i="4"/>
  <c r="AI51" i="4" s="1"/>
  <c r="AO51" i="4"/>
  <c r="AU135" i="5"/>
  <c r="AT135" i="5"/>
  <c r="AU251" i="5"/>
  <c r="AT251" i="5"/>
  <c r="AT180" i="5"/>
  <c r="AU180" i="5"/>
  <c r="AE13" i="5"/>
  <c r="AD13" i="5"/>
  <c r="AS13" i="5"/>
  <c r="AJ131" i="4"/>
  <c r="AK131" i="4"/>
  <c r="AO147" i="4"/>
  <c r="AG147" i="4"/>
  <c r="AI147" i="4" s="1"/>
  <c r="AO60" i="4"/>
  <c r="AG60" i="4"/>
  <c r="AI60" i="4" s="1"/>
  <c r="AU173" i="5"/>
  <c r="AT173" i="5"/>
  <c r="AR31" i="4"/>
  <c r="AT31" i="4" s="1"/>
  <c r="AU183" i="5"/>
  <c r="AT183" i="5"/>
  <c r="AX182" i="5" s="1"/>
  <c r="AY182" i="5" s="1"/>
  <c r="AT392" i="5"/>
  <c r="AU392" i="5"/>
  <c r="AT464" i="5"/>
  <c r="AU464" i="5"/>
  <c r="AJ60" i="4"/>
  <c r="AK60" i="4"/>
  <c r="AJ139" i="4"/>
  <c r="AK139" i="4"/>
  <c r="AG121" i="4"/>
  <c r="AI121" i="4" s="1"/>
  <c r="AO121" i="4"/>
  <c r="AU100" i="5"/>
  <c r="AT100" i="5"/>
  <c r="AT160" i="5"/>
  <c r="AU160" i="5"/>
  <c r="AU167" i="5"/>
  <c r="AT167" i="5"/>
  <c r="AT286" i="5"/>
  <c r="AU286" i="5"/>
  <c r="AU362" i="5"/>
  <c r="AT362" i="5"/>
  <c r="AO107" i="4"/>
  <c r="AG107" i="4"/>
  <c r="AI107" i="4" s="1"/>
  <c r="AJ121" i="4"/>
  <c r="AK121" i="4"/>
  <c r="AJ53" i="4"/>
  <c r="AK53" i="4"/>
  <c r="AT479" i="5"/>
  <c r="AU479" i="5"/>
  <c r="AG153" i="4"/>
  <c r="AI153" i="4" s="1"/>
  <c r="AO153" i="4"/>
  <c r="AR112" i="4"/>
  <c r="AT112" i="4" s="1"/>
  <c r="AT454" i="5"/>
  <c r="AU454" i="5"/>
  <c r="AT34" i="5"/>
  <c r="AU34" i="5"/>
  <c r="AO80" i="4"/>
  <c r="AG80" i="4"/>
  <c r="AI80" i="4" s="1"/>
  <c r="AT187" i="5"/>
  <c r="AU187" i="5"/>
  <c r="AT223" i="5"/>
  <c r="AU223" i="5"/>
  <c r="AU449" i="5"/>
  <c r="AT449" i="5"/>
  <c r="AT181" i="5"/>
  <c r="AU181" i="5"/>
  <c r="AT206" i="5"/>
  <c r="AU206" i="5"/>
  <c r="AU481" i="5"/>
  <c r="AT481" i="5"/>
  <c r="AU136" i="5"/>
  <c r="AT136" i="5"/>
  <c r="AG13" i="4"/>
  <c r="AI13" i="4" s="1"/>
  <c r="AO13" i="4"/>
  <c r="AU258" i="5"/>
  <c r="AT258" i="5"/>
  <c r="AX257" i="5" s="1"/>
  <c r="AY257" i="5" s="1"/>
  <c r="AT397" i="5"/>
  <c r="AU397" i="5"/>
  <c r="AU252" i="5"/>
  <c r="AT252" i="5"/>
  <c r="AJ147" i="4"/>
  <c r="AK147" i="4"/>
  <c r="AU254" i="5"/>
  <c r="AT254" i="5"/>
  <c r="AU365" i="5"/>
  <c r="AT365" i="5"/>
  <c r="AU85" i="5"/>
  <c r="AT85" i="5"/>
  <c r="AU165" i="5"/>
  <c r="AT165" i="5"/>
  <c r="AG113" i="4"/>
  <c r="AI113" i="4" s="1"/>
  <c r="AO113" i="4"/>
  <c r="AT448" i="5"/>
  <c r="AU448" i="5"/>
  <c r="AT161" i="5"/>
  <c r="AU161" i="5"/>
  <c r="AJ110" i="4"/>
  <c r="AK110" i="4"/>
  <c r="AT331" i="5"/>
  <c r="AU331" i="5"/>
  <c r="AU395" i="5"/>
  <c r="AT395" i="5"/>
  <c r="AT282" i="5"/>
  <c r="AU282" i="5"/>
  <c r="AT192" i="5"/>
  <c r="AU192" i="5"/>
  <c r="AU456" i="5"/>
  <c r="AT456" i="5"/>
  <c r="AU329" i="5"/>
  <c r="AT329" i="5"/>
  <c r="AU515" i="5"/>
  <c r="AT515" i="5"/>
  <c r="AT43" i="5"/>
  <c r="AU43" i="5"/>
  <c r="AU538" i="5"/>
  <c r="AT538" i="5"/>
  <c r="AT521" i="5"/>
  <c r="AU521" i="5"/>
  <c r="AU408" i="5"/>
  <c r="AT408" i="5"/>
  <c r="AU274" i="5"/>
  <c r="AT274" i="5"/>
  <c r="AG129" i="4"/>
  <c r="AI129" i="4" s="1"/>
  <c r="AO129" i="4"/>
  <c r="AF91" i="4"/>
  <c r="AK91" i="4"/>
  <c r="AO88" i="4"/>
  <c r="AG88" i="4"/>
  <c r="AI88" i="4" s="1"/>
  <c r="AU142" i="5"/>
  <c r="AT142" i="5"/>
  <c r="AU333" i="5"/>
  <c r="AT333" i="5"/>
  <c r="AT221" i="5"/>
  <c r="AU221" i="5"/>
  <c r="AT170" i="5"/>
  <c r="AU170" i="5"/>
  <c r="AU460" i="5"/>
  <c r="AT460" i="5"/>
  <c r="AU253" i="5"/>
  <c r="AT253" i="5"/>
  <c r="AJ88" i="4"/>
  <c r="AK88" i="4"/>
  <c r="AT298" i="5"/>
  <c r="AU298" i="5"/>
  <c r="AG99" i="4"/>
  <c r="AI99" i="4" s="1"/>
  <c r="AO99" i="4"/>
  <c r="AO124" i="4"/>
  <c r="AG124" i="4"/>
  <c r="AI124" i="4" s="1"/>
  <c r="AT554" i="5"/>
  <c r="AU554" i="5"/>
  <c r="AG145" i="4"/>
  <c r="AI145" i="4" s="1"/>
  <c r="AO145" i="4"/>
  <c r="AJ56" i="4"/>
  <c r="AK56" i="4"/>
  <c r="AT491" i="5"/>
  <c r="AU491" i="5"/>
  <c r="AJ149" i="4"/>
  <c r="AK149" i="4"/>
  <c r="AU348" i="5"/>
  <c r="AT348" i="5"/>
  <c r="AT485" i="5"/>
  <c r="AU485" i="5"/>
  <c r="AU87" i="5"/>
  <c r="AT87" i="5"/>
  <c r="AU432" i="5"/>
  <c r="AT432" i="5"/>
  <c r="AJ146" i="4"/>
  <c r="AK146" i="4"/>
  <c r="AG56" i="4"/>
  <c r="AI56" i="4" s="1"/>
  <c r="AO56" i="4"/>
  <c r="AU467" i="5"/>
  <c r="AT467" i="5"/>
  <c r="AT269" i="5"/>
  <c r="AU269" i="5"/>
  <c r="AR53" i="4"/>
  <c r="AT53" i="4" s="1"/>
  <c r="AJ156" i="4"/>
  <c r="AK156" i="4"/>
  <c r="AU121" i="5"/>
  <c r="AT121" i="5"/>
  <c r="AU288" i="5"/>
  <c r="AT288" i="5"/>
  <c r="AU203" i="5"/>
  <c r="AT203" i="5"/>
  <c r="AU488" i="5"/>
  <c r="AT488" i="5"/>
  <c r="AU429" i="5"/>
  <c r="AT429" i="5"/>
  <c r="AU260" i="5"/>
  <c r="AT260" i="5"/>
  <c r="AT290" i="5"/>
  <c r="AU290" i="5"/>
  <c r="AT37" i="5"/>
  <c r="AU37" i="5"/>
  <c r="AJ106" i="4"/>
  <c r="AK106" i="4"/>
  <c r="AU40" i="5"/>
  <c r="AT40" i="5"/>
  <c r="AU144" i="5"/>
  <c r="AT144" i="5"/>
  <c r="AA11" i="4"/>
  <c r="AC11" i="4" s="1"/>
  <c r="AD11" i="4" s="1"/>
  <c r="AT557" i="5"/>
  <c r="AU557" i="5"/>
  <c r="AU482" i="5"/>
  <c r="AT482" i="5"/>
  <c r="AT176" i="5"/>
  <c r="AX175" i="5" s="1"/>
  <c r="AY175" i="5" s="1"/>
  <c r="AU176" i="5"/>
  <c r="AU311" i="5"/>
  <c r="AT311" i="5"/>
  <c r="AT149" i="5"/>
  <c r="AU149" i="5"/>
  <c r="AJ33" i="4"/>
  <c r="AK33" i="4"/>
  <c r="AU471" i="5"/>
  <c r="AT471" i="5"/>
  <c r="AG146" i="4"/>
  <c r="AI146" i="4" s="1"/>
  <c r="AO146" i="4"/>
  <c r="AU341" i="5"/>
  <c r="AT341" i="5"/>
  <c r="AO42" i="4"/>
  <c r="AG42" i="4"/>
  <c r="AI42" i="4" s="1"/>
  <c r="AU338" i="5"/>
  <c r="AT338" i="5"/>
  <c r="AU498" i="5"/>
  <c r="AT498" i="5"/>
  <c r="AU417" i="5"/>
  <c r="AT417" i="5"/>
  <c r="AG28" i="4"/>
  <c r="AI28" i="4" s="1"/>
  <c r="AO28" i="4"/>
  <c r="AT275" i="5"/>
  <c r="AU275" i="5"/>
  <c r="AU422" i="5"/>
  <c r="AT422" i="5"/>
  <c r="AT343" i="5"/>
  <c r="AU343" i="5"/>
  <c r="AU280" i="5"/>
  <c r="AT280" i="5"/>
  <c r="AU319" i="5"/>
  <c r="AT319" i="5"/>
  <c r="AT74" i="5"/>
  <c r="AU74" i="5"/>
  <c r="AT465" i="5"/>
  <c r="AU465" i="5"/>
  <c r="AG29" i="4"/>
  <c r="AI29" i="4" s="1"/>
  <c r="AO29" i="4"/>
  <c r="AU427" i="5"/>
  <c r="AT427" i="5"/>
  <c r="AU268" i="5"/>
  <c r="AT268" i="5"/>
  <c r="AT304" i="5"/>
  <c r="AU304" i="5"/>
  <c r="AU386" i="5"/>
  <c r="AT386" i="5"/>
  <c r="AJ48" i="4"/>
  <c r="AK48" i="4"/>
  <c r="AG154" i="4"/>
  <c r="AI154" i="4" s="1"/>
  <c r="AO154" i="4"/>
  <c r="AT70" i="5"/>
  <c r="AU70" i="5"/>
  <c r="AT339" i="5"/>
  <c r="AU339" i="5"/>
  <c r="AU342" i="5"/>
  <c r="AT342" i="5"/>
  <c r="AU256" i="5"/>
  <c r="AT256" i="5"/>
  <c r="AG15" i="4"/>
  <c r="AI15" i="4" s="1"/>
  <c r="AO15" i="4"/>
  <c r="AK11" i="4"/>
  <c r="AT296" i="5"/>
  <c r="AU296" i="5"/>
  <c r="AU489" i="5"/>
  <c r="AT489" i="5"/>
  <c r="AU232" i="5"/>
  <c r="AT232" i="5"/>
  <c r="AU262" i="5"/>
  <c r="AT262" i="5"/>
  <c r="AU499" i="5"/>
  <c r="AT499" i="5"/>
  <c r="AJ90" i="4"/>
  <c r="AK90" i="4"/>
  <c r="AJ112" i="4"/>
  <c r="AK112" i="4"/>
  <c r="AU216" i="5"/>
  <c r="AT216" i="5"/>
  <c r="AU130" i="5"/>
  <c r="AT130" i="5"/>
  <c r="AO115" i="4"/>
  <c r="AG115" i="4"/>
  <c r="AI115" i="4" s="1"/>
  <c r="AT69" i="5"/>
  <c r="AU69" i="5"/>
  <c r="AU189" i="5"/>
  <c r="AT189" i="5"/>
  <c r="AJ43" i="4"/>
  <c r="AK43" i="4"/>
  <c r="AG92" i="4"/>
  <c r="AI92" i="4" s="1"/>
  <c r="AO92" i="4"/>
  <c r="AG119" i="4"/>
  <c r="AI119" i="4" s="1"/>
  <c r="AO119" i="4"/>
  <c r="AG65" i="4"/>
  <c r="AI65" i="4" s="1"/>
  <c r="AO65" i="4"/>
  <c r="AG110" i="4"/>
  <c r="AI110" i="4" s="1"/>
  <c r="AO110" i="4"/>
  <c r="AJ50" i="4"/>
  <c r="AK50" i="4"/>
  <c r="AJ87" i="4"/>
  <c r="AK87" i="4"/>
  <c r="AU433" i="5"/>
  <c r="AT433" i="5"/>
  <c r="AT356" i="5"/>
  <c r="AU356" i="5"/>
  <c r="AU123" i="5"/>
  <c r="AT123" i="5"/>
  <c r="AT506" i="5"/>
  <c r="AU506" i="5"/>
  <c r="AO55" i="4"/>
  <c r="AG55" i="4"/>
  <c r="AI55" i="4" s="1"/>
  <c r="AU373" i="5"/>
  <c r="AT373" i="5"/>
  <c r="AJ42" i="4"/>
  <c r="AK42" i="4"/>
  <c r="AU215" i="5"/>
  <c r="AT215" i="5"/>
  <c r="AT484" i="5"/>
  <c r="AU484" i="5"/>
  <c r="AT332" i="5"/>
  <c r="AU332" i="5"/>
  <c r="AU151" i="5"/>
  <c r="AT151" i="5"/>
  <c r="AT436" i="5"/>
  <c r="AU436" i="5"/>
  <c r="AU399" i="5"/>
  <c r="AT399" i="5"/>
  <c r="AJ49" i="4"/>
  <c r="AK49" i="4"/>
  <c r="AT553" i="5"/>
  <c r="AU553" i="5"/>
  <c r="AT63" i="5"/>
  <c r="AU63" i="5"/>
  <c r="AT450" i="5"/>
  <c r="AU450" i="5"/>
  <c r="AU524" i="5"/>
  <c r="AT524" i="5"/>
  <c r="AR78" i="4"/>
  <c r="AT78" i="4" s="1"/>
  <c r="AG11" i="4"/>
  <c r="AI11" i="4" s="1"/>
  <c r="AO11" i="4"/>
  <c r="AT536" i="5"/>
  <c r="AU536" i="5"/>
  <c r="AU91" i="5"/>
  <c r="AT91" i="5"/>
  <c r="AU380" i="5"/>
  <c r="AT380" i="5"/>
  <c r="AU324" i="5"/>
  <c r="AT324" i="5"/>
  <c r="AT237" i="5"/>
  <c r="AU237" i="5"/>
  <c r="AU80" i="5"/>
  <c r="AT80" i="5"/>
  <c r="AQ13" i="5"/>
  <c r="AR13" i="5"/>
  <c r="AU59" i="5"/>
  <c r="AT59" i="5"/>
  <c r="AJ107" i="4"/>
  <c r="AK107" i="4"/>
  <c r="AT261" i="5"/>
  <c r="AU261" i="5"/>
  <c r="AU125" i="5"/>
  <c r="AT125" i="5"/>
  <c r="AU305" i="5"/>
  <c r="AT305" i="5"/>
  <c r="AG122" i="4"/>
  <c r="AI122" i="4" s="1"/>
  <c r="AO122" i="4"/>
  <c r="AT117" i="5"/>
  <c r="AU117" i="5"/>
  <c r="AT543" i="5"/>
  <c r="AU543" i="5"/>
  <c r="AU38" i="5"/>
  <c r="AT38" i="5"/>
  <c r="AG50" i="4"/>
  <c r="AI50" i="4" s="1"/>
  <c r="AO50" i="4"/>
  <c r="AU241" i="5"/>
  <c r="AT241" i="5"/>
  <c r="AU312" i="5"/>
  <c r="AT312" i="5"/>
  <c r="AT284" i="5"/>
  <c r="AU284" i="5"/>
  <c r="AU381" i="5"/>
  <c r="AT381" i="5"/>
  <c r="AU212" i="5"/>
  <c r="AT212" i="5"/>
  <c r="AT512" i="5"/>
  <c r="AU512" i="5"/>
  <c r="AT445" i="5"/>
  <c r="AU445" i="5"/>
  <c r="AT112" i="5"/>
  <c r="AU112" i="5"/>
  <c r="AU370" i="5"/>
  <c r="AT370" i="5"/>
  <c r="AU133" i="5"/>
  <c r="AT133" i="5"/>
  <c r="AG156" i="4"/>
  <c r="AI156" i="4" s="1"/>
  <c r="AO156" i="4"/>
  <c r="AT266" i="5"/>
  <c r="AU266" i="5"/>
  <c r="AO16" i="4"/>
  <c r="AG16" i="4"/>
  <c r="AI16" i="4" s="1"/>
  <c r="AR9" i="4" l="1"/>
  <c r="AT9" i="4" s="1"/>
  <c r="AA136" i="4"/>
  <c r="AC136" i="4" s="1"/>
  <c r="AD136" i="4" s="1"/>
  <c r="AK38" i="4"/>
  <c r="AK51" i="4"/>
  <c r="AR136" i="4"/>
  <c r="AT136" i="4" s="1"/>
  <c r="AK86" i="4"/>
  <c r="AK108" i="4"/>
  <c r="AA86" i="4"/>
  <c r="AC86" i="4" s="1"/>
  <c r="AD86" i="4" s="1"/>
  <c r="AJ108" i="4"/>
  <c r="AA100" i="4"/>
  <c r="AC100" i="4" s="1"/>
  <c r="AD100" i="4" s="1"/>
  <c r="AR41" i="4"/>
  <c r="AT41" i="4" s="1"/>
  <c r="AK136" i="4"/>
  <c r="AA38" i="4"/>
  <c r="AC38" i="4" s="1"/>
  <c r="AD38" i="4" s="1"/>
  <c r="AR82" i="4"/>
  <c r="AT82" i="4" s="1"/>
  <c r="AK54" i="4"/>
  <c r="AK154" i="4"/>
  <c r="AA51" i="4"/>
  <c r="AC51" i="4" s="1"/>
  <c r="AD51" i="4" s="1"/>
  <c r="AA151" i="4"/>
  <c r="AC151" i="4" s="1"/>
  <c r="AD151" i="4" s="1"/>
  <c r="AR151" i="4" s="1"/>
  <c r="AT151" i="4" s="1"/>
  <c r="AF54" i="4"/>
  <c r="AO54" i="4" s="1"/>
  <c r="AR49" i="4"/>
  <c r="AT49" i="4" s="1"/>
  <c r="AR30" i="4"/>
  <c r="AT30" i="4" s="1"/>
  <c r="AK19" i="4"/>
  <c r="AA19" i="4"/>
  <c r="AC19" i="4" s="1"/>
  <c r="AD19" i="4" s="1"/>
  <c r="AR19" i="4" s="1"/>
  <c r="AT19" i="4" s="1"/>
  <c r="AK153" i="4"/>
  <c r="AR106" i="4"/>
  <c r="AT106" i="4" s="1"/>
  <c r="AK100" i="4"/>
  <c r="AK113" i="4"/>
  <c r="AA113" i="4"/>
  <c r="AC113" i="4" s="1"/>
  <c r="AD113" i="4" s="1"/>
  <c r="AR113" i="4" s="1"/>
  <c r="AT113" i="4" s="1"/>
  <c r="AK13" i="4"/>
  <c r="AK151" i="4"/>
  <c r="AK29" i="4"/>
  <c r="AK78" i="4"/>
  <c r="AJ29" i="4"/>
  <c r="AJ78" i="4"/>
  <c r="AK9" i="4"/>
  <c r="AR118" i="4"/>
  <c r="AT118" i="4" s="1"/>
  <c r="AJ118" i="4"/>
  <c r="AR87" i="4"/>
  <c r="AT87" i="4" s="1"/>
  <c r="AA96" i="4"/>
  <c r="AC96" i="4" s="1"/>
  <c r="AD96" i="4" s="1"/>
  <c r="AR96" i="4" s="1"/>
  <c r="AT96" i="4" s="1"/>
  <c r="AU459" i="5"/>
  <c r="AK96" i="4"/>
  <c r="AK27" i="4"/>
  <c r="AF127" i="4"/>
  <c r="AG127" i="4" s="1"/>
  <c r="AI127" i="4" s="1"/>
  <c r="AR102" i="4"/>
  <c r="AT102" i="4" s="1"/>
  <c r="AR74" i="4"/>
  <c r="AT74" i="4" s="1"/>
  <c r="AU264" i="5"/>
  <c r="AA7" i="4"/>
  <c r="AC7" i="4" s="1"/>
  <c r="AD7" i="4" s="1"/>
  <c r="AK76" i="4"/>
  <c r="AK35" i="4"/>
  <c r="AA35" i="4"/>
  <c r="AC35" i="4" s="1"/>
  <c r="AD35" i="4" s="1"/>
  <c r="AK7" i="4"/>
  <c r="AA127" i="4"/>
  <c r="AC127" i="4" s="1"/>
  <c r="AD127" i="4" s="1"/>
  <c r="AF7" i="4"/>
  <c r="AG7" i="4" s="1"/>
  <c r="AI7" i="4" s="1"/>
  <c r="AA154" i="4"/>
  <c r="AC154" i="4" s="1"/>
  <c r="AD154" i="4" s="1"/>
  <c r="AR154" i="4" s="1"/>
  <c r="AT154" i="4" s="1"/>
  <c r="AA66" i="4"/>
  <c r="AC66" i="4" s="1"/>
  <c r="AD66" i="4" s="1"/>
  <c r="AA76" i="4"/>
  <c r="AC76" i="4" s="1"/>
  <c r="AD76" i="4" s="1"/>
  <c r="AR27" i="4"/>
  <c r="AT27" i="4" s="1"/>
  <c r="AK18" i="4"/>
  <c r="AX45" i="5"/>
  <c r="AY45" i="5" s="1"/>
  <c r="AK12" i="4"/>
  <c r="AF12" i="4"/>
  <c r="AG12" i="4" s="1"/>
  <c r="AI12" i="4" s="1"/>
  <c r="AA18" i="4"/>
  <c r="AC18" i="4" s="1"/>
  <c r="AD18" i="4" s="1"/>
  <c r="AR18" i="4" s="1"/>
  <c r="AT18" i="4" s="1"/>
  <c r="AT525" i="5"/>
  <c r="AX524" i="5" s="1"/>
  <c r="AY524" i="5" s="1"/>
  <c r="AU523" i="5"/>
  <c r="AX115" i="5"/>
  <c r="AY115" i="5" s="1"/>
  <c r="AU371" i="5"/>
  <c r="AT537" i="5"/>
  <c r="AX537" i="5" s="1"/>
  <c r="AY537" i="5" s="1"/>
  <c r="AT522" i="5"/>
  <c r="AX521" i="5" s="1"/>
  <c r="AY521" i="5" s="1"/>
  <c r="AU426" i="5"/>
  <c r="AU49" i="5"/>
  <c r="AT546" i="5"/>
  <c r="AT376" i="5"/>
  <c r="AX375" i="5" s="1"/>
  <c r="AY375" i="5" s="1"/>
  <c r="AT508" i="5"/>
  <c r="AX507" i="5" s="1"/>
  <c r="AY507" i="5" s="1"/>
  <c r="AT446" i="5"/>
  <c r="AX445" i="5" s="1"/>
  <c r="AY445" i="5" s="1"/>
  <c r="AU379" i="5"/>
  <c r="AT234" i="5"/>
  <c r="AU200" i="5"/>
  <c r="AU26" i="5"/>
  <c r="AA145" i="4"/>
  <c r="AC145" i="4" s="1"/>
  <c r="AD145" i="4" s="1"/>
  <c r="AR145" i="4" s="1"/>
  <c r="AT145" i="4" s="1"/>
  <c r="AU345" i="5"/>
  <c r="AT483" i="5"/>
  <c r="AX483" i="5" s="1"/>
  <c r="AY483" i="5" s="1"/>
  <c r="AK145" i="4"/>
  <c r="AX23" i="5"/>
  <c r="AY23" i="5" s="1"/>
  <c r="AU23" i="5"/>
  <c r="AK66" i="4"/>
  <c r="AF37" i="4"/>
  <c r="AG37" i="4" s="1"/>
  <c r="AI37" i="4" s="1"/>
  <c r="AU289" i="5"/>
  <c r="AX97" i="5"/>
  <c r="AY97" i="5" s="1"/>
  <c r="AK37" i="4"/>
  <c r="AT530" i="5"/>
  <c r="AX184" i="5"/>
  <c r="AU534" i="5"/>
  <c r="AT105" i="5"/>
  <c r="AX105" i="5" s="1"/>
  <c r="AY105" i="5" s="1"/>
  <c r="AT463" i="5"/>
  <c r="AX463" i="5" s="1"/>
  <c r="AY463" i="5" s="1"/>
  <c r="AU265" i="5"/>
  <c r="AU97" i="5"/>
  <c r="AT243" i="5"/>
  <c r="AU226" i="5"/>
  <c r="AT213" i="5"/>
  <c r="AX212" i="5" s="1"/>
  <c r="AY212" i="5" s="1"/>
  <c r="AU532" i="5"/>
  <c r="AT540" i="5"/>
  <c r="AX539" i="5" s="1"/>
  <c r="AY539" i="5" s="1"/>
  <c r="AT470" i="5"/>
  <c r="AX470" i="5" s="1"/>
  <c r="AY470" i="5" s="1"/>
  <c r="AT469" i="5"/>
  <c r="AU509" i="5"/>
  <c r="AU184" i="5"/>
  <c r="AA46" i="4"/>
  <c r="AC46" i="4" s="1"/>
  <c r="AD46" i="4" s="1"/>
  <c r="AR46" i="4" s="1"/>
  <c r="AT46" i="4" s="1"/>
  <c r="AJ46" i="4"/>
  <c r="AU359" i="5"/>
  <c r="AA20" i="4"/>
  <c r="AC20" i="4" s="1"/>
  <c r="AD20" i="4" s="1"/>
  <c r="AG66" i="4"/>
  <c r="AI66" i="4" s="1"/>
  <c r="AK20" i="4"/>
  <c r="AU327" i="5"/>
  <c r="AU297" i="5"/>
  <c r="AT466" i="5"/>
  <c r="AX466" i="5" s="1"/>
  <c r="AY466" i="5" s="1"/>
  <c r="AU188" i="5"/>
  <c r="AU166" i="5"/>
  <c r="AU477" i="5"/>
  <c r="AT518" i="5"/>
  <c r="AX517" i="5" s="1"/>
  <c r="AY517" i="5" s="1"/>
  <c r="AU514" i="5"/>
  <c r="AU22" i="5"/>
  <c r="AU511" i="5"/>
  <c r="AR43" i="4"/>
  <c r="AT43" i="4" s="1"/>
  <c r="AU62" i="5"/>
  <c r="AX49" i="5"/>
  <c r="AY49" i="5" s="1"/>
  <c r="AU349" i="5"/>
  <c r="AA14" i="4"/>
  <c r="AC14" i="4" s="1"/>
  <c r="AD14" i="4" s="1"/>
  <c r="AR149" i="4"/>
  <c r="AT149" i="4" s="1"/>
  <c r="AK14" i="4"/>
  <c r="AU148" i="5"/>
  <c r="AU137" i="5"/>
  <c r="AT201" i="5"/>
  <c r="AX201" i="5" s="1"/>
  <c r="AY201" i="5" s="1"/>
  <c r="AA61" i="4"/>
  <c r="AC61" i="4" s="1"/>
  <c r="AD61" i="4" s="1"/>
  <c r="AR61" i="4" s="1"/>
  <c r="AT61" i="4" s="1"/>
  <c r="AT42" i="5"/>
  <c r="AX42" i="5" s="1"/>
  <c r="AY42" i="5" s="1"/>
  <c r="AU351" i="5"/>
  <c r="AU21" i="5"/>
  <c r="AX21" i="5"/>
  <c r="AY21" i="5" s="1"/>
  <c r="AK61" i="4"/>
  <c r="AT214" i="5"/>
  <c r="AX214" i="5" s="1"/>
  <c r="AY214" i="5" s="1"/>
  <c r="AT267" i="5"/>
  <c r="AX267" i="5" s="1"/>
  <c r="AY267" i="5" s="1"/>
  <c r="AT186" i="5"/>
  <c r="AX186" i="5" s="1"/>
  <c r="AY186" i="5" s="1"/>
  <c r="AT301" i="5"/>
  <c r="AX300" i="5" s="1"/>
  <c r="AY300" i="5" s="1"/>
  <c r="AU300" i="5"/>
  <c r="AT313" i="5"/>
  <c r="AX313" i="5" s="1"/>
  <c r="AY313" i="5" s="1"/>
  <c r="AU382" i="5"/>
  <c r="AX148" i="5"/>
  <c r="AY148" i="5" s="1"/>
  <c r="AT451" i="5"/>
  <c r="AX450" i="5" s="1"/>
  <c r="AY450" i="5" s="1"/>
  <c r="AT486" i="5"/>
  <c r="AX485" i="5" s="1"/>
  <c r="AY485" i="5" s="1"/>
  <c r="AA57" i="4"/>
  <c r="AC57" i="4" s="1"/>
  <c r="AD57" i="4" s="1"/>
  <c r="AR57" i="4" s="1"/>
  <c r="AT57" i="4" s="1"/>
  <c r="AF22" i="4"/>
  <c r="AO22" i="4" s="1"/>
  <c r="AA142" i="4"/>
  <c r="AC142" i="4" s="1"/>
  <c r="AD142" i="4" s="1"/>
  <c r="AX147" i="5"/>
  <c r="AY147" i="5" s="1"/>
  <c r="AT248" i="5"/>
  <c r="AX247" i="5" s="1"/>
  <c r="AU205" i="5"/>
  <c r="AT478" i="5"/>
  <c r="AX477" i="5" s="1"/>
  <c r="AY477" i="5" s="1"/>
  <c r="AK15" i="4"/>
  <c r="AU31" i="5"/>
  <c r="AU283" i="5"/>
  <c r="AO142" i="4"/>
  <c r="AT390" i="5"/>
  <c r="AX389" i="5" s="1"/>
  <c r="AY389" i="5" s="1"/>
  <c r="AK57" i="4"/>
  <c r="AA15" i="4"/>
  <c r="AC15" i="4" s="1"/>
  <c r="AD15" i="4" s="1"/>
  <c r="AR15" i="4" s="1"/>
  <c r="AT15" i="4" s="1"/>
  <c r="AT316" i="5"/>
  <c r="AX316" i="5" s="1"/>
  <c r="AY316" i="5" s="1"/>
  <c r="AK142" i="4"/>
  <c r="AT444" i="5"/>
  <c r="AX444" i="5" s="1"/>
  <c r="AY444" i="5" s="1"/>
  <c r="AT58" i="5"/>
  <c r="AX58" i="5" s="1"/>
  <c r="AY58" i="5" s="1"/>
  <c r="AT374" i="5"/>
  <c r="AX373" i="5" s="1"/>
  <c r="AY373" i="5" s="1"/>
  <c r="AT455" i="5"/>
  <c r="AX454" i="5" s="1"/>
  <c r="AY454" i="5" s="1"/>
  <c r="AT360" i="5"/>
  <c r="AT308" i="5"/>
  <c r="AX308" i="5" s="1"/>
  <c r="AY308" i="5" s="1"/>
  <c r="AT361" i="5"/>
  <c r="AX361" i="5" s="1"/>
  <c r="AY361" i="5" s="1"/>
  <c r="AX278" i="5"/>
  <c r="AY278" i="5" s="1"/>
  <c r="AX62" i="5"/>
  <c r="AY62" i="5" s="1"/>
  <c r="AU400" i="5"/>
  <c r="AU32" i="5"/>
  <c r="AT48" i="5"/>
  <c r="AX48" i="5" s="1"/>
  <c r="AY48" i="5" s="1"/>
  <c r="AU363" i="5"/>
  <c r="AU138" i="5"/>
  <c r="AT306" i="5"/>
  <c r="AX306" i="5" s="1"/>
  <c r="AY306" i="5" s="1"/>
  <c r="AU245" i="5"/>
  <c r="AT145" i="5"/>
  <c r="AX144" i="5" s="1"/>
  <c r="AY144" i="5" s="1"/>
  <c r="AU421" i="5"/>
  <c r="AX20" i="5"/>
  <c r="AY20" i="5" s="1"/>
  <c r="AT113" i="5"/>
  <c r="AX113" i="5" s="1"/>
  <c r="AY113" i="5" s="1"/>
  <c r="AU552" i="5"/>
  <c r="AU55" i="5"/>
  <c r="AT222" i="5"/>
  <c r="AX222" i="5" s="1"/>
  <c r="AY222" i="5" s="1"/>
  <c r="AT366" i="5"/>
  <c r="AX365" i="5" s="1"/>
  <c r="AY365" i="5" s="1"/>
  <c r="AT36" i="5"/>
  <c r="AX35" i="5" s="1"/>
  <c r="AY35" i="5" s="1"/>
  <c r="AX116" i="5"/>
  <c r="AY116" i="5" s="1"/>
  <c r="AU309" i="5"/>
  <c r="AU336" i="5"/>
  <c r="AU416" i="5"/>
  <c r="AT140" i="5"/>
  <c r="AX139" i="5" s="1"/>
  <c r="AT295" i="5"/>
  <c r="AX294" i="5" s="1"/>
  <c r="AY294" i="5" s="1"/>
  <c r="AT302" i="5"/>
  <c r="AX302" i="5" s="1"/>
  <c r="AY302" i="5" s="1"/>
  <c r="AT90" i="5"/>
  <c r="AX90" i="5" s="1"/>
  <c r="AY90" i="5" s="1"/>
  <c r="AU353" i="5"/>
  <c r="AT178" i="5"/>
  <c r="AX177" i="5" s="1"/>
  <c r="AY177" i="5" s="1"/>
  <c r="AT378" i="5"/>
  <c r="AX378" i="5" s="1"/>
  <c r="AY378" i="5" s="1"/>
  <c r="AT475" i="5"/>
  <c r="AX475" i="5" s="1"/>
  <c r="AY475" i="5" s="1"/>
  <c r="AT462" i="5"/>
  <c r="AU517" i="5"/>
  <c r="AT344" i="5"/>
  <c r="AX343" i="5" s="1"/>
  <c r="AY343" i="5" s="1"/>
  <c r="AT94" i="5"/>
  <c r="AX94" i="5" s="1"/>
  <c r="AY94" i="5" s="1"/>
  <c r="AA135" i="4"/>
  <c r="AC135" i="4" s="1"/>
  <c r="AD135" i="4" s="1"/>
  <c r="AA125" i="4"/>
  <c r="AC125" i="4" s="1"/>
  <c r="AD125" i="4" s="1"/>
  <c r="AT158" i="5"/>
  <c r="AX158" i="5" s="1"/>
  <c r="AY158" i="5" s="1"/>
  <c r="AK125" i="4"/>
  <c r="AT259" i="5"/>
  <c r="AX258" i="5" s="1"/>
  <c r="AY258" i="5" s="1"/>
  <c r="AU438" i="5"/>
  <c r="AT119" i="5"/>
  <c r="AX118" i="5" s="1"/>
  <c r="AY118" i="5" s="1"/>
  <c r="AU394" i="5"/>
  <c r="AT155" i="5"/>
  <c r="AU504" i="5"/>
  <c r="AU193" i="5"/>
  <c r="AU270" i="5"/>
  <c r="AX46" i="5"/>
  <c r="AY46" i="5" s="1"/>
  <c r="AU385" i="5"/>
  <c r="AT194" i="5"/>
  <c r="AX193" i="5" s="1"/>
  <c r="AY193" i="5" s="1"/>
  <c r="AA39" i="4"/>
  <c r="AC39" i="4" s="1"/>
  <c r="AD39" i="4" s="1"/>
  <c r="AT428" i="5"/>
  <c r="AX427" i="5" s="1"/>
  <c r="AY427" i="5" s="1"/>
  <c r="AT556" i="5"/>
  <c r="AX556" i="5" s="1"/>
  <c r="AY556" i="5" s="1"/>
  <c r="AT494" i="5"/>
  <c r="AX494" i="5" s="1"/>
  <c r="AY494" i="5" s="1"/>
  <c r="AT76" i="5"/>
  <c r="AX76" i="5" s="1"/>
  <c r="AY76" i="5" s="1"/>
  <c r="AK39" i="4"/>
  <c r="AU502" i="5"/>
  <c r="AT404" i="5"/>
  <c r="AU541" i="5"/>
  <c r="AU46" i="5"/>
  <c r="AT244" i="5"/>
  <c r="AT383" i="5"/>
  <c r="AX382" i="5" s="1"/>
  <c r="AY382" i="5" s="1"/>
  <c r="AU440" i="5"/>
  <c r="AX53" i="5"/>
  <c r="AY53" i="5" s="1"/>
  <c r="AX54" i="5"/>
  <c r="AY54" i="5" s="1"/>
  <c r="AU425" i="5"/>
  <c r="AU126" i="5"/>
  <c r="AU106" i="5"/>
  <c r="AT174" i="5"/>
  <c r="AX173" i="5" s="1"/>
  <c r="AY173" i="5" s="1"/>
  <c r="AT335" i="5"/>
  <c r="AX335" i="5" s="1"/>
  <c r="AY335" i="5" s="1"/>
  <c r="AT111" i="5"/>
  <c r="AX111" i="5" s="1"/>
  <c r="AY111" i="5" s="1"/>
  <c r="AT277" i="5"/>
  <c r="AX277" i="5" s="1"/>
  <c r="AY277" i="5" s="1"/>
  <c r="AT325" i="5"/>
  <c r="AX324" i="5" s="1"/>
  <c r="AY324" i="5" s="1"/>
  <c r="AT67" i="5"/>
  <c r="AX67" i="5" s="1"/>
  <c r="AY67" i="5" s="1"/>
  <c r="AT210" i="5"/>
  <c r="AX209" i="5" s="1"/>
  <c r="AY209" i="5" s="1"/>
  <c r="AT310" i="5"/>
  <c r="AX309" i="5" s="1"/>
  <c r="AY309" i="5" s="1"/>
  <c r="AT555" i="5"/>
  <c r="AX122" i="5"/>
  <c r="AU50" i="5"/>
  <c r="AT402" i="5"/>
  <c r="AT551" i="5"/>
  <c r="AX551" i="5" s="1"/>
  <c r="AY551" i="5" s="1"/>
  <c r="AX80" i="5"/>
  <c r="AY80" i="5" s="1"/>
  <c r="AT318" i="5"/>
  <c r="AX318" i="5" s="1"/>
  <c r="AY318" i="5" s="1"/>
  <c r="AT12" i="5"/>
  <c r="AU476" i="5"/>
  <c r="AU122" i="5"/>
  <c r="AT354" i="5"/>
  <c r="AX353" i="5" s="1"/>
  <c r="AY353" i="5" s="1"/>
  <c r="AT60" i="5"/>
  <c r="AX59" i="5" s="1"/>
  <c r="AY59" i="5" s="1"/>
  <c r="AT452" i="5"/>
  <c r="AT120" i="5"/>
  <c r="AX120" i="5" s="1"/>
  <c r="AY120" i="5" s="1"/>
  <c r="AU116" i="5"/>
  <c r="AT104" i="5"/>
  <c r="AX103" i="5" s="1"/>
  <c r="AY103" i="5" s="1"/>
  <c r="AT150" i="5"/>
  <c r="AX150" i="5" s="1"/>
  <c r="AY150" i="5" s="1"/>
  <c r="AU533" i="5"/>
  <c r="AU369" i="5"/>
  <c r="AT403" i="5"/>
  <c r="AU163" i="5"/>
  <c r="AK22" i="4"/>
  <c r="AT217" i="5"/>
  <c r="AX216" i="5" s="1"/>
  <c r="AY216" i="5" s="1"/>
  <c r="AX240" i="5"/>
  <c r="AY240" i="5" s="1"/>
  <c r="AU25" i="5"/>
  <c r="AU453" i="5"/>
  <c r="AU198" i="5"/>
  <c r="AU384" i="5"/>
  <c r="AT231" i="5"/>
  <c r="AX231" i="5" s="1"/>
  <c r="AY231" i="5" s="1"/>
  <c r="AU505" i="5"/>
  <c r="AU77" i="5"/>
  <c r="AU350" i="5"/>
  <c r="AT263" i="5"/>
  <c r="AX262" i="5" s="1"/>
  <c r="AY262" i="5" s="1"/>
  <c r="AT239" i="5"/>
  <c r="AX239" i="5" s="1"/>
  <c r="AY239" i="5" s="1"/>
  <c r="AO125" i="4"/>
  <c r="AT411" i="5"/>
  <c r="AX411" i="5" s="1"/>
  <c r="AY411" i="5" s="1"/>
  <c r="AU398" i="5"/>
  <c r="AK135" i="4"/>
  <c r="AT110" i="5"/>
  <c r="AX109" i="5" s="1"/>
  <c r="AY109" i="5" s="1"/>
  <c r="AX73" i="5"/>
  <c r="AY73" i="5" s="1"/>
  <c r="AU420" i="5"/>
  <c r="AU285" i="5"/>
  <c r="AT501" i="5"/>
  <c r="AX500" i="5" s="1"/>
  <c r="AY500" i="5" s="1"/>
  <c r="AU114" i="5"/>
  <c r="AU44" i="5"/>
  <c r="AU73" i="5"/>
  <c r="AT220" i="5"/>
  <c r="AX219" i="5" s="1"/>
  <c r="AT82" i="5"/>
  <c r="AX81" i="5" s="1"/>
  <c r="AY81" i="5" s="1"/>
  <c r="AU406" i="5"/>
  <c r="AU24" i="5"/>
  <c r="AU548" i="5"/>
  <c r="AT236" i="5"/>
  <c r="AX236" i="5" s="1"/>
  <c r="AY236" i="5" s="1"/>
  <c r="AU128" i="5"/>
  <c r="AU468" i="5"/>
  <c r="AU387" i="5"/>
  <c r="AX143" i="5"/>
  <c r="AY143" i="5" s="1"/>
  <c r="AU115" i="5"/>
  <c r="AX202" i="5"/>
  <c r="AY202" i="5" s="1"/>
  <c r="AU437" i="5"/>
  <c r="AT513" i="5"/>
  <c r="AX512" i="5" s="1"/>
  <c r="AY512" i="5" s="1"/>
  <c r="AT377" i="5"/>
  <c r="AX127" i="5"/>
  <c r="AY127" i="5" s="1"/>
  <c r="AT441" i="5"/>
  <c r="AX440" i="5" s="1"/>
  <c r="AY440" i="5" s="1"/>
  <c r="AT492" i="5"/>
  <c r="AX491" i="5" s="1"/>
  <c r="AY491" i="5" s="1"/>
  <c r="AT168" i="5"/>
  <c r="AX168" i="5" s="1"/>
  <c r="AY168" i="5" s="1"/>
  <c r="AU19" i="5"/>
  <c r="AT410" i="5"/>
  <c r="AU375" i="5"/>
  <c r="AT558" i="5"/>
  <c r="AX557" i="5" s="1"/>
  <c r="AY557" i="5" s="1"/>
  <c r="AU204" i="5"/>
  <c r="AU314" i="5"/>
  <c r="AU240" i="5"/>
  <c r="AT228" i="5"/>
  <c r="AT229" i="5"/>
  <c r="AX229" i="5" s="1"/>
  <c r="AY229" i="5" s="1"/>
  <c r="AU320" i="5"/>
  <c r="AU560" i="5"/>
  <c r="AU153" i="5"/>
  <c r="AT99" i="5"/>
  <c r="AX99" i="5" s="1"/>
  <c r="AY99" i="5" s="1"/>
  <c r="AT157" i="5"/>
  <c r="AT238" i="5"/>
  <c r="AT405" i="5"/>
  <c r="AU108" i="5"/>
  <c r="AU143" i="5"/>
  <c r="AT134" i="5"/>
  <c r="AX134" i="5" s="1"/>
  <c r="AY134" i="5" s="1"/>
  <c r="AR68" i="4"/>
  <c r="AT68" i="4" s="1"/>
  <c r="AU218" i="5"/>
  <c r="AT496" i="5"/>
  <c r="AX495" i="5" s="1"/>
  <c r="AY495" i="5" s="1"/>
  <c r="AT27" i="5"/>
  <c r="AX26" i="5" s="1"/>
  <c r="AY26" i="5" s="1"/>
  <c r="AX72" i="5"/>
  <c r="AY72" i="5" s="1"/>
  <c r="AU293" i="5"/>
  <c r="AU472" i="5"/>
  <c r="AX19" i="5"/>
  <c r="AY19" i="5" s="1"/>
  <c r="AT132" i="5"/>
  <c r="AX132" i="5" s="1"/>
  <c r="AY132" i="5" s="1"/>
  <c r="F69" i="1"/>
  <c r="AT473" i="5"/>
  <c r="AX472" i="5" s="1"/>
  <c r="AY472" i="5" s="1"/>
  <c r="AU68" i="5"/>
  <c r="AT197" i="5"/>
  <c r="AX197" i="5" s="1"/>
  <c r="AY197" i="5" s="1"/>
  <c r="AT179" i="5"/>
  <c r="AX179" i="5" s="1"/>
  <c r="AY179" i="5" s="1"/>
  <c r="AX198" i="5"/>
  <c r="AY198" i="5" s="1"/>
  <c r="AX218" i="5"/>
  <c r="AT388" i="5"/>
  <c r="AX388" i="5" s="1"/>
  <c r="AY388" i="5" s="1"/>
  <c r="AT75" i="5"/>
  <c r="AX68" i="5"/>
  <c r="AY68" i="5" s="1"/>
  <c r="AU209" i="5"/>
  <c r="AT66" i="5"/>
  <c r="AX254" i="5"/>
  <c r="AY254" i="5" s="1"/>
  <c r="AX255" i="5"/>
  <c r="AY255" i="5" s="1"/>
  <c r="AT141" i="5"/>
  <c r="AX141" i="5" s="1"/>
  <c r="AY141" i="5" s="1"/>
  <c r="AU447" i="5"/>
  <c r="AU29" i="5"/>
  <c r="AU95" i="5"/>
  <c r="AA12" i="4"/>
  <c r="AC12" i="4" s="1"/>
  <c r="AD12" i="4" s="1"/>
  <c r="AU255" i="5"/>
  <c r="AT401" i="5"/>
  <c r="AU93" i="5"/>
  <c r="AT65" i="5"/>
  <c r="AT529" i="5"/>
  <c r="AU53" i="5"/>
  <c r="AT528" i="5"/>
  <c r="AU35" i="5"/>
  <c r="AU45" i="5"/>
  <c r="AU199" i="5"/>
  <c r="AU414" i="5"/>
  <c r="AU103" i="5"/>
  <c r="AX128" i="5"/>
  <c r="AY128" i="5" s="1"/>
  <c r="AX102" i="5"/>
  <c r="AY102" i="5" s="1"/>
  <c r="AT291" i="5"/>
  <c r="AX290" i="5" s="1"/>
  <c r="AY290" i="5" s="1"/>
  <c r="AX71" i="5"/>
  <c r="AY71" i="5" s="1"/>
  <c r="AX101" i="5"/>
  <c r="AY101" i="5" s="1"/>
  <c r="AT321" i="5"/>
  <c r="AX321" i="5" s="1"/>
  <c r="AY321" i="5" s="1"/>
  <c r="AU480" i="5"/>
  <c r="AU20" i="5"/>
  <c r="AU102" i="5"/>
  <c r="AX208" i="5"/>
  <c r="AY208" i="5" s="1"/>
  <c r="AT559" i="5"/>
  <c r="AX559" i="5" s="1"/>
  <c r="AY559" i="5" s="1"/>
  <c r="AX129" i="5"/>
  <c r="AY129" i="5" s="1"/>
  <c r="AU219" i="5"/>
  <c r="AU247" i="5"/>
  <c r="AU129" i="5"/>
  <c r="AT323" i="5"/>
  <c r="AX323" i="5" s="1"/>
  <c r="AY323" i="5" s="1"/>
  <c r="AT272" i="5"/>
  <c r="AX272" i="5" s="1"/>
  <c r="AY272" i="5" s="1"/>
  <c r="AF26" i="4"/>
  <c r="AK26" i="4"/>
  <c r="AA26" i="4"/>
  <c r="AC26" i="4" s="1"/>
  <c r="AD26" i="4" s="1"/>
  <c r="AT409" i="5"/>
  <c r="AX408" i="5" s="1"/>
  <c r="AY408" i="5" s="1"/>
  <c r="AA129" i="4"/>
  <c r="AC129" i="4" s="1"/>
  <c r="AD129" i="4" s="1"/>
  <c r="AR129" i="4" s="1"/>
  <c r="AT129" i="4" s="1"/>
  <c r="AA72" i="4"/>
  <c r="AC72" i="4" s="1"/>
  <c r="AD72" i="4" s="1"/>
  <c r="AR72" i="4" s="1"/>
  <c r="AT72" i="4" s="1"/>
  <c r="AK129" i="4"/>
  <c r="AT11" i="5"/>
  <c r="AU393" i="5"/>
  <c r="AU407" i="5"/>
  <c r="AU185" i="5"/>
  <c r="AA109" i="4"/>
  <c r="AC109" i="4" s="1"/>
  <c r="AD109" i="4" s="1"/>
  <c r="AK109" i="4"/>
  <c r="AA148" i="4"/>
  <c r="AC148" i="4" s="1"/>
  <c r="AD148" i="4" s="1"/>
  <c r="AU64" i="5"/>
  <c r="AU307" i="5"/>
  <c r="AK148" i="4"/>
  <c r="AK72" i="4"/>
  <c r="AU287" i="5"/>
  <c r="AO152" i="4"/>
  <c r="AR152" i="4" s="1"/>
  <c r="AT152" i="4" s="1"/>
  <c r="AK67" i="4"/>
  <c r="AJ67" i="4"/>
  <c r="AA133" i="4"/>
  <c r="AC133" i="4" s="1"/>
  <c r="AD133" i="4" s="1"/>
  <c r="AT340" i="5"/>
  <c r="AX339" i="5" s="1"/>
  <c r="AY339" i="5" s="1"/>
  <c r="AA79" i="4"/>
  <c r="AC79" i="4" s="1"/>
  <c r="AD79" i="4" s="1"/>
  <c r="AJ152" i="4"/>
  <c r="AR108" i="4"/>
  <c r="AT108" i="4" s="1"/>
  <c r="AT10" i="5"/>
  <c r="AT249" i="5"/>
  <c r="AO67" i="4"/>
  <c r="AR67" i="4" s="1"/>
  <c r="AT67" i="4" s="1"/>
  <c r="AK79" i="4"/>
  <c r="AK133" i="4"/>
  <c r="AF133" i="4"/>
  <c r="AG133" i="4" s="1"/>
  <c r="AI133" i="4" s="1"/>
  <c r="AK152" i="4"/>
  <c r="AU230" i="5"/>
  <c r="AU346" i="5"/>
  <c r="AT299" i="5"/>
  <c r="AX299" i="5" s="1"/>
  <c r="AY299" i="5" s="1"/>
  <c r="AA132" i="4"/>
  <c r="AC132" i="4" s="1"/>
  <c r="AD132" i="4" s="1"/>
  <c r="AJ132" i="4"/>
  <c r="AK132" i="4"/>
  <c r="AO105" i="4"/>
  <c r="AG105" i="4"/>
  <c r="AI105" i="4" s="1"/>
  <c r="AF101" i="4"/>
  <c r="AA101" i="4"/>
  <c r="AC101" i="4" s="1"/>
  <c r="AD101" i="4" s="1"/>
  <c r="AK101" i="4"/>
  <c r="AF21" i="4"/>
  <c r="AA21" i="4"/>
  <c r="AC21" i="4" s="1"/>
  <c r="AD21" i="4" s="1"/>
  <c r="AK21" i="4"/>
  <c r="AF24" i="4"/>
  <c r="AK24" i="4"/>
  <c r="AR81" i="4"/>
  <c r="AT81" i="4" s="1"/>
  <c r="AF10" i="4"/>
  <c r="AA10" i="4"/>
  <c r="AC10" i="4" s="1"/>
  <c r="AD10" i="4" s="1"/>
  <c r="AK10" i="4"/>
  <c r="AG140" i="4"/>
  <c r="AI140" i="4" s="1"/>
  <c r="AO140" i="4"/>
  <c r="AO132" i="4"/>
  <c r="AG132" i="4"/>
  <c r="AI132" i="4" s="1"/>
  <c r="AA62" i="4"/>
  <c r="AC62" i="4" s="1"/>
  <c r="AD62" i="4" s="1"/>
  <c r="AF62" i="4"/>
  <c r="AK62" i="4"/>
  <c r="AJ144" i="4"/>
  <c r="Z155" i="4"/>
  <c r="AF155" i="4" s="1"/>
  <c r="Z144" i="4"/>
  <c r="AF144" i="4" s="1"/>
  <c r="AJ155" i="4"/>
  <c r="AF59" i="4"/>
  <c r="AK59" i="4"/>
  <c r="AA59" i="4"/>
  <c r="AC59" i="4" s="1"/>
  <c r="AD59" i="4" s="1"/>
  <c r="AG79" i="4"/>
  <c r="AI79" i="4" s="1"/>
  <c r="AO79" i="4"/>
  <c r="AA94" i="4"/>
  <c r="AC94" i="4" s="1"/>
  <c r="AD94" i="4" s="1"/>
  <c r="AJ94" i="4"/>
  <c r="AF83" i="4"/>
  <c r="AA83" i="4"/>
  <c r="AC83" i="4" s="1"/>
  <c r="AD83" i="4" s="1"/>
  <c r="AK83" i="4"/>
  <c r="AU8" i="5"/>
  <c r="AJ130" i="4"/>
  <c r="Z141" i="4"/>
  <c r="AA141" i="4" s="1"/>
  <c r="AC141" i="4" s="1"/>
  <c r="AD141" i="4" s="1"/>
  <c r="AF94" i="4"/>
  <c r="AK94" i="4"/>
  <c r="AA24" i="4"/>
  <c r="AC24" i="4" s="1"/>
  <c r="AD24" i="4" s="1"/>
  <c r="AJ24" i="4"/>
  <c r="AF58" i="4"/>
  <c r="AA58" i="4"/>
  <c r="AC58" i="4" s="1"/>
  <c r="AD58" i="4" s="1"/>
  <c r="AK58" i="4"/>
  <c r="Z130" i="4"/>
  <c r="AF130" i="4" s="1"/>
  <c r="AF34" i="4"/>
  <c r="AK34" i="4"/>
  <c r="AA34" i="4"/>
  <c r="AC34" i="4" s="1"/>
  <c r="AD34" i="4" s="1"/>
  <c r="AR75" i="4"/>
  <c r="AT75" i="4" s="1"/>
  <c r="AT292" i="5"/>
  <c r="AU391" i="5"/>
  <c r="AT235" i="5"/>
  <c r="AG76" i="4"/>
  <c r="AI76" i="4" s="1"/>
  <c r="AO76" i="4"/>
  <c r="AU162" i="5"/>
  <c r="AG84" i="4"/>
  <c r="AI84" i="4" s="1"/>
  <c r="AO84" i="4"/>
  <c r="AU169" i="5"/>
  <c r="AR143" i="4"/>
  <c r="AT143" i="4" s="1"/>
  <c r="AR103" i="4"/>
  <c r="AT103" i="4" s="1"/>
  <c r="AT487" i="5"/>
  <c r="AX487" i="5" s="1"/>
  <c r="AY487" i="5" s="1"/>
  <c r="AR85" i="4"/>
  <c r="AT85" i="4" s="1"/>
  <c r="AU412" i="5"/>
  <c r="AT458" i="5"/>
  <c r="AX458" i="5" s="1"/>
  <c r="AY458" i="5" s="1"/>
  <c r="AT550" i="5"/>
  <c r="AT233" i="5"/>
  <c r="AX232" i="5" s="1"/>
  <c r="AY232" i="5" s="1"/>
  <c r="AU364" i="5"/>
  <c r="AG120" i="4"/>
  <c r="AI120" i="4" s="1"/>
  <c r="AR120" i="4" s="1"/>
  <c r="AT120" i="4" s="1"/>
  <c r="AT549" i="5"/>
  <c r="AX548" i="5" s="1"/>
  <c r="AY548" i="5" s="1"/>
  <c r="AU328" i="5"/>
  <c r="AU396" i="5"/>
  <c r="AU457" i="5"/>
  <c r="AT547" i="5"/>
  <c r="AX547" i="5" s="1"/>
  <c r="AY547" i="5" s="1"/>
  <c r="AT326" i="5"/>
  <c r="AX326" i="5" s="1"/>
  <c r="AY326" i="5" s="1"/>
  <c r="AT52" i="5"/>
  <c r="AX52" i="5" s="1"/>
  <c r="AY52" i="5" s="1"/>
  <c r="AT196" i="5"/>
  <c r="AT207" i="5"/>
  <c r="AX206" i="5" s="1"/>
  <c r="AY206" i="5" s="1"/>
  <c r="AT545" i="5"/>
  <c r="AX544" i="5" s="1"/>
  <c r="AY544" i="5" s="1"/>
  <c r="AT430" i="5"/>
  <c r="AX429" i="5" s="1"/>
  <c r="AY429" i="5" s="1"/>
  <c r="AU315" i="5"/>
  <c r="AU47" i="5"/>
  <c r="AU92" i="5"/>
  <c r="AT423" i="5"/>
  <c r="AX423" i="5" s="1"/>
  <c r="AY423" i="5" s="1"/>
  <c r="AT527" i="5"/>
  <c r="AT443" i="5"/>
  <c r="AU271" i="5"/>
  <c r="AT510" i="5"/>
  <c r="AX509" i="5" s="1"/>
  <c r="AY509" i="5" s="1"/>
  <c r="AU225" i="5"/>
  <c r="AT352" i="5"/>
  <c r="AX351" i="5" s="1"/>
  <c r="AY351" i="5" s="1"/>
  <c r="AU79" i="5"/>
  <c r="AU418" i="5"/>
  <c r="AU139" i="5"/>
  <c r="AU539" i="5"/>
  <c r="AT535" i="5"/>
  <c r="AX535" i="5" s="1"/>
  <c r="AY535" i="5" s="1"/>
  <c r="AT191" i="5"/>
  <c r="AX191" i="5" s="1"/>
  <c r="AY191" i="5" s="1"/>
  <c r="AT56" i="5"/>
  <c r="AX56" i="5" s="1"/>
  <c r="AY56" i="5" s="1"/>
  <c r="AT497" i="5"/>
  <c r="AU57" i="5"/>
  <c r="AU490" i="5"/>
  <c r="AT419" i="5"/>
  <c r="AX418" i="5" s="1"/>
  <c r="AU98" i="5"/>
  <c r="AT96" i="5"/>
  <c r="AX96" i="5" s="1"/>
  <c r="AY96" i="5" s="1"/>
  <c r="AX347" i="5"/>
  <c r="AY347" i="5" s="1"/>
  <c r="AT542" i="5"/>
  <c r="AX542" i="5" s="1"/>
  <c r="AY542" i="5" s="1"/>
  <c r="AT154" i="5"/>
  <c r="AX153" i="5" s="1"/>
  <c r="AY153" i="5" s="1"/>
  <c r="AU84" i="5"/>
  <c r="AT172" i="5"/>
  <c r="AX172" i="5" s="1"/>
  <c r="AY172" i="5" s="1"/>
  <c r="AT358" i="5"/>
  <c r="AX358" i="5" s="1"/>
  <c r="AY358" i="5" s="1"/>
  <c r="AT124" i="5"/>
  <c r="AX123" i="5" s="1"/>
  <c r="AY123" i="5" s="1"/>
  <c r="AX384" i="5"/>
  <c r="AY384" i="5" s="1"/>
  <c r="AT164" i="5"/>
  <c r="AX163" i="5" s="1"/>
  <c r="AY163" i="5" s="1"/>
  <c r="AX425" i="5"/>
  <c r="AY425" i="5" s="1"/>
  <c r="AU503" i="5"/>
  <c r="AU330" i="5"/>
  <c r="AU211" i="5"/>
  <c r="AU322" i="5"/>
  <c r="AU281" i="5"/>
  <c r="AT61" i="5"/>
  <c r="AU435" i="5"/>
  <c r="AT227" i="5"/>
  <c r="AX226" i="5" s="1"/>
  <c r="AY226" i="5" s="1"/>
  <c r="AT526" i="5"/>
  <c r="AU224" i="5"/>
  <c r="AU39" i="5"/>
  <c r="AT28" i="5"/>
  <c r="AX28" i="5" s="1"/>
  <c r="AY28" i="5" s="1"/>
  <c r="AT519" i="5"/>
  <c r="AT357" i="5"/>
  <c r="AX356" i="5" s="1"/>
  <c r="AY356" i="5" s="1"/>
  <c r="AT107" i="5"/>
  <c r="AX107" i="5" s="1"/>
  <c r="AY107" i="5" s="1"/>
  <c r="AX135" i="5"/>
  <c r="AY135" i="5" s="1"/>
  <c r="AU493" i="5"/>
  <c r="AU177" i="5"/>
  <c r="AU131" i="5"/>
  <c r="AT51" i="5"/>
  <c r="AT246" i="5"/>
  <c r="AX245" i="5" s="1"/>
  <c r="AY245" i="5" s="1"/>
  <c r="AT442" i="5"/>
  <c r="AX479" i="5"/>
  <c r="AY479" i="5" s="1"/>
  <c r="AX552" i="5"/>
  <c r="AY552" i="5" s="1"/>
  <c r="AX456" i="5"/>
  <c r="AY456" i="5" s="1"/>
  <c r="AX159" i="5"/>
  <c r="AY159" i="5" s="1"/>
  <c r="AT89" i="5"/>
  <c r="AX286" i="5"/>
  <c r="AY286" i="5" s="1"/>
  <c r="AT516" i="5"/>
  <c r="AX515" i="5" s="1"/>
  <c r="AY515" i="5" s="1"/>
  <c r="AT41" i="5"/>
  <c r="AU71" i="5"/>
  <c r="AT367" i="5"/>
  <c r="AX367" i="5" s="1"/>
  <c r="AY367" i="5" s="1"/>
  <c r="AU86" i="5"/>
  <c r="AT190" i="5"/>
  <c r="AT152" i="5"/>
  <c r="AX151" i="5" s="1"/>
  <c r="AY151" i="5" s="1"/>
  <c r="AU273" i="5"/>
  <c r="AU439" i="5"/>
  <c r="AX311" i="5"/>
  <c r="AY311" i="5" s="1"/>
  <c r="AT88" i="5"/>
  <c r="AX87" i="5" s="1"/>
  <c r="AY87" i="5" s="1"/>
  <c r="AX407" i="5"/>
  <c r="AX328" i="5"/>
  <c r="AY328" i="5" s="1"/>
  <c r="AT156" i="5"/>
  <c r="AU195" i="5"/>
  <c r="AX349" i="5"/>
  <c r="AY349" i="5" s="1"/>
  <c r="AU368" i="5"/>
  <c r="B123" i="2"/>
  <c r="H29" i="1" s="1"/>
  <c r="AU355" i="5"/>
  <c r="AT334" i="5"/>
  <c r="AX333" i="5" s="1"/>
  <c r="AY333" i="5" s="1"/>
  <c r="AU276" i="5"/>
  <c r="AT30" i="5"/>
  <c r="AX30" i="5" s="1"/>
  <c r="AY30" i="5" s="1"/>
  <c r="AX523" i="5"/>
  <c r="AY523" i="5" s="1"/>
  <c r="AX169" i="5"/>
  <c r="AY169" i="5" s="1"/>
  <c r="AT415" i="5"/>
  <c r="AX415" i="5" s="1"/>
  <c r="AY415" i="5" s="1"/>
  <c r="AT531" i="5"/>
  <c r="AX531" i="5" s="1"/>
  <c r="AY531" i="5" s="1"/>
  <c r="AX503" i="5"/>
  <c r="AY503" i="5" s="1"/>
  <c r="AT431" i="5"/>
  <c r="AX431" i="5" s="1"/>
  <c r="AY431" i="5" s="1"/>
  <c r="AU372" i="5"/>
  <c r="AT242" i="5"/>
  <c r="AX241" i="5" s="1"/>
  <c r="AY241" i="5" s="1"/>
  <c r="AU389" i="5"/>
  <c r="AR97" i="4"/>
  <c r="AT97" i="4" s="1"/>
  <c r="AR45" i="4"/>
  <c r="AT45" i="4" s="1"/>
  <c r="AX488" i="5"/>
  <c r="AY488" i="5" s="1"/>
  <c r="AU250" i="5"/>
  <c r="AX520" i="5"/>
  <c r="AY520" i="5" s="1"/>
  <c r="AX251" i="5"/>
  <c r="AY251" i="5" s="1"/>
  <c r="AX368" i="5"/>
  <c r="AY368" i="5" s="1"/>
  <c r="AU507" i="5"/>
  <c r="AU474" i="5"/>
  <c r="AX449" i="5"/>
  <c r="AY449" i="5" s="1"/>
  <c r="AO32" i="4"/>
  <c r="AR32" i="4" s="1"/>
  <c r="AT32" i="4" s="1"/>
  <c r="AR17" i="4"/>
  <c r="AT17" i="4" s="1"/>
  <c r="AX350" i="5"/>
  <c r="AY350" i="5" s="1"/>
  <c r="AX392" i="5"/>
  <c r="AY392" i="5" s="1"/>
  <c r="AX34" i="5"/>
  <c r="AY34" i="5" s="1"/>
  <c r="AR123" i="4"/>
  <c r="AT123" i="4" s="1"/>
  <c r="AR111" i="4"/>
  <c r="AT111" i="4" s="1"/>
  <c r="AX180" i="5"/>
  <c r="AY180" i="5" s="1"/>
  <c r="AX287" i="5"/>
  <c r="AX505" i="5"/>
  <c r="AY505" i="5" s="1"/>
  <c r="AX434" i="5"/>
  <c r="AY434" i="5" s="1"/>
  <c r="AO95" i="4"/>
  <c r="AG95" i="4"/>
  <c r="AI95" i="4" s="1"/>
  <c r="AO116" i="4"/>
  <c r="AG116" i="4"/>
  <c r="AI116" i="4" s="1"/>
  <c r="AG35" i="4"/>
  <c r="AI35" i="4" s="1"/>
  <c r="AO35" i="4"/>
  <c r="AG134" i="4"/>
  <c r="AI134" i="4" s="1"/>
  <c r="AO134" i="4"/>
  <c r="AG69" i="4"/>
  <c r="AI69" i="4" s="1"/>
  <c r="AO69" i="4"/>
  <c r="AG20" i="4"/>
  <c r="AI20" i="4" s="1"/>
  <c r="AO20" i="4"/>
  <c r="AG38" i="4"/>
  <c r="AI38" i="4" s="1"/>
  <c r="AO38" i="4"/>
  <c r="AO126" i="4"/>
  <c r="AG126" i="4"/>
  <c r="AI126" i="4" s="1"/>
  <c r="AR70" i="4"/>
  <c r="AT70" i="4" s="1"/>
  <c r="AG23" i="4"/>
  <c r="AI23" i="4" s="1"/>
  <c r="AO23" i="4"/>
  <c r="AO127" i="4"/>
  <c r="AG109" i="4"/>
  <c r="AI109" i="4" s="1"/>
  <c r="AO109" i="4"/>
  <c r="AO100" i="4"/>
  <c r="AG100" i="4"/>
  <c r="AI100" i="4" s="1"/>
  <c r="AO64" i="4"/>
  <c r="AG64" i="4"/>
  <c r="AI64" i="4" s="1"/>
  <c r="AR44" i="4"/>
  <c r="AT44" i="4" s="1"/>
  <c r="AG8" i="4"/>
  <c r="AI8" i="4" s="1"/>
  <c r="AO8" i="4"/>
  <c r="AO128" i="4"/>
  <c r="AG128" i="4"/>
  <c r="AI128" i="4" s="1"/>
  <c r="AG150" i="4"/>
  <c r="AI150" i="4" s="1"/>
  <c r="AO150" i="4"/>
  <c r="AG86" i="4"/>
  <c r="AI86" i="4" s="1"/>
  <c r="AO86" i="4"/>
  <c r="AG77" i="4"/>
  <c r="AI77" i="4" s="1"/>
  <c r="AO77" i="4"/>
  <c r="AO47" i="4"/>
  <c r="AG47" i="4"/>
  <c r="AI47" i="4" s="1"/>
  <c r="AG93" i="4"/>
  <c r="AI93" i="4" s="1"/>
  <c r="AO93" i="4"/>
  <c r="AG148" i="4"/>
  <c r="AI148" i="4" s="1"/>
  <c r="AO148" i="4"/>
  <c r="AX338" i="5"/>
  <c r="AY338" i="5" s="1"/>
  <c r="AO135" i="4"/>
  <c r="AG135" i="4"/>
  <c r="AI135" i="4" s="1"/>
  <c r="AO14" i="4"/>
  <c r="AG14" i="4"/>
  <c r="AI14" i="4" s="1"/>
  <c r="AO157" i="4"/>
  <c r="AG157" i="4"/>
  <c r="AI157" i="4" s="1"/>
  <c r="AO137" i="4"/>
  <c r="AG137" i="4"/>
  <c r="AI137" i="4" s="1"/>
  <c r="AO63" i="4"/>
  <c r="AG63" i="4"/>
  <c r="AI63" i="4" s="1"/>
  <c r="AO39" i="4"/>
  <c r="AG39" i="4"/>
  <c r="AI39" i="4" s="1"/>
  <c r="AO52" i="4"/>
  <c r="AG52" i="4"/>
  <c r="AI52" i="4" s="1"/>
  <c r="AT9" i="5"/>
  <c r="AU9" i="5"/>
  <c r="AX341" i="5"/>
  <c r="AY341" i="5" s="1"/>
  <c r="AX86" i="5"/>
  <c r="AY86" i="5" s="1"/>
  <c r="AX498" i="5"/>
  <c r="AY498" i="5" s="1"/>
  <c r="AX314" i="5"/>
  <c r="AY314" i="5" s="1"/>
  <c r="AX264" i="5"/>
  <c r="AY264" i="5" s="1"/>
  <c r="AX224" i="5"/>
  <c r="AY224" i="5" s="1"/>
  <c r="AX183" i="5"/>
  <c r="AY183" i="5" s="1"/>
  <c r="AX464" i="5"/>
  <c r="AY464" i="5" s="1"/>
  <c r="AX84" i="5"/>
  <c r="AY84" i="5" s="1"/>
  <c r="AX39" i="5"/>
  <c r="AY39" i="5" s="1"/>
  <c r="AX447" i="5"/>
  <c r="AY447" i="5" s="1"/>
  <c r="AX33" i="5"/>
  <c r="AY33" i="5" s="1"/>
  <c r="AX362" i="5"/>
  <c r="AY362" i="5" s="1"/>
  <c r="AR114" i="4"/>
  <c r="AT114" i="4" s="1"/>
  <c r="AX355" i="5"/>
  <c r="AY355" i="5" s="1"/>
  <c r="AX279" i="5"/>
  <c r="AY279" i="5" s="1"/>
  <c r="AX160" i="5"/>
  <c r="AY160" i="5" s="1"/>
  <c r="AX260" i="5"/>
  <c r="AY260" i="5" s="1"/>
  <c r="AX435" i="5"/>
  <c r="AY435" i="5" s="1"/>
  <c r="AX369" i="5"/>
  <c r="AY369" i="5" s="1"/>
  <c r="AX188" i="5"/>
  <c r="AY188" i="5" s="1"/>
  <c r="AX252" i="5"/>
  <c r="AY252" i="5" s="1"/>
  <c r="AX199" i="5"/>
  <c r="AY199" i="5" s="1"/>
  <c r="AX329" i="5"/>
  <c r="AY329" i="5" s="1"/>
  <c r="AX274" i="5"/>
  <c r="AY274" i="5" s="1"/>
  <c r="AX165" i="5"/>
  <c r="AY165" i="5" s="1"/>
  <c r="AX283" i="5"/>
  <c r="AX481" i="5"/>
  <c r="AY481" i="5" s="1"/>
  <c r="AX395" i="5"/>
  <c r="AY395" i="5" s="1"/>
  <c r="AX364" i="5"/>
  <c r="AY364" i="5" s="1"/>
  <c r="AX137" i="5"/>
  <c r="AY137" i="5" s="1"/>
  <c r="AX424" i="5"/>
  <c r="AY424" i="5" s="1"/>
  <c r="AX79" i="5"/>
  <c r="AY79" i="5" s="1"/>
  <c r="AX379" i="5"/>
  <c r="AY379" i="5" s="1"/>
  <c r="AX432" i="5"/>
  <c r="AY432" i="5" s="1"/>
  <c r="AX269" i="5"/>
  <c r="AY269" i="5" s="1"/>
  <c r="AX211" i="5"/>
  <c r="AY211" i="5" s="1"/>
  <c r="AX489" i="5"/>
  <c r="AY489" i="5" s="1"/>
  <c r="AX85" i="5"/>
  <c r="AY85" i="5" s="1"/>
  <c r="AX25" i="5"/>
  <c r="AY25" i="5" s="1"/>
  <c r="AX288" i="5"/>
  <c r="AY288" i="5" s="1"/>
  <c r="AX265" i="5"/>
  <c r="AY265" i="5" s="1"/>
  <c r="AX372" i="5"/>
  <c r="AY372" i="5" s="1"/>
  <c r="AX303" i="5"/>
  <c r="AY303" i="5" s="1"/>
  <c r="AX342" i="5"/>
  <c r="AY342" i="5" s="1"/>
  <c r="AX43" i="5"/>
  <c r="AY43" i="5" s="1"/>
  <c r="AX146" i="5"/>
  <c r="AY146" i="5" s="1"/>
  <c r="AX270" i="5"/>
  <c r="AY270" i="5" s="1"/>
  <c r="AX176" i="5"/>
  <c r="AY176" i="5" s="1"/>
  <c r="AX187" i="5"/>
  <c r="AY187" i="5" s="1"/>
  <c r="AX398" i="5"/>
  <c r="AY398" i="5" s="1"/>
  <c r="AX421" i="5"/>
  <c r="AY421" i="5" s="1"/>
  <c r="AX337" i="5"/>
  <c r="AY337" i="5" s="1"/>
  <c r="AX345" i="5"/>
  <c r="AY345" i="5" s="1"/>
  <c r="AX223" i="5"/>
  <c r="AY223" i="5" s="1"/>
  <c r="AX413" i="5"/>
  <c r="AY413" i="5" s="1"/>
  <c r="AX380" i="5"/>
  <c r="AY380" i="5" s="1"/>
  <c r="AX386" i="5"/>
  <c r="AY386" i="5" s="1"/>
  <c r="AX130" i="5"/>
  <c r="AY130" i="5" s="1"/>
  <c r="AX63" i="5"/>
  <c r="AY63" i="5" s="1"/>
  <c r="AX331" i="5"/>
  <c r="AY331" i="5" s="1"/>
  <c r="AX261" i="5"/>
  <c r="AY261" i="5" s="1"/>
  <c r="AX205" i="5"/>
  <c r="AX426" i="5"/>
  <c r="AY426" i="5" s="1"/>
  <c r="AX511" i="5"/>
  <c r="AY511" i="5" s="1"/>
  <c r="AX161" i="5"/>
  <c r="AY161" i="5" s="1"/>
  <c r="AX282" i="5"/>
  <c r="AY282" i="5" s="1"/>
  <c r="AX438" i="5"/>
  <c r="AY438" i="5" s="1"/>
  <c r="AX37" i="5"/>
  <c r="AY37" i="5" s="1"/>
  <c r="AX273" i="5"/>
  <c r="AY273" i="5" s="1"/>
  <c r="AX83" i="5"/>
  <c r="AY83" i="5" s="1"/>
  <c r="AR92" i="4"/>
  <c r="AT92" i="4" s="1"/>
  <c r="AR121" i="4"/>
  <c r="AT121" i="4" s="1"/>
  <c r="AR156" i="4"/>
  <c r="AT156" i="4" s="1"/>
  <c r="AR50" i="4"/>
  <c r="AT50" i="4" s="1"/>
  <c r="AR29" i="4"/>
  <c r="AT29" i="4" s="1"/>
  <c r="AR138" i="4"/>
  <c r="AT138" i="4" s="1"/>
  <c r="AR104" i="4"/>
  <c r="AT104" i="4" s="1"/>
  <c r="AR147" i="4"/>
  <c r="AT147" i="4" s="1"/>
  <c r="AR51" i="4"/>
  <c r="AT51" i="4" s="1"/>
  <c r="AR122" i="4"/>
  <c r="AT122" i="4" s="1"/>
  <c r="AR65" i="4"/>
  <c r="AT65" i="4" s="1"/>
  <c r="AR124" i="4"/>
  <c r="AT124" i="4" s="1"/>
  <c r="AR88" i="4"/>
  <c r="AT88" i="4" s="1"/>
  <c r="AR90" i="4"/>
  <c r="AT90" i="4" s="1"/>
  <c r="AR11" i="4"/>
  <c r="AT11" i="4" s="1"/>
  <c r="AR146" i="4"/>
  <c r="AT146" i="4" s="1"/>
  <c r="AR33" i="4"/>
  <c r="AT33" i="4" s="1"/>
  <c r="AR131" i="4"/>
  <c r="AT131" i="4" s="1"/>
  <c r="AX394" i="5"/>
  <c r="AY394" i="5" s="1"/>
  <c r="AX166" i="5"/>
  <c r="AY166" i="5" s="1"/>
  <c r="AT13" i="5"/>
  <c r="AU13" i="5"/>
  <c r="AX436" i="5"/>
  <c r="AY436" i="5" s="1"/>
  <c r="AX44" i="5"/>
  <c r="AY44" i="5" s="1"/>
  <c r="AX92" i="5"/>
  <c r="AY92" i="5" s="1"/>
  <c r="AX381" i="5"/>
  <c r="AY381" i="5" s="1"/>
  <c r="AX215" i="5"/>
  <c r="AY215" i="5" s="1"/>
  <c r="AR28" i="4"/>
  <c r="AT28" i="4" s="1"/>
  <c r="AX280" i="5"/>
  <c r="AY280" i="5" s="1"/>
  <c r="AX125" i="5"/>
  <c r="AY125" i="5" s="1"/>
  <c r="AX476" i="5"/>
  <c r="AY476" i="5" s="1"/>
  <c r="AO91" i="4"/>
  <c r="AG91" i="4"/>
  <c r="AI91" i="4" s="1"/>
  <c r="AX225" i="5"/>
  <c r="AY225" i="5" s="1"/>
  <c r="AX24" i="5"/>
  <c r="AY24" i="5" s="1"/>
  <c r="AX448" i="5"/>
  <c r="AY448" i="5" s="1"/>
  <c r="AR80" i="4"/>
  <c r="AT80" i="4" s="1"/>
  <c r="AX256" i="5"/>
  <c r="AY256" i="5" s="1"/>
  <c r="AX275" i="5"/>
  <c r="AY275" i="5" s="1"/>
  <c r="AX32" i="5"/>
  <c r="AY32" i="5" s="1"/>
  <c r="AX504" i="5"/>
  <c r="AY504" i="5" s="1"/>
  <c r="AX319" i="5"/>
  <c r="AY319" i="5" s="1"/>
  <c r="AX393" i="5"/>
  <c r="AY393" i="5" s="1"/>
  <c r="AX467" i="5"/>
  <c r="AY467" i="5" s="1"/>
  <c r="F70" i="1"/>
  <c r="B231" i="2"/>
  <c r="F71" i="1" s="1"/>
  <c r="AX385" i="5"/>
  <c r="AY385" i="5" s="1"/>
  <c r="AX506" i="5"/>
  <c r="AY506" i="5" s="1"/>
  <c r="AX417" i="5"/>
  <c r="AY417" i="5" s="1"/>
  <c r="AX70" i="5"/>
  <c r="AY70" i="5" s="1"/>
  <c r="AR99" i="4"/>
  <c r="AT99" i="4" s="1"/>
  <c r="AX538" i="5"/>
  <c r="AY538" i="5" s="1"/>
  <c r="AX22" i="5"/>
  <c r="AY22" i="5" s="1"/>
  <c r="AX396" i="5"/>
  <c r="AX348" i="5"/>
  <c r="AY348" i="5" s="1"/>
  <c r="AX420" i="5"/>
  <c r="AY420" i="5" s="1"/>
  <c r="AX117" i="5"/>
  <c r="AY117" i="5" s="1"/>
  <c r="AX433" i="5"/>
  <c r="AY433" i="5" s="1"/>
  <c r="AX371" i="5"/>
  <c r="AY371" i="5" s="1"/>
  <c r="AX484" i="5"/>
  <c r="AY484" i="5" s="1"/>
  <c r="AX553" i="5"/>
  <c r="AY553" i="5" s="1"/>
  <c r="AX471" i="5"/>
  <c r="AY471" i="5" s="1"/>
  <c r="AX203" i="5"/>
  <c r="AY203" i="5" s="1"/>
  <c r="AX204" i="5"/>
  <c r="AY204" i="5" s="1"/>
  <c r="AX480" i="5"/>
  <c r="AY480" i="5" s="1"/>
  <c r="AX453" i="5"/>
  <c r="AY453" i="5" s="1"/>
  <c r="AR107" i="4"/>
  <c r="AT107" i="4" s="1"/>
  <c r="AX138" i="5"/>
  <c r="AY138" i="5" s="1"/>
  <c r="AX439" i="5"/>
  <c r="AY439" i="5" s="1"/>
  <c r="AX108" i="5"/>
  <c r="AY108" i="5" s="1"/>
  <c r="AR16" i="4"/>
  <c r="AT16" i="4" s="1"/>
  <c r="AX304" i="5"/>
  <c r="AY304" i="5" s="1"/>
  <c r="AX532" i="5"/>
  <c r="AY532" i="5" s="1"/>
  <c r="AX370" i="5"/>
  <c r="AY370" i="5" s="1"/>
  <c r="AR55" i="4"/>
  <c r="AT55" i="4" s="1"/>
  <c r="AR115" i="4"/>
  <c r="AT115" i="4" s="1"/>
  <c r="AR42" i="4"/>
  <c r="AT42" i="4" s="1"/>
  <c r="AX121" i="5"/>
  <c r="AY121" i="5" s="1"/>
  <c r="AX289" i="5"/>
  <c r="AY289" i="5" s="1"/>
  <c r="AX490" i="5"/>
  <c r="AY490" i="5" s="1"/>
  <c r="AX297" i="5"/>
  <c r="AY297" i="5" s="1"/>
  <c r="AX459" i="5"/>
  <c r="AY459" i="5" s="1"/>
  <c r="AX514" i="5"/>
  <c r="AY514" i="5" s="1"/>
  <c r="AX136" i="5"/>
  <c r="AY136" i="5" s="1"/>
  <c r="AR60" i="4"/>
  <c r="AT60" i="4" s="1"/>
  <c r="AX397" i="5"/>
  <c r="AY397" i="5" s="1"/>
  <c r="AX543" i="5"/>
  <c r="AY543" i="5" s="1"/>
  <c r="AX100" i="5"/>
  <c r="AY100" i="5" s="1"/>
  <c r="AX346" i="5"/>
  <c r="AY346" i="5" s="1"/>
  <c r="AX460" i="5"/>
  <c r="AY460" i="5" s="1"/>
  <c r="AO73" i="4"/>
  <c r="AG73" i="4"/>
  <c r="AI73" i="4" s="1"/>
  <c r="AX69" i="5"/>
  <c r="AY69" i="5" s="1"/>
  <c r="AX416" i="5"/>
  <c r="AX268" i="5"/>
  <c r="AY268" i="5" s="1"/>
  <c r="AX399" i="5"/>
  <c r="AY399" i="5" s="1"/>
  <c r="AX281" i="5"/>
  <c r="AY281" i="5" s="1"/>
  <c r="AX330" i="5"/>
  <c r="AY330" i="5" s="1"/>
  <c r="AX192" i="5"/>
  <c r="AY192" i="5" s="1"/>
  <c r="AX126" i="5"/>
  <c r="AY126" i="5" s="1"/>
  <c r="AX162" i="5"/>
  <c r="AY162" i="5" s="1"/>
  <c r="AX170" i="5"/>
  <c r="AY170" i="5" s="1"/>
  <c r="AX336" i="5"/>
  <c r="AY336" i="5" s="1"/>
  <c r="AX293" i="5"/>
  <c r="AY293" i="5" s="1"/>
  <c r="AR117" i="4"/>
  <c r="AT117" i="4" s="1"/>
  <c r="AX91" i="5"/>
  <c r="AY91" i="5" s="1"/>
  <c r="AR119" i="4"/>
  <c r="AT119" i="4" s="1"/>
  <c r="AX437" i="5"/>
  <c r="AY437" i="5" s="1"/>
  <c r="AR56" i="4"/>
  <c r="AT56" i="4" s="1"/>
  <c r="AX296" i="5"/>
  <c r="AY296" i="5" s="1"/>
  <c r="AX253" i="5"/>
  <c r="AY253" i="5" s="1"/>
  <c r="AX502" i="5"/>
  <c r="AY502" i="5" s="1"/>
  <c r="AX391" i="5"/>
  <c r="AY391" i="5" s="1"/>
  <c r="AX250" i="5"/>
  <c r="AX412" i="5"/>
  <c r="AY412" i="5" s="1"/>
  <c r="AX114" i="5"/>
  <c r="AY114" i="5" s="1"/>
  <c r="AR110" i="4"/>
  <c r="AT110" i="4" s="1"/>
  <c r="AX284" i="5"/>
  <c r="AY284" i="5" s="1"/>
  <c r="AX533" i="5"/>
  <c r="AY533" i="5" s="1"/>
  <c r="AX332" i="5"/>
  <c r="AY332" i="5" s="1"/>
  <c r="AX327" i="5"/>
  <c r="AY327" i="5" s="1"/>
  <c r="AR13" i="4"/>
  <c r="AT13" i="4" s="1"/>
  <c r="AX31" i="5"/>
  <c r="AY31" i="5" s="1"/>
  <c r="AR153" i="4"/>
  <c r="AT153" i="4" s="1"/>
  <c r="AX285" i="5"/>
  <c r="AY285" i="5" s="1"/>
  <c r="AX181" i="5"/>
  <c r="AY181" i="5" s="1"/>
  <c r="AX406" i="5"/>
  <c r="AY406" i="5" s="1"/>
  <c r="AX363" i="5"/>
  <c r="AY363" i="5" s="1"/>
  <c r="AX142" i="5"/>
  <c r="AY142" i="5" s="1"/>
  <c r="AX38" i="5"/>
  <c r="AY38" i="5" s="1"/>
  <c r="AX499" i="5"/>
  <c r="AY499" i="5" s="1"/>
  <c r="AR48" i="4"/>
  <c r="AT48" i="4" s="1"/>
  <c r="AG54" i="4" l="1"/>
  <c r="AI54" i="4" s="1"/>
  <c r="AO7" i="4"/>
  <c r="AY184" i="5"/>
  <c r="AY283" i="5"/>
  <c r="AY247" i="5"/>
  <c r="AY205" i="5"/>
  <c r="AY250" i="5"/>
  <c r="AX522" i="5"/>
  <c r="AY522" i="5" s="1"/>
  <c r="AR66" i="4"/>
  <c r="AT66" i="4" s="1"/>
  <c r="AO37" i="4"/>
  <c r="AR37" i="4" s="1"/>
  <c r="AT37" i="4" s="1"/>
  <c r="AO12" i="4"/>
  <c r="AR12" i="4" s="1"/>
  <c r="AT12" i="4" s="1"/>
  <c r="AY416" i="5"/>
  <c r="AY418" i="5"/>
  <c r="AX525" i="5"/>
  <c r="AY525" i="5" s="1"/>
  <c r="AY396" i="5"/>
  <c r="AX451" i="5"/>
  <c r="AY451" i="5" s="1"/>
  <c r="AY407" i="5"/>
  <c r="AX536" i="5"/>
  <c r="AY536" i="5" s="1"/>
  <c r="AY287" i="5"/>
  <c r="AY219" i="5"/>
  <c r="AY218" i="5"/>
  <c r="AY139" i="5"/>
  <c r="AY122" i="5"/>
  <c r="AX376" i="5"/>
  <c r="AY376" i="5" s="1"/>
  <c r="AX508" i="5"/>
  <c r="AY508" i="5" s="1"/>
  <c r="AX482" i="5"/>
  <c r="AY482" i="5" s="1"/>
  <c r="AX234" i="5"/>
  <c r="AY234" i="5" s="1"/>
  <c r="AX446" i="5"/>
  <c r="AY446" i="5" s="1"/>
  <c r="AX402" i="5"/>
  <c r="AY402" i="5" s="1"/>
  <c r="AX469" i="5"/>
  <c r="AY469" i="5" s="1"/>
  <c r="AX529" i="5"/>
  <c r="AY529" i="5" s="1"/>
  <c r="AX462" i="5"/>
  <c r="AY462" i="5" s="1"/>
  <c r="AX465" i="5"/>
  <c r="AY465" i="5" s="1"/>
  <c r="AX243" i="5"/>
  <c r="AY243" i="5" s="1"/>
  <c r="AX540" i="5"/>
  <c r="AY540" i="5" s="1"/>
  <c r="AR142" i="4"/>
  <c r="AT142" i="4" s="1"/>
  <c r="AX468" i="5"/>
  <c r="AY468" i="5" s="1"/>
  <c r="AX307" i="5"/>
  <c r="AY307" i="5" s="1"/>
  <c r="AX518" i="5"/>
  <c r="AY518" i="5" s="1"/>
  <c r="AX555" i="5"/>
  <c r="AY555" i="5" s="1"/>
  <c r="AX312" i="5"/>
  <c r="AY312" i="5" s="1"/>
  <c r="AX390" i="5"/>
  <c r="AY390" i="5" s="1"/>
  <c r="AX455" i="5"/>
  <c r="AY455" i="5" s="1"/>
  <c r="AX478" i="5"/>
  <c r="AY478" i="5" s="1"/>
  <c r="AX474" i="5"/>
  <c r="AY474" i="5" s="1"/>
  <c r="AX266" i="5"/>
  <c r="AY266" i="5" s="1"/>
  <c r="AX200" i="5"/>
  <c r="AY200" i="5" s="1"/>
  <c r="AX57" i="5"/>
  <c r="AY57" i="5" s="1"/>
  <c r="AX374" i="5"/>
  <c r="AY374" i="5" s="1"/>
  <c r="AX410" i="5"/>
  <c r="AY410" i="5" s="1"/>
  <c r="AR125" i="4"/>
  <c r="AT125" i="4" s="1"/>
  <c r="AX41" i="5"/>
  <c r="AY41" i="5" s="1"/>
  <c r="AG22" i="4"/>
  <c r="AI22" i="4" s="1"/>
  <c r="AR22" i="4" s="1"/>
  <c r="AT22" i="4" s="1"/>
  <c r="AX513" i="5"/>
  <c r="AY513" i="5" s="1"/>
  <c r="AX305" i="5"/>
  <c r="AY305" i="5" s="1"/>
  <c r="AX315" i="5"/>
  <c r="AY315" i="5" s="1"/>
  <c r="AX295" i="5"/>
  <c r="AY295" i="5" s="1"/>
  <c r="AX213" i="5"/>
  <c r="AY213" i="5" s="1"/>
  <c r="AX221" i="5"/>
  <c r="AY221" i="5" s="1"/>
  <c r="AX145" i="5"/>
  <c r="AY145" i="5" s="1"/>
  <c r="AX185" i="5"/>
  <c r="AY185" i="5" s="1"/>
  <c r="AX443" i="5"/>
  <c r="AY443" i="5" s="1"/>
  <c r="AX36" i="5"/>
  <c r="AY36" i="5" s="1"/>
  <c r="AX360" i="5"/>
  <c r="AY360" i="5" s="1"/>
  <c r="AX354" i="5"/>
  <c r="AY354" i="5" s="1"/>
  <c r="AX359" i="5"/>
  <c r="AY359" i="5" s="1"/>
  <c r="AX248" i="5"/>
  <c r="AY248" i="5" s="1"/>
  <c r="AX301" i="5"/>
  <c r="AY301" i="5" s="1"/>
  <c r="AX174" i="5"/>
  <c r="AY174" i="5" s="1"/>
  <c r="AX112" i="5"/>
  <c r="AY112" i="5" s="1"/>
  <c r="AX428" i="5"/>
  <c r="AY428" i="5" s="1"/>
  <c r="AX310" i="5"/>
  <c r="AY310" i="5" s="1"/>
  <c r="AX47" i="5"/>
  <c r="AY47" i="5" s="1"/>
  <c r="AX157" i="5"/>
  <c r="AY157" i="5" s="1"/>
  <c r="AX493" i="5"/>
  <c r="AY493" i="5" s="1"/>
  <c r="AX119" i="5"/>
  <c r="AY119" i="5" s="1"/>
  <c r="AX344" i="5"/>
  <c r="AY344" i="5" s="1"/>
  <c r="AX60" i="5"/>
  <c r="AY60" i="5" s="1"/>
  <c r="AX461" i="5"/>
  <c r="AY461" i="5" s="1"/>
  <c r="AX259" i="5"/>
  <c r="AY259" i="5" s="1"/>
  <c r="AX238" i="5"/>
  <c r="AY238" i="5" s="1"/>
  <c r="AX403" i="5"/>
  <c r="AY403" i="5" s="1"/>
  <c r="AX194" i="5"/>
  <c r="AY194" i="5" s="1"/>
  <c r="AX66" i="5"/>
  <c r="AY66" i="5" s="1"/>
  <c r="AX93" i="5"/>
  <c r="AY93" i="5" s="1"/>
  <c r="AX178" i="5"/>
  <c r="AY178" i="5" s="1"/>
  <c r="AX263" i="5"/>
  <c r="AY263" i="5" s="1"/>
  <c r="AX89" i="5"/>
  <c r="AY89" i="5" s="1"/>
  <c r="AX244" i="5"/>
  <c r="AY244" i="5" s="1"/>
  <c r="AX140" i="5"/>
  <c r="AY140" i="5" s="1"/>
  <c r="AX276" i="5"/>
  <c r="AY276" i="5" s="1"/>
  <c r="AX220" i="5"/>
  <c r="AY220" i="5" s="1"/>
  <c r="AX210" i="5"/>
  <c r="AY210" i="5" s="1"/>
  <c r="AX550" i="5"/>
  <c r="AY550" i="5" s="1"/>
  <c r="AX452" i="5"/>
  <c r="AY452" i="5" s="1"/>
  <c r="AX75" i="5"/>
  <c r="AY75" i="5" s="1"/>
  <c r="AX383" i="5"/>
  <c r="AY383" i="5" s="1"/>
  <c r="AX404" i="5"/>
  <c r="AY404" i="5" s="1"/>
  <c r="AX401" i="5"/>
  <c r="AY401" i="5" s="1"/>
  <c r="AX230" i="5"/>
  <c r="AY230" i="5" s="1"/>
  <c r="AX317" i="5"/>
  <c r="AY317" i="5" s="1"/>
  <c r="AX554" i="5"/>
  <c r="AY554" i="5" s="1"/>
  <c r="AX149" i="5"/>
  <c r="AY149" i="5" s="1"/>
  <c r="AX104" i="5"/>
  <c r="AY104" i="5" s="1"/>
  <c r="AX237" i="5"/>
  <c r="AY237" i="5" s="1"/>
  <c r="AX82" i="5"/>
  <c r="AY82" i="5" s="1"/>
  <c r="AX133" i="5"/>
  <c r="AY133" i="5" s="1"/>
  <c r="AX110" i="5"/>
  <c r="AY110" i="5" s="1"/>
  <c r="AX377" i="5"/>
  <c r="AY377" i="5" s="1"/>
  <c r="AX217" i="5"/>
  <c r="AY217" i="5" s="1"/>
  <c r="AX228" i="5"/>
  <c r="AY228" i="5" s="1"/>
  <c r="AX98" i="5"/>
  <c r="AY98" i="5" s="1"/>
  <c r="AX492" i="5"/>
  <c r="AY492" i="5" s="1"/>
  <c r="AX501" i="5"/>
  <c r="AY501" i="5" s="1"/>
  <c r="AX496" i="5"/>
  <c r="AY496" i="5" s="1"/>
  <c r="AX74" i="5"/>
  <c r="AY74" i="5" s="1"/>
  <c r="AX167" i="5"/>
  <c r="AY167" i="5" s="1"/>
  <c r="AX405" i="5"/>
  <c r="AY405" i="5" s="1"/>
  <c r="AX131" i="5"/>
  <c r="AY131" i="5" s="1"/>
  <c r="AX387" i="5"/>
  <c r="AY387" i="5" s="1"/>
  <c r="AX65" i="5"/>
  <c r="AY65" i="5" s="1"/>
  <c r="AX400" i="5"/>
  <c r="AY400" i="5" s="1"/>
  <c r="AX156" i="5"/>
  <c r="AY156" i="5" s="1"/>
  <c r="AX64" i="5"/>
  <c r="AY64" i="5" s="1"/>
  <c r="AX409" i="5"/>
  <c r="AY409" i="5" s="1"/>
  <c r="AX196" i="5"/>
  <c r="AY196" i="5" s="1"/>
  <c r="AX473" i="5"/>
  <c r="AY473" i="5" s="1"/>
  <c r="AX528" i="5"/>
  <c r="AY528" i="5" s="1"/>
  <c r="AO133" i="4"/>
  <c r="AR133" i="4" s="1"/>
  <c r="AT133" i="4" s="1"/>
  <c r="AX291" i="5"/>
  <c r="AY291" i="5" s="1"/>
  <c r="AX527" i="5"/>
  <c r="AY527" i="5" s="1"/>
  <c r="AX320" i="5"/>
  <c r="AY320" i="5" s="1"/>
  <c r="AX271" i="5"/>
  <c r="AY271" i="5" s="1"/>
  <c r="AX558" i="5"/>
  <c r="AY558" i="5" s="1"/>
  <c r="AX249" i="5"/>
  <c r="AY249" i="5" s="1"/>
  <c r="AX510" i="5"/>
  <c r="AY510" i="5" s="1"/>
  <c r="AX322" i="5"/>
  <c r="AY322" i="5" s="1"/>
  <c r="AG26" i="4"/>
  <c r="AI26" i="4" s="1"/>
  <c r="AO26" i="4"/>
  <c r="AX340" i="5"/>
  <c r="AY340" i="5" s="1"/>
  <c r="AX298" i="5"/>
  <c r="AY298" i="5" s="1"/>
  <c r="AK155" i="4"/>
  <c r="AA130" i="4"/>
  <c r="AC130" i="4" s="1"/>
  <c r="AD130" i="4" s="1"/>
  <c r="AA144" i="4"/>
  <c r="AC144" i="4" s="1"/>
  <c r="AD144" i="4" s="1"/>
  <c r="AA155" i="4"/>
  <c r="AC155" i="4" s="1"/>
  <c r="AD155" i="4" s="1"/>
  <c r="AX235" i="5"/>
  <c r="AY235" i="5" s="1"/>
  <c r="AX292" i="5"/>
  <c r="AY292" i="5" s="1"/>
  <c r="AX486" i="5"/>
  <c r="AY486" i="5" s="1"/>
  <c r="AX497" i="5"/>
  <c r="AY497" i="5" s="1"/>
  <c r="AX457" i="5"/>
  <c r="AY457" i="5" s="1"/>
  <c r="AR84" i="4"/>
  <c r="AT84" i="4" s="1"/>
  <c r="AR79" i="4"/>
  <c r="AT79" i="4" s="1"/>
  <c r="AK144" i="4"/>
  <c r="AX325" i="5"/>
  <c r="AY325" i="5" s="1"/>
  <c r="AG130" i="4"/>
  <c r="AI130" i="4" s="1"/>
  <c r="AO130" i="4"/>
  <c r="AO62" i="4"/>
  <c r="AG62" i="4"/>
  <c r="AI62" i="4" s="1"/>
  <c r="AG10" i="4"/>
  <c r="AI10" i="4" s="1"/>
  <c r="AO10" i="4"/>
  <c r="AK141" i="4"/>
  <c r="AF141" i="4"/>
  <c r="AO101" i="4"/>
  <c r="AG101" i="4"/>
  <c r="AI101" i="4" s="1"/>
  <c r="AG144" i="4"/>
  <c r="AI144" i="4" s="1"/>
  <c r="AO144" i="4"/>
  <c r="AG94" i="4"/>
  <c r="AI94" i="4" s="1"/>
  <c r="AO94" i="4"/>
  <c r="AO58" i="4"/>
  <c r="AG58" i="4"/>
  <c r="AI58" i="4" s="1"/>
  <c r="AK130" i="4"/>
  <c r="AR132" i="4"/>
  <c r="AT132" i="4" s="1"/>
  <c r="AG24" i="4"/>
  <c r="AI24" i="4" s="1"/>
  <c r="AO24" i="4"/>
  <c r="AR105" i="4"/>
  <c r="AT105" i="4" s="1"/>
  <c r="AO155" i="4"/>
  <c r="AG155" i="4"/>
  <c r="AI155" i="4" s="1"/>
  <c r="AR140" i="4"/>
  <c r="AT140" i="4" s="1"/>
  <c r="AG83" i="4"/>
  <c r="AI83" i="4" s="1"/>
  <c r="AO83" i="4"/>
  <c r="AG34" i="4"/>
  <c r="AI34" i="4" s="1"/>
  <c r="AO34" i="4"/>
  <c r="AG59" i="4"/>
  <c r="AI59" i="4" s="1"/>
  <c r="AO59" i="4"/>
  <c r="AG21" i="4"/>
  <c r="AI21" i="4" s="1"/>
  <c r="AO21" i="4"/>
  <c r="AX207" i="5"/>
  <c r="AY207" i="5" s="1"/>
  <c r="AX233" i="5"/>
  <c r="AY233" i="5" s="1"/>
  <c r="AR76" i="4"/>
  <c r="AT76" i="4" s="1"/>
  <c r="AX549" i="5"/>
  <c r="AY549" i="5" s="1"/>
  <c r="AX195" i="5"/>
  <c r="AY195" i="5" s="1"/>
  <c r="AX546" i="5"/>
  <c r="AY546" i="5" s="1"/>
  <c r="AX442" i="5"/>
  <c r="AY442" i="5" s="1"/>
  <c r="AR86" i="4"/>
  <c r="AT86" i="4" s="1"/>
  <c r="AR8" i="4"/>
  <c r="AT8" i="4" s="1"/>
  <c r="AR54" i="4"/>
  <c r="AT54" i="4" s="1"/>
  <c r="AX352" i="5"/>
  <c r="AY352" i="5" s="1"/>
  <c r="AX422" i="5"/>
  <c r="AY422" i="5" s="1"/>
  <c r="AX51" i="5"/>
  <c r="AY51" i="5" s="1"/>
  <c r="AX545" i="5"/>
  <c r="AY545" i="5" s="1"/>
  <c r="AX534" i="5"/>
  <c r="AY534" i="5" s="1"/>
  <c r="AX419" i="5"/>
  <c r="AY419" i="5" s="1"/>
  <c r="AX190" i="5"/>
  <c r="AY190" i="5" s="1"/>
  <c r="AX55" i="5"/>
  <c r="AY55" i="5" s="1"/>
  <c r="AX541" i="5"/>
  <c r="AY541" i="5" s="1"/>
  <c r="AX526" i="5"/>
  <c r="AY526" i="5" s="1"/>
  <c r="AX246" i="5"/>
  <c r="AY246" i="5" s="1"/>
  <c r="AX357" i="5"/>
  <c r="AY357" i="5" s="1"/>
  <c r="AX95" i="5"/>
  <c r="AY95" i="5" s="1"/>
  <c r="AX124" i="5"/>
  <c r="AY124" i="5" s="1"/>
  <c r="AX106" i="5"/>
  <c r="AY106" i="5" s="1"/>
  <c r="AX164" i="5"/>
  <c r="AY164" i="5" s="1"/>
  <c r="AX61" i="5"/>
  <c r="AY61" i="5" s="1"/>
  <c r="AX171" i="5"/>
  <c r="AY171" i="5" s="1"/>
  <c r="AX154" i="5"/>
  <c r="AY154" i="5" s="1"/>
  <c r="AX152" i="5"/>
  <c r="AY152" i="5" s="1"/>
  <c r="AX27" i="5"/>
  <c r="AY27" i="5" s="1"/>
  <c r="AX516" i="5"/>
  <c r="AY516" i="5" s="1"/>
  <c r="AX227" i="5"/>
  <c r="AY227" i="5" s="1"/>
  <c r="AX88" i="5"/>
  <c r="AY88" i="5" s="1"/>
  <c r="AX519" i="5"/>
  <c r="AY519" i="5" s="1"/>
  <c r="AX366" i="5"/>
  <c r="AY366" i="5" s="1"/>
  <c r="AX242" i="5"/>
  <c r="AY242" i="5" s="1"/>
  <c r="AX189" i="5"/>
  <c r="AY189" i="5" s="1"/>
  <c r="AX441" i="5"/>
  <c r="AY441" i="5" s="1"/>
  <c r="B128" i="2"/>
  <c r="B134" i="2" s="1"/>
  <c r="AX50" i="5"/>
  <c r="AY50" i="5" s="1"/>
  <c r="AX40" i="5"/>
  <c r="AY40" i="5" s="1"/>
  <c r="AX29" i="5"/>
  <c r="AY29" i="5" s="1"/>
  <c r="AX414" i="5"/>
  <c r="AY414" i="5" s="1"/>
  <c r="AX155" i="5"/>
  <c r="AY155" i="5" s="1"/>
  <c r="AX334" i="5"/>
  <c r="AY334" i="5" s="1"/>
  <c r="AX430" i="5"/>
  <c r="AY430" i="5" s="1"/>
  <c r="K142" i="2"/>
  <c r="B131" i="2"/>
  <c r="B132" i="2" s="1"/>
  <c r="AR20" i="4"/>
  <c r="AT20" i="4" s="1"/>
  <c r="AX530" i="5"/>
  <c r="AY530" i="5" s="1"/>
  <c r="AR23" i="4"/>
  <c r="AT23" i="4" s="1"/>
  <c r="AR135" i="4"/>
  <c r="AT135" i="4" s="1"/>
  <c r="AR109" i="4"/>
  <c r="AT109" i="4" s="1"/>
  <c r="AR127" i="4"/>
  <c r="AT127" i="4" s="1"/>
  <c r="AR38" i="4"/>
  <c r="AT38" i="4" s="1"/>
  <c r="AR35" i="4"/>
  <c r="AT35" i="4" s="1"/>
  <c r="AR39" i="4"/>
  <c r="AT39" i="4" s="1"/>
  <c r="AR100" i="4"/>
  <c r="AT100" i="4" s="1"/>
  <c r="AR95" i="4"/>
  <c r="AT95" i="4" s="1"/>
  <c r="AR52" i="4"/>
  <c r="AT52" i="4" s="1"/>
  <c r="AR157" i="4"/>
  <c r="AT157" i="4" s="1"/>
  <c r="AR47" i="4"/>
  <c r="AT47" i="4" s="1"/>
  <c r="AR64" i="4"/>
  <c r="AT64" i="4" s="1"/>
  <c r="AR116" i="4"/>
  <c r="AT116" i="4" s="1"/>
  <c r="AR128" i="4"/>
  <c r="AT128" i="4" s="1"/>
  <c r="AR14" i="4"/>
  <c r="AT14" i="4" s="1"/>
  <c r="AR148" i="4"/>
  <c r="AT148" i="4" s="1"/>
  <c r="AR63" i="4"/>
  <c r="AT63" i="4" s="1"/>
  <c r="AR7" i="4"/>
  <c r="AT7" i="4" s="1"/>
  <c r="AR77" i="4"/>
  <c r="AT77" i="4" s="1"/>
  <c r="AR126" i="4"/>
  <c r="AT126" i="4" s="1"/>
  <c r="AR69" i="4"/>
  <c r="AT69" i="4" s="1"/>
  <c r="AR150" i="4"/>
  <c r="AT150" i="4" s="1"/>
  <c r="AR137" i="4"/>
  <c r="AT137" i="4" s="1"/>
  <c r="AR93" i="4"/>
  <c r="AT93" i="4" s="1"/>
  <c r="AR134" i="4"/>
  <c r="AT134" i="4" s="1"/>
  <c r="AR73" i="4"/>
  <c r="AT73" i="4" s="1"/>
  <c r="AR91" i="4"/>
  <c r="AT91" i="4" s="1"/>
  <c r="AR26" i="4" l="1"/>
  <c r="AT26" i="4" s="1"/>
  <c r="AR59" i="4"/>
  <c r="AT59" i="4" s="1"/>
  <c r="AR94" i="4"/>
  <c r="AT94" i="4" s="1"/>
  <c r="AR10" i="4"/>
  <c r="AT10" i="4" s="1"/>
  <c r="AR34" i="4"/>
  <c r="AT34" i="4" s="1"/>
  <c r="AR24" i="4"/>
  <c r="AT24" i="4" s="1"/>
  <c r="AR144" i="4"/>
  <c r="AT144" i="4" s="1"/>
  <c r="AR155" i="4"/>
  <c r="AT155" i="4" s="1"/>
  <c r="AR130" i="4"/>
  <c r="AT130" i="4" s="1"/>
  <c r="AR21" i="4"/>
  <c r="AT21" i="4" s="1"/>
  <c r="AG141" i="4"/>
  <c r="AI141" i="4" s="1"/>
  <c r="AO141" i="4"/>
  <c r="AR58" i="4"/>
  <c r="AT58" i="4" s="1"/>
  <c r="AR62" i="4"/>
  <c r="AT62" i="4" s="1"/>
  <c r="AR83" i="4"/>
  <c r="AT83" i="4" s="1"/>
  <c r="AR101" i="4"/>
  <c r="AT101" i="4" s="1"/>
  <c r="AY14" i="5"/>
  <c r="D69" i="5" s="1"/>
  <c r="B69" i="5" s="1"/>
  <c r="A69" i="5" s="1"/>
  <c r="L68" i="1" s="1"/>
  <c r="K136" i="2"/>
  <c r="B136" i="2" s="1"/>
  <c r="H31" i="1" s="1"/>
  <c r="AY12" i="5"/>
  <c r="D68" i="5" s="1"/>
  <c r="B68" i="5" s="1"/>
  <c r="A68" i="5" s="1"/>
  <c r="L67" i="1" s="1"/>
  <c r="B135" i="2"/>
  <c r="H30" i="1" s="1"/>
  <c r="AR141" i="4" l="1"/>
  <c r="AT141"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BMC-BCS</author>
    <author>Schauer, Stefan</author>
  </authors>
  <commentList>
    <comment ref="A3" authorId="0" shapeId="0" xr:uid="{00000000-0006-0000-0000-000001000000}">
      <text>
        <r>
          <rPr>
            <b/>
            <sz val="11"/>
            <color indexed="10"/>
            <rFont val="Tahoma"/>
            <family val="2"/>
          </rPr>
          <t>Welcome to the LM5155 Design Tool</t>
        </r>
        <r>
          <rPr>
            <sz val="9"/>
            <color indexed="81"/>
            <rFont val="Tahoma"/>
            <family val="2"/>
          </rPr>
          <t xml:space="preserve">
This stand-alone tool facilitates and assists the power supply engineer with design of a DC-DC boost converter based on the LM5155 boost controller. As such, the user can expeditiously arrive at an optimized design by virtue of the following:
- Select components
- Optimize compensation values and pole/zero placement in terms of control loop stability using crossover frquency as a performance metric
- Inspect regulator efficiency and component power dissipation
- Analyze efficiency based on selected MOSFET, inductor and diode parameters
Note: When not using an english Excel version and a #name error is displayed after change a value try pressing Shift+ALT+CTRL+F9 and change the value again.
IMPORTANT: You must enable macros if Microsoft Excel asks as the file is being opened. U.S. English notation is used throughout. Make sure to input or select values in all of the yellow shaded cells even if a value already exists in that cell. Do not over write equations in cells, as this may result in calculation errors.
</t>
        </r>
      </text>
    </comment>
    <comment ref="G7" authorId="0" shapeId="0" xr:uid="{00000000-0006-0000-0000-000003000000}">
      <text>
        <r>
          <rPr>
            <b/>
            <sz val="9"/>
            <color indexed="81"/>
            <rFont val="Tahoma"/>
            <family val="2"/>
          </rPr>
          <t xml:space="preserve">Minimum Input Voltage:
</t>
        </r>
        <r>
          <rPr>
            <sz val="9"/>
            <color indexed="81"/>
            <rFont val="Tahoma"/>
            <family val="2"/>
          </rPr>
          <t>Enter the minimum operating input voltage.
The LM5155 BIAS pin voltage operating range is 3.5V to 45V.
The LM5156 BIAS pin voltage operating range is 3.5V to 60V.
If low voltage operation is required the BIAS pin can be supplied with V</t>
        </r>
        <r>
          <rPr>
            <vertAlign val="subscript"/>
            <sz val="9"/>
            <color indexed="81"/>
            <rFont val="Tahoma"/>
            <family val="2"/>
          </rPr>
          <t>OUT</t>
        </r>
        <r>
          <rPr>
            <sz val="9"/>
            <color indexed="81"/>
            <rFont val="Tahoma"/>
            <family val="2"/>
          </rPr>
          <t xml:space="preserve"> extending operation to 1.5V</t>
        </r>
        <r>
          <rPr>
            <b/>
            <sz val="9"/>
            <color indexed="81"/>
            <rFont val="Tahoma"/>
            <family val="2"/>
          </rPr>
          <t xml:space="preserve">
</t>
        </r>
        <r>
          <rPr>
            <b/>
            <sz val="9"/>
            <color indexed="52"/>
            <rFont val="Tahoma"/>
            <family val="2"/>
          </rPr>
          <t>The text in the cell is flagged orange if:</t>
        </r>
        <r>
          <rPr>
            <b/>
            <sz val="9"/>
            <color indexed="81"/>
            <rFont val="Tahoma"/>
            <family val="2"/>
          </rPr>
          <t xml:space="preserve">
</t>
        </r>
        <r>
          <rPr>
            <sz val="9"/>
            <color indexed="81"/>
            <rFont val="Tahoma"/>
            <family val="2"/>
          </rPr>
          <t>-The input voltage is above 45V</t>
        </r>
        <r>
          <rPr>
            <b/>
            <sz val="9"/>
            <color indexed="81"/>
            <rFont val="Tahoma"/>
            <family val="2"/>
          </rPr>
          <t xml:space="preserve">
</t>
        </r>
        <r>
          <rPr>
            <b/>
            <sz val="9"/>
            <color indexed="10"/>
            <rFont val="Tahoma"/>
            <family val="2"/>
          </rPr>
          <t>The text in the cell is flagged red if:</t>
        </r>
        <r>
          <rPr>
            <b/>
            <sz val="9"/>
            <color indexed="81"/>
            <rFont val="Tahoma"/>
            <family val="2"/>
          </rPr>
          <t xml:space="preserve">
</t>
        </r>
        <r>
          <rPr>
            <sz val="9"/>
            <color indexed="81"/>
            <rFont val="Tahoma"/>
            <family val="2"/>
          </rPr>
          <t>-The input voltage is above 60V
-The input voltage is below 1.5V</t>
        </r>
      </text>
    </comment>
    <comment ref="G8" authorId="0" shapeId="0" xr:uid="{00000000-0006-0000-0000-000004000000}">
      <text>
        <r>
          <rPr>
            <b/>
            <sz val="9"/>
            <color rgb="FF000000"/>
            <rFont val="Tahoma"/>
            <family val="2"/>
          </rPr>
          <t xml:space="preserve">Nominal Input Voltage:
</t>
        </r>
        <r>
          <rPr>
            <sz val="9"/>
            <color rgb="FF000000"/>
            <rFont val="Tahoma"/>
            <family val="2"/>
          </rPr>
          <t xml:space="preserve">Enter the nominal operating input voltage.
</t>
        </r>
        <r>
          <rPr>
            <sz val="9"/>
            <color rgb="FF000000"/>
            <rFont val="Tahoma"/>
            <family val="2"/>
          </rPr>
          <t>The LM5155 input voltage operating range is 1.5V to 45V.</t>
        </r>
        <r>
          <rPr>
            <b/>
            <sz val="9"/>
            <color rgb="FF000000"/>
            <rFont val="Tahoma"/>
            <family val="2"/>
          </rPr>
          <t xml:space="preserve">
</t>
        </r>
        <r>
          <rPr>
            <sz val="9"/>
            <color rgb="FF000000"/>
            <rFont val="Tahoma"/>
            <family val="2"/>
          </rPr>
          <t xml:space="preserve">The LM5156 input voltage operating range is 1.5V to 60V.
</t>
        </r>
        <r>
          <rPr>
            <b/>
            <sz val="9"/>
            <color rgb="FF000000"/>
            <rFont val="Tahoma"/>
            <family val="2"/>
          </rPr>
          <t xml:space="preserve">
</t>
        </r>
        <r>
          <rPr>
            <b/>
            <sz val="9"/>
            <color rgb="FFFF0000"/>
            <rFont val="Tahoma"/>
            <family val="2"/>
          </rPr>
          <t>The text in the cell is flagged red if:</t>
        </r>
        <r>
          <rPr>
            <b/>
            <sz val="9"/>
            <color rgb="FF000000"/>
            <rFont val="Tahoma"/>
            <family val="2"/>
          </rPr>
          <t xml:space="preserve">
</t>
        </r>
        <r>
          <rPr>
            <sz val="9"/>
            <color rgb="FF000000"/>
            <rFont val="Tahoma"/>
            <family val="2"/>
          </rPr>
          <t>-The input voltage is above V</t>
        </r>
        <r>
          <rPr>
            <vertAlign val="subscript"/>
            <sz val="9"/>
            <color rgb="FF000000"/>
            <rFont val="Tahoma"/>
            <family val="2"/>
          </rPr>
          <t>SUPPLY</t>
        </r>
        <r>
          <rPr>
            <sz val="9"/>
            <color rgb="FF000000"/>
            <rFont val="Tahoma"/>
            <family val="2"/>
          </rPr>
          <t xml:space="preserve">(max)
</t>
        </r>
        <r>
          <rPr>
            <sz val="9"/>
            <color rgb="FF000000"/>
            <rFont val="Tahoma"/>
            <family val="2"/>
          </rPr>
          <t>-The input voltage is below V</t>
        </r>
        <r>
          <rPr>
            <vertAlign val="subscript"/>
            <sz val="9"/>
            <color rgb="FF000000"/>
            <rFont val="Tahoma"/>
            <family val="2"/>
          </rPr>
          <t>SUPPLY</t>
        </r>
        <r>
          <rPr>
            <sz val="9"/>
            <color rgb="FF000000"/>
            <rFont val="Tahoma"/>
            <family val="2"/>
          </rPr>
          <t>(min)</t>
        </r>
      </text>
    </comment>
    <comment ref="G9" authorId="0" shapeId="0" xr:uid="{00000000-0006-0000-0000-000005000000}">
      <text>
        <r>
          <rPr>
            <b/>
            <sz val="9"/>
            <color indexed="81"/>
            <rFont val="Tahoma"/>
            <family val="2"/>
          </rPr>
          <t>Maximum Input Voltage:</t>
        </r>
        <r>
          <rPr>
            <sz val="9"/>
            <color indexed="81"/>
            <rFont val="Tahoma"/>
            <family val="2"/>
          </rPr>
          <t xml:space="preserve">
Enter the maximum operating input voltage.
The LM5155 input voltage operating range is 1.5V to 45V.
The LM5156 input voltage operating range is 1.5V to 60V.
</t>
        </r>
        <r>
          <rPr>
            <b/>
            <sz val="9"/>
            <color indexed="10"/>
            <rFont val="Tahoma"/>
            <family val="2"/>
          </rPr>
          <t xml:space="preserve">
</t>
        </r>
        <r>
          <rPr>
            <b/>
            <sz val="9"/>
            <color indexed="52"/>
            <rFont val="Tahoma"/>
            <family val="2"/>
          </rPr>
          <t>The text in the cell is flagged orange if:</t>
        </r>
        <r>
          <rPr>
            <b/>
            <sz val="9"/>
            <color indexed="10"/>
            <rFont val="Tahoma"/>
            <family val="2"/>
          </rPr>
          <t xml:space="preserve">
</t>
        </r>
        <r>
          <rPr>
            <sz val="9"/>
            <color indexed="81"/>
            <rFont val="Tahoma"/>
            <family val="2"/>
          </rPr>
          <t>-The input voltage is above 45V</t>
        </r>
        <r>
          <rPr>
            <b/>
            <sz val="9"/>
            <color indexed="10"/>
            <rFont val="Tahoma"/>
            <family val="2"/>
          </rPr>
          <t xml:space="preserve">
The text in the cell is flagged red if:</t>
        </r>
        <r>
          <rPr>
            <sz val="9"/>
            <color indexed="81"/>
            <rFont val="Tahoma"/>
            <family val="2"/>
          </rPr>
          <t xml:space="preserve">
-The input voltage is above 60V
-The input voltage is below 1.5V
</t>
        </r>
      </text>
    </comment>
    <comment ref="G10" authorId="0" shapeId="0" xr:uid="{00000000-0006-0000-0000-000006000000}">
      <text>
        <r>
          <rPr>
            <b/>
            <sz val="9"/>
            <color indexed="81"/>
            <rFont val="Tahoma"/>
            <family val="2"/>
          </rPr>
          <t>Output Voltage:</t>
        </r>
        <r>
          <rPr>
            <sz val="9"/>
            <color indexed="81"/>
            <rFont val="Tahoma"/>
            <family val="2"/>
          </rPr>
          <t xml:space="preserve">
Enter the desired output voltage.
</t>
        </r>
      </text>
    </comment>
    <comment ref="G12" authorId="0" shapeId="0" xr:uid="{00000000-0006-0000-0000-000007000000}">
      <text>
        <r>
          <rPr>
            <b/>
            <sz val="9"/>
            <color indexed="81"/>
            <rFont val="Tahoma"/>
            <family val="2"/>
          </rPr>
          <t>Operating Frequency (set by RT):</t>
        </r>
        <r>
          <rPr>
            <sz val="9"/>
            <color indexed="81"/>
            <rFont val="Tahoma"/>
            <family val="2"/>
          </rPr>
          <t xml:space="preserve">
This cell defines the free-running switching frequency set by the RT resistor. 
</t>
        </r>
        <r>
          <rPr>
            <sz val="11"/>
            <color indexed="10"/>
            <rFont val="Calibri"/>
            <family val="2"/>
            <scheme val="minor"/>
          </rPr>
          <t>The text in the cell is flagged red if:</t>
        </r>
        <r>
          <rPr>
            <sz val="9"/>
            <color indexed="81"/>
            <rFont val="Tahoma"/>
            <family val="2"/>
          </rPr>
          <t xml:space="preserve">
-The frequency is below 100 kHz
-The frequency is above 2.2 MHz</t>
        </r>
      </text>
    </comment>
    <comment ref="G14" authorId="0" shapeId="0" xr:uid="{00000000-0006-0000-0000-000008000000}">
      <text>
        <r>
          <rPr>
            <b/>
            <sz val="9"/>
            <color indexed="81"/>
            <rFont val="Tahoma"/>
            <family val="2"/>
          </rPr>
          <t xml:space="preserve">Estimated Efficiency
</t>
        </r>
        <r>
          <rPr>
            <sz val="9"/>
            <color indexed="81"/>
            <rFont val="Tahoma"/>
            <family val="2"/>
          </rPr>
          <t>A good estimate at full load current and Vsupply(min) is around the 90% to 93% range</t>
        </r>
      </text>
    </comment>
    <comment ref="G16" authorId="0" shapeId="0" xr:uid="{00000000-0006-0000-0000-000009000000}">
      <text>
        <r>
          <rPr>
            <b/>
            <sz val="9"/>
            <color indexed="81"/>
            <rFont val="Tahoma"/>
            <family val="2"/>
          </rPr>
          <t xml:space="preserve">Maximum duty cycle
</t>
        </r>
        <r>
          <rPr>
            <sz val="9"/>
            <color indexed="81"/>
            <rFont val="Tahoma"/>
            <family val="2"/>
          </rPr>
          <t xml:space="preserve">Limit of the LM5155. See the datasheet for more detail on how the maximum duty cycle changes with switching frequency
</t>
        </r>
      </text>
    </comment>
    <comment ref="G17" authorId="1" shapeId="0" xr:uid="{08B8E066-477C-411E-B516-1DCAD11E8DA9}">
      <text>
        <r>
          <rPr>
            <b/>
            <sz val="9"/>
            <color indexed="81"/>
            <rFont val="Tahoma"/>
            <family val="2"/>
          </rPr>
          <t xml:space="preserve">Ideal Duty Cycle at Vsupply(MIN):
</t>
        </r>
        <r>
          <rPr>
            <sz val="9"/>
            <color indexed="81"/>
            <rFont val="Tahoma"/>
            <family val="2"/>
          </rPr>
          <t xml:space="preserve">
Calculated with  1- (VIN_min/VOUT). 
</t>
        </r>
        <r>
          <rPr>
            <b/>
            <sz val="9"/>
            <color indexed="10"/>
            <rFont val="Tahoma"/>
            <family val="2"/>
          </rPr>
          <t xml:space="preserve">The text in the cell is flagged red if:
</t>
        </r>
        <r>
          <rPr>
            <sz val="9"/>
            <color indexed="81"/>
            <rFont val="Tahoma"/>
            <family val="2"/>
          </rPr>
          <t xml:space="preserve">- The duty cycle is above the Limit value (in the cell above)
  Based on the limits given in the datasheet
</t>
        </r>
      </text>
    </comment>
    <comment ref="G18" authorId="1" shapeId="0" xr:uid="{74A21C24-1F16-4017-9418-3CDE4814AE31}">
      <text>
        <r>
          <rPr>
            <b/>
            <sz val="9"/>
            <color indexed="81"/>
            <rFont val="Tahoma"/>
            <family val="2"/>
          </rPr>
          <t xml:space="preserve">Select the Operation mode:
</t>
        </r>
        <r>
          <rPr>
            <sz val="9"/>
            <color indexed="81"/>
            <rFont val="Tahoma"/>
            <family val="2"/>
          </rPr>
          <t xml:space="preserve">Select the operation mode at maximum load:
CCM: Continious Contuction Mode
DCM: Discontinious Contuction Mode
</t>
        </r>
      </text>
    </comment>
    <comment ref="G21" authorId="0" shapeId="0" xr:uid="{00000000-0006-0000-0000-00000A000000}">
      <text>
        <r>
          <rPr>
            <b/>
            <sz val="9"/>
            <color indexed="81"/>
            <rFont val="Tahoma"/>
            <family val="2"/>
          </rPr>
          <t>Ripple Ratio</t>
        </r>
        <r>
          <rPr>
            <sz val="9"/>
            <color indexed="81"/>
            <rFont val="Tahoma"/>
            <family val="2"/>
          </rPr>
          <t xml:space="preserve">
Select the maximum ripple ratio of the inductor current. The maximum ripple ratio occurs when the duty cycle is 33%. 
Typically a good maximum ripple current is in the 50% to 70% range. In this range there is a good trade off between efficiency and the minimum RHP zero frequency of the plant</t>
        </r>
      </text>
    </comment>
    <comment ref="G23" authorId="0" shapeId="0" xr:uid="{00000000-0006-0000-0000-00000B000000}">
      <text>
        <r>
          <rPr>
            <b/>
            <sz val="9"/>
            <color rgb="FF000000"/>
            <rFont val="Tahoma"/>
            <family val="2"/>
          </rPr>
          <t xml:space="preserve">Filter Inductance:
</t>
        </r>
        <r>
          <rPr>
            <sz val="9"/>
            <color rgb="FF000000"/>
            <rFont val="Tahoma"/>
            <family val="2"/>
          </rPr>
          <t xml:space="preserve">Enter the filter inductance here.
</t>
        </r>
        <r>
          <rPr>
            <sz val="9"/>
            <color rgb="FF000000"/>
            <rFont val="Tahoma"/>
            <family val="2"/>
          </rPr>
          <t xml:space="preserve">
</t>
        </r>
        <r>
          <rPr>
            <b/>
            <sz val="9"/>
            <color rgb="FFFF0000"/>
            <rFont val="Tahoma"/>
            <family val="2"/>
          </rPr>
          <t xml:space="preserve">The text in the cell is flagged red if:
</t>
        </r>
        <r>
          <rPr>
            <sz val="9"/>
            <color rgb="FF000000"/>
            <rFont val="Tahoma"/>
            <family val="2"/>
          </rPr>
          <t xml:space="preserve">The selected inductance will not be supported the above set operation mode at maximum load.
</t>
        </r>
        <r>
          <rPr>
            <sz val="9"/>
            <color rgb="FF000000"/>
            <rFont val="Tahoma"/>
            <family val="2"/>
          </rPr>
          <t xml:space="preserve">(Checked only at the 3 given Supply Voltages (Min/Nom/Max).
</t>
        </r>
      </text>
    </comment>
    <comment ref="G24" authorId="0" shapeId="0" xr:uid="{00000000-0006-0000-0000-00000C000000}">
      <text>
        <r>
          <rPr>
            <b/>
            <sz val="9"/>
            <color indexed="81"/>
            <rFont val="Tahoma"/>
            <family val="2"/>
          </rPr>
          <t xml:space="preserve">Inductor DCR:
</t>
        </r>
        <r>
          <rPr>
            <sz val="9"/>
            <color indexed="81"/>
            <rFont val="Tahoma"/>
            <family val="2"/>
          </rPr>
          <t xml:space="preserve">Enter the inductor DC resistance here. This is typically specified in the inductor datasheet at 25°C copper temperature.
</t>
        </r>
      </text>
    </comment>
    <comment ref="G25" authorId="0" shapeId="0" xr:uid="{00000000-0006-0000-0000-00000D000000}">
      <text>
        <r>
          <rPr>
            <b/>
            <sz val="9"/>
            <color rgb="FF000000"/>
            <rFont val="Tahoma"/>
            <family val="2"/>
          </rPr>
          <t>Peak Inductor Current</t>
        </r>
        <r>
          <rPr>
            <sz val="9"/>
            <color rgb="FF000000"/>
            <rFont val="Tahoma"/>
            <family val="2"/>
          </rPr>
          <t xml:space="preserve">
</t>
        </r>
        <r>
          <rPr>
            <sz val="9"/>
            <color rgb="FF000000"/>
            <rFont val="Tahoma"/>
            <family val="2"/>
          </rPr>
          <t>Maximum peak inductor current during normal operation.  The peak current limit calculations are based on this value</t>
        </r>
      </text>
    </comment>
    <comment ref="G28" authorId="0" shapeId="0" xr:uid="{00000000-0006-0000-0000-00000E000000}">
      <text>
        <r>
          <rPr>
            <b/>
            <sz val="9"/>
            <color indexed="81"/>
            <rFont val="Tahoma"/>
            <family val="2"/>
          </rPr>
          <t>Peak Current Limit Margin</t>
        </r>
        <r>
          <rPr>
            <sz val="9"/>
            <color indexed="81"/>
            <rFont val="Tahoma"/>
            <family val="2"/>
          </rPr>
          <t xml:space="preserve">
Margin above the calculated peak inductor current. Margin must be given to allow for load transients and component tolerances.
Value should be higher then 15% to avoid false triggers.
The recommended value from the Datasheet is 20%.</t>
        </r>
      </text>
    </comment>
    <comment ref="G29" authorId="0" shapeId="0" xr:uid="{00000000-0006-0000-0000-00000F000000}">
      <text>
        <r>
          <rPr>
            <b/>
            <sz val="9"/>
            <color indexed="81"/>
            <rFont val="Tahoma"/>
            <family val="2"/>
          </rPr>
          <t xml:space="preserve">Selected Peak Inductor Current Limt
</t>
        </r>
        <r>
          <rPr>
            <sz val="9"/>
            <color indexed="81"/>
            <rFont val="Tahoma"/>
            <family val="2"/>
          </rPr>
          <t xml:space="preserve">
Peak inductor current limit based on the margin and the steady state peak inductor current at V</t>
        </r>
        <r>
          <rPr>
            <vertAlign val="subscript"/>
            <sz val="9"/>
            <color indexed="81"/>
            <rFont val="Tahoma"/>
            <family val="2"/>
          </rPr>
          <t>IN_MIN</t>
        </r>
        <r>
          <rPr>
            <sz val="9"/>
            <color indexed="81"/>
            <rFont val="Tahoma"/>
            <family val="2"/>
          </rPr>
          <t xml:space="preserve"> and maximum output current</t>
        </r>
      </text>
    </comment>
    <comment ref="G30" authorId="0" shapeId="0" xr:uid="{00000000-0006-0000-0000-000010000000}">
      <text>
        <r>
          <rPr>
            <b/>
            <sz val="9"/>
            <color rgb="FF000000"/>
            <rFont val="Tahoma"/>
            <family val="2"/>
          </rPr>
          <t>Current Sense Resistor Calculation</t>
        </r>
        <r>
          <rPr>
            <sz val="9"/>
            <color rgb="FF000000"/>
            <rFont val="Tahoma"/>
            <family val="2"/>
          </rPr>
          <t xml:space="preserve">
</t>
        </r>
        <r>
          <rPr>
            <sz val="9"/>
            <color rgb="FF000000"/>
            <rFont val="Tahoma"/>
            <family val="2"/>
          </rPr>
          <t xml:space="preserve">
</t>
        </r>
        <r>
          <rPr>
            <sz val="9"/>
            <color rgb="FF000000"/>
            <rFont val="Tahoma"/>
            <family val="2"/>
          </rPr>
          <t xml:space="preserve">Calculated current sense resistor based on the desired maximum peak current limit. 
</t>
        </r>
        <r>
          <rPr>
            <sz val="9"/>
            <color rgb="FF000000"/>
            <rFont val="Tahoma"/>
            <family val="2"/>
          </rPr>
          <t xml:space="preserve">
</t>
        </r>
      </text>
    </comment>
    <comment ref="G31" authorId="0" shapeId="0" xr:uid="{00000000-0006-0000-0000-000011000000}">
      <text>
        <r>
          <rPr>
            <b/>
            <sz val="9"/>
            <color indexed="81"/>
            <rFont val="Tahoma"/>
            <family val="2"/>
          </rPr>
          <t>Calculated External Slope Compensation Resistor</t>
        </r>
        <r>
          <rPr>
            <sz val="9"/>
            <color indexed="81"/>
            <rFont val="Tahoma"/>
            <family val="2"/>
          </rPr>
          <t xml:space="preserve">
Calculated external slope compensation resistor based on the desired maximum peak current limit. 
</t>
        </r>
      </text>
    </comment>
    <comment ref="G35" authorId="0" shapeId="0" xr:uid="{00000000-0006-0000-0000-000013000000}">
      <text>
        <r>
          <rPr>
            <b/>
            <sz val="9"/>
            <color indexed="81"/>
            <rFont val="Tahoma"/>
            <family val="2"/>
          </rPr>
          <t>The saturation current of the inductor must be higher than the peak inductor current limint. 
Recommended Margin is ~15%</t>
        </r>
      </text>
    </comment>
    <comment ref="G38" authorId="1" shapeId="0" xr:uid="{34A1C02D-A92A-4231-935A-D27CE25D0CCD}">
      <text>
        <r>
          <rPr>
            <b/>
            <sz val="9"/>
            <color indexed="81"/>
            <rFont val="Tahoma"/>
            <family val="2"/>
          </rPr>
          <t xml:space="preserve">Peak to Peak Voltage Ripple
</t>
        </r>
        <r>
          <rPr>
            <sz val="9"/>
            <color indexed="81"/>
            <rFont val="Tahoma"/>
            <family val="2"/>
          </rPr>
          <t>Desired output voltage transient for 50% load to 100% load step.</t>
        </r>
      </text>
    </comment>
    <comment ref="G45" authorId="1" shapeId="0" xr:uid="{27BE2E58-6B05-4EB2-ACEC-FABDB0D92520}">
      <text>
        <r>
          <rPr>
            <b/>
            <sz val="9"/>
            <color rgb="FF000000"/>
            <rFont val="Tahoma"/>
            <family val="2"/>
          </rPr>
          <t xml:space="preserve">Suggested min. Softstart Capacitor
</t>
        </r>
        <r>
          <rPr>
            <sz val="9"/>
            <color rgb="FF000000"/>
            <rFont val="Tahoma"/>
            <family val="2"/>
          </rPr>
          <t xml:space="preserve">
</t>
        </r>
        <r>
          <rPr>
            <sz val="9"/>
            <color rgb="FF000000"/>
            <rFont val="Tahoma"/>
            <family val="2"/>
          </rPr>
          <t xml:space="preserve">The suggested min. Softstart Capacitor is set to avoid overshoot of the output voltage.
</t>
        </r>
        <r>
          <rPr>
            <sz val="9"/>
            <color rgb="FF000000"/>
            <rFont val="Tahoma"/>
            <family val="2"/>
          </rPr>
          <t xml:space="preserve">It is based on the Load Current and Output Capacitor.
</t>
        </r>
      </text>
    </comment>
    <comment ref="G57" authorId="0" shapeId="0" xr:uid="{00000000-0006-0000-0000-000014000000}">
      <text>
        <r>
          <rPr>
            <b/>
            <sz val="9"/>
            <color rgb="FF000000"/>
            <rFont val="Tahoma"/>
            <family val="2"/>
          </rPr>
          <t xml:space="preserve">Changes the input voltage value. Allow for evaluation of the control loop and efficiency at different input voltages.
</t>
        </r>
        <r>
          <rPr>
            <b/>
            <sz val="9"/>
            <color rgb="FF000000"/>
            <rFont val="Tahoma"/>
            <family val="2"/>
          </rPr>
          <t xml:space="preserve">
</t>
        </r>
        <r>
          <rPr>
            <b/>
            <sz val="9"/>
            <color rgb="FF000000"/>
            <rFont val="Tahoma"/>
            <family val="2"/>
          </rPr>
          <t xml:space="preserve">
</t>
        </r>
        <r>
          <rPr>
            <b/>
            <sz val="9"/>
            <color rgb="FFFF0000"/>
            <rFont val="Tahoma"/>
            <family val="2"/>
          </rPr>
          <t xml:space="preserve">The text in the cell is flagged red if:
</t>
        </r>
        <r>
          <rPr>
            <b/>
            <sz val="9"/>
            <color rgb="FFFF0000"/>
            <rFont val="Tahoma"/>
            <family val="2"/>
          </rPr>
          <t xml:space="preserve">-The variable input voltage is less than the minimum input voltage
</t>
        </r>
        <r>
          <rPr>
            <b/>
            <sz val="9"/>
            <color rgb="FFFF0000"/>
            <rFont val="Tahoma"/>
            <family val="2"/>
          </rPr>
          <t>-The variable input voltage is greater than the maximum input voltage</t>
        </r>
      </text>
    </comment>
    <comment ref="G62" authorId="1" shapeId="0" xr:uid="{CAA0D2B2-1619-4A36-A8E5-8EF89AE0C27B}">
      <text>
        <r>
          <rPr>
            <b/>
            <sz val="9"/>
            <color indexed="81"/>
            <rFont val="Tahoma"/>
            <family val="2"/>
          </rPr>
          <t>Select Bottomresistor R</t>
        </r>
        <r>
          <rPr>
            <b/>
            <sz val="8"/>
            <color indexed="81"/>
            <rFont val="Tahoma"/>
            <family val="2"/>
          </rPr>
          <t>FBB</t>
        </r>
        <r>
          <rPr>
            <b/>
            <sz val="9"/>
            <color indexed="81"/>
            <rFont val="Tahoma"/>
            <family val="2"/>
          </rPr>
          <t xml:space="preserve">
</t>
        </r>
        <r>
          <rPr>
            <sz val="9"/>
            <color indexed="81"/>
            <rFont val="Tahoma"/>
            <family val="2"/>
          </rPr>
          <t xml:space="preserve">
Select the closes value to the calculated bottom feedback resistor based on the used standard resistor series (e.g. E48).</t>
        </r>
      </text>
    </comment>
    <comment ref="F69" authorId="1" shapeId="0" xr:uid="{CA3EAB78-A137-4F5E-A063-15FB6763AD4F}">
      <text>
        <r>
          <rPr>
            <b/>
            <sz val="9"/>
            <color rgb="FF000000"/>
            <rFont val="Tahoma"/>
            <family val="2"/>
          </rPr>
          <t xml:space="preserve">Calculated Loop Comenstation Values:
</t>
        </r>
        <r>
          <rPr>
            <b/>
            <sz val="9"/>
            <color rgb="FF000000"/>
            <rFont val="Tahoma"/>
            <family val="2"/>
          </rPr>
          <t xml:space="preserve">
</t>
        </r>
        <r>
          <rPr>
            <sz val="9"/>
            <color rgb="FF000000"/>
            <rFont val="Tahoma"/>
            <family val="2"/>
          </rPr>
          <t xml:space="preserve">The calculation of this loop compensation values are based on the selected bandwidth (Fco) and the minimum input Voltage Vin.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K21" authorId="0" shapeId="0" xr:uid="{00000000-0006-0000-0100-000001000000}">
      <text>
        <r>
          <rPr>
            <b/>
            <sz val="9"/>
            <color indexed="81"/>
            <rFont val="Tahoma"/>
            <family val="2"/>
          </rPr>
          <t>Forced off time limit? 
[2 True, 1 False]</t>
        </r>
        <r>
          <rPr>
            <sz val="9"/>
            <color indexed="81"/>
            <rFont val="Tahoma"/>
            <family val="2"/>
          </rPr>
          <t xml:space="preserve">
</t>
        </r>
      </text>
    </comment>
    <comment ref="K141" authorId="0" shapeId="0" xr:uid="{00000000-0006-0000-0100-000002000000}">
      <text>
        <r>
          <rPr>
            <b/>
            <sz val="9"/>
            <color indexed="81"/>
            <rFont val="Tahoma"/>
            <family val="2"/>
          </rPr>
          <t xml:space="preserve">Slope Compensation flag. If this flag is tripped there is not enough slope compensation. Double check the calculated values
</t>
        </r>
        <r>
          <rPr>
            <sz val="9"/>
            <color indexed="81"/>
            <rFont val="Tahoma"/>
            <family val="2"/>
          </rPr>
          <t xml:space="preserve">
</t>
        </r>
      </text>
    </comment>
    <comment ref="K142" authorId="0" shapeId="0" xr:uid="{00000000-0006-0000-0100-000003000000}">
      <text>
        <r>
          <rPr>
            <sz val="9"/>
            <color indexed="81"/>
            <rFont val="Tahoma"/>
            <family val="2"/>
          </rPr>
          <t xml:space="preserve">Tripped if the current sense resistor results in a lower current limit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V6" authorId="0" shapeId="0" xr:uid="{00000000-0006-0000-0200-000001000000}">
      <text>
        <r>
          <rPr>
            <b/>
            <sz val="9"/>
            <color indexed="81"/>
            <rFont val="Tahoma"/>
            <family val="2"/>
          </rPr>
          <t xml:space="preserve">1 = DCM operation
2 = CCM operation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BMC-BCS</author>
  </authors>
  <commentList>
    <comment ref="O18" authorId="0" shapeId="0" xr:uid="{00000000-0006-0000-0300-000001000000}">
      <text>
        <r>
          <rPr>
            <b/>
            <sz val="9"/>
            <color indexed="81"/>
            <rFont val="Tahoma"/>
            <family val="2"/>
          </rPr>
          <t>BMC-BCS:</t>
        </r>
        <r>
          <rPr>
            <sz val="9"/>
            <color indexed="81"/>
            <rFont val="Tahoma"/>
            <family val="2"/>
          </rPr>
          <t xml:space="preserve">
Need to make this log not linear at some point
</t>
        </r>
      </text>
    </comment>
  </commentList>
</comments>
</file>

<file path=xl/sharedStrings.xml><?xml version="1.0" encoding="utf-8"?>
<sst xmlns="http://schemas.openxmlformats.org/spreadsheetml/2006/main" count="987" uniqueCount="582">
  <si>
    <t>TERMS OF USE</t>
  </si>
  <si>
    <t>ABOUT</t>
  </si>
  <si>
    <t>=Input Box</t>
  </si>
  <si>
    <t>Step 1: Design Specifications</t>
  </si>
  <si>
    <r>
      <t>Minimum Input Supply Voltage , V</t>
    </r>
    <r>
      <rPr>
        <vertAlign val="subscript"/>
        <sz val="10"/>
        <color theme="1"/>
        <rFont val="Calibri"/>
        <family val="2"/>
        <scheme val="minor"/>
      </rPr>
      <t>SUPPLY(min)</t>
    </r>
    <r>
      <rPr>
        <sz val="10"/>
        <color theme="1"/>
        <rFont val="Calibri"/>
        <family val="2"/>
        <scheme val="minor"/>
      </rPr>
      <t xml:space="preserve"> </t>
    </r>
  </si>
  <si>
    <r>
      <t>Typical Input Supply Voltage, V</t>
    </r>
    <r>
      <rPr>
        <vertAlign val="subscript"/>
        <sz val="10"/>
        <color theme="1"/>
        <rFont val="Calibri"/>
        <family val="2"/>
        <scheme val="minor"/>
      </rPr>
      <t>SUPPLY(typ)</t>
    </r>
    <r>
      <rPr>
        <sz val="10"/>
        <color theme="1"/>
        <rFont val="Calibri"/>
        <family val="2"/>
        <scheme val="minor"/>
      </rPr>
      <t xml:space="preserve"> </t>
    </r>
  </si>
  <si>
    <r>
      <t>Maximum Input Supply Voltage , V</t>
    </r>
    <r>
      <rPr>
        <vertAlign val="subscript"/>
        <sz val="10"/>
        <color theme="1"/>
        <rFont val="Calibri"/>
        <family val="2"/>
        <scheme val="minor"/>
      </rPr>
      <t>SUPPLY(max)</t>
    </r>
    <r>
      <rPr>
        <sz val="10"/>
        <color theme="1"/>
        <rFont val="Calibri"/>
        <family val="2"/>
        <scheme val="minor"/>
      </rPr>
      <t xml:space="preserve"> </t>
    </r>
  </si>
  <si>
    <r>
      <t>Maximum Output Current , I</t>
    </r>
    <r>
      <rPr>
        <vertAlign val="subscript"/>
        <sz val="10"/>
        <color theme="1"/>
        <rFont val="Calibri"/>
        <family val="2"/>
        <scheme val="minor"/>
      </rPr>
      <t>LOAD</t>
    </r>
    <r>
      <rPr>
        <sz val="10"/>
        <color theme="1"/>
        <rFont val="Calibri"/>
        <family val="2"/>
        <scheme val="minor"/>
      </rPr>
      <t xml:space="preserve"> </t>
    </r>
  </si>
  <si>
    <r>
      <t>Free Running Switching Frequency, F</t>
    </r>
    <r>
      <rPr>
        <vertAlign val="subscript"/>
        <sz val="10"/>
        <color theme="1"/>
        <rFont val="Calibri"/>
        <family val="2"/>
        <scheme val="minor"/>
      </rPr>
      <t>SW</t>
    </r>
  </si>
  <si>
    <t>Estimated Efficiency</t>
  </si>
  <si>
    <t>V</t>
  </si>
  <si>
    <t>A</t>
  </si>
  <si>
    <t>kHz</t>
  </si>
  <si>
    <t>%</t>
  </si>
  <si>
    <r>
      <t>Output Power, P</t>
    </r>
    <r>
      <rPr>
        <vertAlign val="subscript"/>
        <sz val="10"/>
        <color theme="1"/>
        <rFont val="Calibri"/>
        <family val="2"/>
        <scheme val="minor"/>
      </rPr>
      <t>OUT</t>
    </r>
    <r>
      <rPr>
        <sz val="10"/>
        <color theme="1"/>
        <rFont val="Calibri"/>
        <family val="2"/>
        <scheme val="minor"/>
      </rPr>
      <t xml:space="preserve"> </t>
    </r>
  </si>
  <si>
    <t>EXCEL Variables Names/Calculations</t>
  </si>
  <si>
    <t>Input from user =</t>
  </si>
  <si>
    <t>Output =</t>
  </si>
  <si>
    <t>Constant</t>
  </si>
  <si>
    <t>Variable Name</t>
  </si>
  <si>
    <t>Value</t>
  </si>
  <si>
    <t>STD Units</t>
  </si>
  <si>
    <t>Notes</t>
  </si>
  <si>
    <t>Iteration</t>
  </si>
  <si>
    <t>Step 1: Operational Specs</t>
  </si>
  <si>
    <t>VIN_min</t>
  </si>
  <si>
    <t>VIN_nom</t>
  </si>
  <si>
    <t>VIN_max</t>
  </si>
  <si>
    <t>Minimum input voltage</t>
  </si>
  <si>
    <t>Nominal input voltage</t>
  </si>
  <si>
    <t>Maximum input voltage</t>
  </si>
  <si>
    <t>VOUT</t>
  </si>
  <si>
    <t>Target Output Voltage</t>
  </si>
  <si>
    <t>IOUT</t>
  </si>
  <si>
    <t>Maximum Output current</t>
  </si>
  <si>
    <t>ROUT</t>
  </si>
  <si>
    <t>Ω</t>
  </si>
  <si>
    <t>POUT</t>
  </si>
  <si>
    <t>W</t>
  </si>
  <si>
    <t>EFF_est</t>
  </si>
  <si>
    <t>Estimated efficiency</t>
  </si>
  <si>
    <t>Total output power</t>
  </si>
  <si>
    <t>Minimum load resistance</t>
  </si>
  <si>
    <t>Dc_max_ideal</t>
  </si>
  <si>
    <t>Maximum duty cycle at the minimum input voltage</t>
  </si>
  <si>
    <t>Dc_max_IC</t>
  </si>
  <si>
    <t>Maximum IC duty cycle. Based on the forced off time. See Mathcad Calculations</t>
  </si>
  <si>
    <t>D_2p2_min</t>
  </si>
  <si>
    <t>D_2p2_nom</t>
  </si>
  <si>
    <t>D_2p2_max</t>
  </si>
  <si>
    <t>Minimum max duty cycle at 2p2MHZ operation</t>
  </si>
  <si>
    <t>t_off_max</t>
  </si>
  <si>
    <t>T_off_nom</t>
  </si>
  <si>
    <t>T_off_min</t>
  </si>
  <si>
    <t>s</t>
  </si>
  <si>
    <t>Minimum forced off time</t>
  </si>
  <si>
    <t>nominal forced off time</t>
  </si>
  <si>
    <t>Maximum forced off time</t>
  </si>
  <si>
    <t xml:space="preserve">IC Duty Cycle Limitation: </t>
  </si>
  <si>
    <t>D_limit_min</t>
  </si>
  <si>
    <t>D_limit_nom</t>
  </si>
  <si>
    <t>D_limit_max</t>
  </si>
  <si>
    <t>Nomminal max duty cycle at low frequency</t>
  </si>
  <si>
    <t xml:space="preserve">Base Calculations of </t>
  </si>
  <si>
    <t>Spec conditions</t>
  </si>
  <si>
    <t>Min max duty cycle at low frequency</t>
  </si>
  <si>
    <t>Maximum max duty cycle at low frequency</t>
  </si>
  <si>
    <t>Nominal right now</t>
  </si>
  <si>
    <t>Fsw</t>
  </si>
  <si>
    <t>Hz</t>
  </si>
  <si>
    <t xml:space="preserve">Switching frequnecy </t>
  </si>
  <si>
    <t>Flag</t>
  </si>
  <si>
    <t>Forced off time limit? [2 True, 1 False]</t>
  </si>
  <si>
    <t>RT</t>
  </si>
  <si>
    <t>Oscillator Set resistor. Based on the datasheet equation</t>
  </si>
  <si>
    <r>
      <t>Free running Oscillator Set Resistor, R</t>
    </r>
    <r>
      <rPr>
        <vertAlign val="subscript"/>
        <sz val="10"/>
        <color theme="1"/>
        <rFont val="Calibri"/>
        <family val="2"/>
        <scheme val="minor"/>
      </rPr>
      <t>T</t>
    </r>
  </si>
  <si>
    <r>
      <t>k</t>
    </r>
    <r>
      <rPr>
        <sz val="11"/>
        <color theme="1"/>
        <rFont val="Calibri"/>
        <family val="2"/>
      </rPr>
      <t>Ω</t>
    </r>
  </si>
  <si>
    <t>Step 2: Filter Inductor</t>
  </si>
  <si>
    <t>Dc_Limit</t>
  </si>
  <si>
    <t>Max duty cycle of LM5155 at Fsw</t>
  </si>
  <si>
    <t>EXCEL Constants / Values / IC Limits</t>
  </si>
  <si>
    <r>
      <t>Max Inductor DCR, R</t>
    </r>
    <r>
      <rPr>
        <vertAlign val="subscript"/>
        <sz val="10"/>
        <color theme="1"/>
        <rFont val="Calibri"/>
        <family val="2"/>
        <scheme val="minor"/>
      </rPr>
      <t>DCR</t>
    </r>
  </si>
  <si>
    <t>Dc_VIN_min</t>
  </si>
  <si>
    <t>Dc_VIN_nom</t>
  </si>
  <si>
    <t>Dc_VIN_max</t>
  </si>
  <si>
    <t>Duty cycle at the mimum input voltage (CCM)</t>
  </si>
  <si>
    <t>Duty cycle at the nominal input voltage (CCM)</t>
  </si>
  <si>
    <t>Duty cycle at the maximum input voltage (CCM)</t>
  </si>
  <si>
    <t>ton_min</t>
  </si>
  <si>
    <t>Typical Ton minimum value</t>
  </si>
  <si>
    <t>Lcalc_VIN_min</t>
  </si>
  <si>
    <t>Inductor at Minimum input voltage</t>
  </si>
  <si>
    <t>IL_avg_VIN_min</t>
  </si>
  <si>
    <t>IL_avg_VIN_nom</t>
  </si>
  <si>
    <t>IL_avg_VIN_max</t>
  </si>
  <si>
    <t>Average input current at minimum input voltage. 100% Eff assumed</t>
  </si>
  <si>
    <t>Average input current at nominal input voltage. 100% Eff assumed</t>
  </si>
  <si>
    <t>Average input current at maximum input voltage. 100% Eff assumed</t>
  </si>
  <si>
    <t>H</t>
  </si>
  <si>
    <t>ILrip</t>
  </si>
  <si>
    <t>Lopt</t>
  </si>
  <si>
    <t>Optimal inductor. Based off the average</t>
  </si>
  <si>
    <t>Lm</t>
  </si>
  <si>
    <t>Selected filter inductor</t>
  </si>
  <si>
    <t>Rdcr</t>
  </si>
  <si>
    <r>
      <t>m</t>
    </r>
    <r>
      <rPr>
        <sz val="11"/>
        <color theme="1"/>
        <rFont val="Calibri"/>
        <family val="2"/>
      </rPr>
      <t>Ω</t>
    </r>
  </si>
  <si>
    <r>
      <t>Peak inductor current, IL</t>
    </r>
    <r>
      <rPr>
        <vertAlign val="subscript"/>
        <sz val="10"/>
        <color theme="1"/>
        <rFont val="Calibri"/>
        <family val="2"/>
        <scheme val="minor"/>
      </rPr>
      <t>PK</t>
    </r>
  </si>
  <si>
    <t>Strategy 1</t>
  </si>
  <si>
    <t>Strategy 2</t>
  </si>
  <si>
    <t>VIN_33</t>
  </si>
  <si>
    <t>IIN_33</t>
  </si>
  <si>
    <t>Lopt_2</t>
  </si>
  <si>
    <t>.</t>
  </si>
  <si>
    <t>ILp_VINmin</t>
  </si>
  <si>
    <t>Peak inductor current at VIN min. Including estimated efficiency</t>
  </si>
  <si>
    <t>ILrip_VINmin</t>
  </si>
  <si>
    <t xml:space="preserve">Inductor ripple current at VIN min. </t>
  </si>
  <si>
    <t>ILrip_VINnom</t>
  </si>
  <si>
    <t>ILp_VINnom</t>
  </si>
  <si>
    <t>ILrip_VINmax</t>
  </si>
  <si>
    <t>ILp_VINmax</t>
  </si>
  <si>
    <t>Step 3: Current Sense Resistor</t>
  </si>
  <si>
    <t>Selected indutor ripple ratio. Will be changed later to a standard value just to keep things simple</t>
  </si>
  <si>
    <t xml:space="preserve">Inductor ripple current at VIN nom. </t>
  </si>
  <si>
    <t>Peak inductor current at VIN nom. Including estimated efficiency</t>
  </si>
  <si>
    <t xml:space="preserve">Inductor ripple current at VIN max. </t>
  </si>
  <si>
    <t>Peak inductor current at VIN max. Including estimated efficiency</t>
  </si>
  <si>
    <t>Step 3: Current Sense Resistor Selection</t>
  </si>
  <si>
    <t>Ipk_margin</t>
  </si>
  <si>
    <t>Peak current limit margin. 20% is a typical value</t>
  </si>
  <si>
    <t>Ipk_selected</t>
  </si>
  <si>
    <t>Selected peak current limit based on margin selection</t>
  </si>
  <si>
    <t>Peak ripple ratio: Boost this happens at 33%</t>
  </si>
  <si>
    <t>Dc_rip_max</t>
  </si>
  <si>
    <t>This value used to make the selection</t>
  </si>
  <si>
    <t>Input current at maximum ripple duty cycle</t>
  </si>
  <si>
    <t>Input voltage at maximum ripple duty cycle. If maximum input voltage Dc is &gt;.33 this value will be used</t>
  </si>
  <si>
    <t>Filter inductor DCR</t>
  </si>
  <si>
    <t>Ltol</t>
  </si>
  <si>
    <t>Assumed inductor tolerance. Constant to help simplify the user experience</t>
  </si>
  <si>
    <t>Rcs_max</t>
  </si>
  <si>
    <t>Maximum Rcs based on internal slope compensation. Assuming slope ratio of 1/2</t>
  </si>
  <si>
    <t>Rcs_sl_ratio</t>
  </si>
  <si>
    <t>ratio of down slope to slope compensation. This can be updated to give more margin</t>
  </si>
  <si>
    <t>Isl</t>
  </si>
  <si>
    <t>Internal slope compensation ramp</t>
  </si>
  <si>
    <t>Rsl_int</t>
  </si>
  <si>
    <t>Internal Slope compensation resistor</t>
  </si>
  <si>
    <t>Rcs_wo_sl</t>
  </si>
  <si>
    <t>Current sense resistor without slope compensation</t>
  </si>
  <si>
    <t>Vcl</t>
  </si>
  <si>
    <t>Current Limit Value. See datsheet for Parameters</t>
  </si>
  <si>
    <t>Flag_ext_sl</t>
  </si>
  <si>
    <t>External Compensation? (0-no, 1-yes)</t>
  </si>
  <si>
    <t>Rcs_w_sl</t>
  </si>
  <si>
    <t>Rcs_ext_sl_ratio</t>
  </si>
  <si>
    <t>External Slope compensation ratio. Constant</t>
  </si>
  <si>
    <t>R_sl_ext</t>
  </si>
  <si>
    <t>R_cs_calc</t>
  </si>
  <si>
    <t>R_sl_calc</t>
  </si>
  <si>
    <t>R_cs</t>
  </si>
  <si>
    <t>R_sl</t>
  </si>
  <si>
    <t>Current Sense Resistor calculated</t>
  </si>
  <si>
    <t>External slope compensation resistor</t>
  </si>
  <si>
    <t>Calculated external slope compensation resistor</t>
  </si>
  <si>
    <t>Calculated current sense resistor with slope compensation included</t>
  </si>
  <si>
    <r>
      <t>Recommended external slope compensation Resistor (R</t>
    </r>
    <r>
      <rPr>
        <vertAlign val="subscript"/>
        <sz val="11"/>
        <color theme="1"/>
        <rFont val="Calibri"/>
        <family val="2"/>
        <scheme val="minor"/>
      </rPr>
      <t>SL</t>
    </r>
    <r>
      <rPr>
        <sz val="11"/>
        <color theme="1"/>
        <rFont val="Calibri"/>
        <family val="2"/>
        <scheme val="minor"/>
      </rPr>
      <t>)</t>
    </r>
  </si>
  <si>
    <t>Selected current sense Resistor</t>
  </si>
  <si>
    <t>Selected external slope compensation</t>
  </si>
  <si>
    <r>
      <t>Selected external slope compensation Resistor (R</t>
    </r>
    <r>
      <rPr>
        <vertAlign val="subscript"/>
        <sz val="11"/>
        <color theme="1"/>
        <rFont val="Calibri"/>
        <family val="2"/>
        <scheme val="minor"/>
      </rPr>
      <t>SL</t>
    </r>
    <r>
      <rPr>
        <sz val="11"/>
        <color theme="1"/>
        <rFont val="Calibri"/>
        <family val="2"/>
        <scheme val="minor"/>
      </rPr>
      <t>)</t>
    </r>
  </si>
  <si>
    <t>Check to make sure that slope compensation is high enough at the minimum input voltage</t>
  </si>
  <si>
    <t>Slope Compensation</t>
  </si>
  <si>
    <t>sl_vin_min</t>
  </si>
  <si>
    <t>Actual inductor peak current limit</t>
  </si>
  <si>
    <t>IL_pk</t>
  </si>
  <si>
    <t>IL_pk_max</t>
  </si>
  <si>
    <t>Peak current limit at the minimum input voltage</t>
  </si>
  <si>
    <t>Peak inductor current limit for saturation rating.  VIN max due to the possibility of external slope comp</t>
  </si>
  <si>
    <t>sat_mar</t>
  </si>
  <si>
    <t>Margin for saturation current of the inductor</t>
  </si>
  <si>
    <t>V/V</t>
  </si>
  <si>
    <t>IL_sat</t>
  </si>
  <si>
    <t>Recommended Saturation current rating of the selected inductor</t>
  </si>
  <si>
    <t>COMP voltage Limit checks</t>
  </si>
  <si>
    <t>Will add this later. Can be left off for APL</t>
  </si>
  <si>
    <t>Step 4: Output Capacitor Selection</t>
  </si>
  <si>
    <t>mV</t>
  </si>
  <si>
    <t xml:space="preserve">Minimum output capacitance </t>
  </si>
  <si>
    <r>
      <t>Selected Output Capacitance (C</t>
    </r>
    <r>
      <rPr>
        <vertAlign val="subscript"/>
        <sz val="11"/>
        <color theme="1"/>
        <rFont val="Calibri"/>
        <family val="2"/>
        <scheme val="minor"/>
      </rPr>
      <t>OUT</t>
    </r>
    <r>
      <rPr>
        <sz val="11"/>
        <color theme="1"/>
        <rFont val="Calibri"/>
        <family val="2"/>
        <scheme val="minor"/>
      </rPr>
      <t>)</t>
    </r>
  </si>
  <si>
    <t>Desired output ripple</t>
  </si>
  <si>
    <t>Vout_rip_sel</t>
  </si>
  <si>
    <t>Recommend Minimum Inductor Saturation Current Rating</t>
  </si>
  <si>
    <t>Cout_min</t>
  </si>
  <si>
    <t>F</t>
  </si>
  <si>
    <t>Calculate minimum capacitance based simply on the capacitive ripple</t>
  </si>
  <si>
    <r>
      <t>Capacitor RMS current (I</t>
    </r>
    <r>
      <rPr>
        <vertAlign val="subscript"/>
        <sz val="11"/>
        <color theme="1"/>
        <rFont val="Calibri"/>
        <family val="2"/>
        <scheme val="minor"/>
      </rPr>
      <t>RMS_COUT</t>
    </r>
    <r>
      <rPr>
        <sz val="11"/>
        <color theme="1"/>
        <rFont val="Calibri"/>
        <family val="2"/>
        <scheme val="minor"/>
      </rPr>
      <t>)</t>
    </r>
  </si>
  <si>
    <t>IRMS_COUT</t>
  </si>
  <si>
    <t>RMS current of the output capacitor at VIN min IOUT max. RMS current rating should be larger than this.</t>
  </si>
  <si>
    <r>
      <t>Equivalent  COUT ESR (R</t>
    </r>
    <r>
      <rPr>
        <vertAlign val="subscript"/>
        <sz val="11"/>
        <color theme="1"/>
        <rFont val="Calibri"/>
        <family val="2"/>
        <scheme val="minor"/>
      </rPr>
      <t>ESR</t>
    </r>
    <r>
      <rPr>
        <sz val="11"/>
        <color theme="1"/>
        <rFont val="Calibri"/>
        <family val="2"/>
        <scheme val="minor"/>
      </rPr>
      <t>)</t>
    </r>
  </si>
  <si>
    <t>Resr</t>
  </si>
  <si>
    <t>Selected Output Capacitance</t>
  </si>
  <si>
    <t>Selected output capacitance ESR</t>
  </si>
  <si>
    <t>Cout</t>
  </si>
  <si>
    <r>
      <t>Selected Peak Current limit(IL</t>
    </r>
    <r>
      <rPr>
        <vertAlign val="subscript"/>
        <sz val="11"/>
        <color theme="1"/>
        <rFont val="Calibri"/>
        <family val="2"/>
        <scheme val="minor"/>
      </rPr>
      <t>PK_select</t>
    </r>
    <r>
      <rPr>
        <sz val="11"/>
        <color theme="1"/>
        <rFont val="Calibri"/>
        <family val="2"/>
        <scheme val="minor"/>
      </rPr>
      <t>)</t>
    </r>
  </si>
  <si>
    <t>Step 5: Loop Compensation</t>
  </si>
  <si>
    <t>Input Parameters</t>
  </si>
  <si>
    <t>Output Voltage</t>
  </si>
  <si>
    <t>Component Selection</t>
  </si>
  <si>
    <t>LM</t>
  </si>
  <si>
    <t>filter Inductor</t>
  </si>
  <si>
    <t>Current sense resi</t>
  </si>
  <si>
    <t>External Slope Compensation Resistor</t>
  </si>
  <si>
    <t>Interanl Slope Compesnation Resistor</t>
  </si>
  <si>
    <t>Interanl Slope Compesnation current</t>
  </si>
  <si>
    <t>RCOMP</t>
  </si>
  <si>
    <t>kΩ</t>
  </si>
  <si>
    <t>Feedback Resistor Selection</t>
  </si>
  <si>
    <t>pF</t>
  </si>
  <si>
    <t>nF</t>
  </si>
  <si>
    <t>CCOMP</t>
  </si>
  <si>
    <t>CHF</t>
  </si>
  <si>
    <t>Type II compensation Resistort</t>
  </si>
  <si>
    <t>Type II compensation Capacitor</t>
  </si>
  <si>
    <t>Type II high frequency capacitor</t>
  </si>
  <si>
    <t>RFBT</t>
  </si>
  <si>
    <t>RFBB</t>
  </si>
  <si>
    <t>Compensation Components</t>
  </si>
  <si>
    <t>Top feedback resistor</t>
  </si>
  <si>
    <t>Bottom feedback resistor</t>
  </si>
  <si>
    <t>Calculations</t>
  </si>
  <si>
    <t>Frequency</t>
  </si>
  <si>
    <t>Selected VIN</t>
  </si>
  <si>
    <t>VIN_var</t>
  </si>
  <si>
    <t>VIN_VAR</t>
  </si>
  <si>
    <t>Variable input voltage</t>
  </si>
  <si>
    <t>ADC</t>
  </si>
  <si>
    <t>Gcomp</t>
  </si>
  <si>
    <t>Scale down factor of the interal comp voltage divider</t>
  </si>
  <si>
    <t>Intenal step down of the divider</t>
  </si>
  <si>
    <t>DC gain of the plant function</t>
  </si>
  <si>
    <t>Acs</t>
  </si>
  <si>
    <t>Current sense Amplifier Gain (1 for this device)</t>
  </si>
  <si>
    <t>Low Frequency Pole</t>
  </si>
  <si>
    <t>RHPz zero of boost converter</t>
  </si>
  <si>
    <t>ESR zero cause by output capacitance</t>
  </si>
  <si>
    <t>wsl</t>
  </si>
  <si>
    <t>Q</t>
  </si>
  <si>
    <t>Se</t>
  </si>
  <si>
    <t xml:space="preserve">Slope compensation </t>
  </si>
  <si>
    <t>Down slope at the selected input voltage</t>
  </si>
  <si>
    <t>Sn</t>
  </si>
  <si>
    <t>Rad</t>
  </si>
  <si>
    <t>wp_lf</t>
  </si>
  <si>
    <t>wz_rhp</t>
  </si>
  <si>
    <t>wz_esr</t>
  </si>
  <si>
    <t>Gain</t>
  </si>
  <si>
    <t>Phase</t>
  </si>
  <si>
    <t>Sampling</t>
  </si>
  <si>
    <t>Complex</t>
  </si>
  <si>
    <t>Total</t>
  </si>
  <si>
    <t>Plant Transfer Function</t>
  </si>
  <si>
    <t>Error Amplifier</t>
  </si>
  <si>
    <t>Plant Parameters</t>
  </si>
  <si>
    <t>wz_ea</t>
  </si>
  <si>
    <t>Adc_ea</t>
  </si>
  <si>
    <t>gm_ea</t>
  </si>
  <si>
    <t>Error Amplifier Gain</t>
  </si>
  <si>
    <t>A/V</t>
  </si>
  <si>
    <t>wp0_ea</t>
  </si>
  <si>
    <t>wp1_ea</t>
  </si>
  <si>
    <t>ADC_ea</t>
  </si>
  <si>
    <t xml:space="preserve">Gain </t>
  </si>
  <si>
    <t>Open Loop Response</t>
  </si>
  <si>
    <t>COMPLEX</t>
  </si>
  <si>
    <t>Gain of open loop at wp_Lf</t>
  </si>
  <si>
    <t>dB</t>
  </si>
  <si>
    <r>
      <t xml:space="preserve">Variable input voltage to model the loop. </t>
    </r>
    <r>
      <rPr>
        <b/>
        <sz val="11"/>
        <color theme="1"/>
        <rFont val="Calibri"/>
        <family val="2"/>
        <scheme val="minor"/>
      </rPr>
      <t>Currently not used. Will be updated in next rev</t>
    </r>
  </si>
  <si>
    <t>Selected by user. Feedback resistor should be &gt;100uA to help reject noise</t>
  </si>
  <si>
    <t>Error Amplifier Zero</t>
  </si>
  <si>
    <t>Error Amplifier pole at the origin</t>
  </si>
  <si>
    <t>Error Amplifier pole at high frequencies</t>
  </si>
  <si>
    <t>RFBB_CALC</t>
  </si>
  <si>
    <t>Vref</t>
  </si>
  <si>
    <t>Reference voltage</t>
  </si>
  <si>
    <t>Estimated bottom feedback resistor</t>
  </si>
  <si>
    <t>Selected botton feedback resistor</t>
  </si>
  <si>
    <t>Ifb</t>
  </si>
  <si>
    <t>Current Drawn from the feedback resistors (Typically higher than 100uA to help w/ noise)</t>
  </si>
  <si>
    <r>
      <t xml:space="preserve">Plant low frequency pole. </t>
    </r>
    <r>
      <rPr>
        <b/>
        <sz val="11"/>
        <color theme="1"/>
        <rFont val="Calibri"/>
        <family val="2"/>
        <scheme val="minor"/>
      </rPr>
      <t>IN Hz!!!</t>
    </r>
  </si>
  <si>
    <r>
      <t xml:space="preserve">Plant RHP Zero, </t>
    </r>
    <r>
      <rPr>
        <b/>
        <sz val="11"/>
        <color theme="1"/>
        <rFont val="Calibri"/>
        <family val="2"/>
        <scheme val="minor"/>
      </rPr>
      <t>(IN Hz)</t>
    </r>
  </si>
  <si>
    <r>
      <t xml:space="preserve">Plant capacitor ESR zero </t>
    </r>
    <r>
      <rPr>
        <b/>
        <sz val="11"/>
        <color theme="1"/>
        <rFont val="Calibri"/>
        <family val="2"/>
        <scheme val="minor"/>
      </rPr>
      <t>(In Hz)</t>
    </r>
  </si>
  <si>
    <t>Feedback resistor selection</t>
  </si>
  <si>
    <t>Crossover Frequency Selection</t>
  </si>
  <si>
    <t>Fcross_est</t>
  </si>
  <si>
    <r>
      <t>Calculated bottom feedback resistor (R</t>
    </r>
    <r>
      <rPr>
        <vertAlign val="subscript"/>
        <sz val="11"/>
        <color theme="1"/>
        <rFont val="Calibri"/>
        <family val="2"/>
        <scheme val="minor"/>
      </rPr>
      <t>FBB_cala</t>
    </r>
    <r>
      <rPr>
        <sz val="11"/>
        <color theme="1"/>
        <rFont val="Calibri"/>
        <family val="2"/>
        <scheme val="minor"/>
      </rPr>
      <t>)</t>
    </r>
  </si>
  <si>
    <t>fcross</t>
  </si>
  <si>
    <t>Desired Crossover frequency</t>
  </si>
  <si>
    <t>1/10 the swictching frequency</t>
  </si>
  <si>
    <t>Conservative. Set Fcross to be 1/5th the RHP zero frequency or 1/10th SW: whichever is lower</t>
  </si>
  <si>
    <t>Select the lower crossover frequency</t>
  </si>
  <si>
    <t>Gplant_fc</t>
  </si>
  <si>
    <t>Gain of the plant at the desired crossover frequency</t>
  </si>
  <si>
    <t>Fcross</t>
  </si>
  <si>
    <t>wz_RHP</t>
  </si>
  <si>
    <t>Gplant_fc_dB</t>
  </si>
  <si>
    <t>Plant gain at crossover frequency (dB)</t>
  </si>
  <si>
    <t>Gea_mid_calc</t>
  </si>
  <si>
    <t>Error Amplifier Mid-band gain to set cross over frequency correctly</t>
  </si>
  <si>
    <t>Rcomp_Calc</t>
  </si>
  <si>
    <t>Calculate on based on the desired Mid-band gain needed to set the crossover frequency</t>
  </si>
  <si>
    <t>fz_ea_est</t>
  </si>
  <si>
    <t>Set the fz_ea 1/10th the cross over frequency (Common approach)</t>
  </si>
  <si>
    <t>Set the fz_ea geometerically inbetween crossover and the wp_lf</t>
  </si>
  <si>
    <t>Fz_ea_1</t>
  </si>
  <si>
    <t>Fz_ea_2</t>
  </si>
  <si>
    <t>CCOMP_calc</t>
  </si>
  <si>
    <t>CHF_Calc</t>
  </si>
  <si>
    <t>fp_ea_est</t>
  </si>
  <si>
    <r>
      <t>Select a top feedback resistor(R</t>
    </r>
    <r>
      <rPr>
        <vertAlign val="subscript"/>
        <sz val="11"/>
        <color theme="1"/>
        <rFont val="Calibri"/>
        <family val="2"/>
        <scheme val="minor"/>
      </rPr>
      <t>FBT</t>
    </r>
    <r>
      <rPr>
        <sz val="11"/>
        <color theme="1"/>
        <rFont val="Calibri"/>
        <family val="2"/>
        <scheme val="minor"/>
      </rPr>
      <t>)</t>
    </r>
  </si>
  <si>
    <t>Step 5: Soft-Start Capacitor Selection</t>
  </si>
  <si>
    <t>Step 6: UVLO Resistor Divider Selection</t>
  </si>
  <si>
    <t>Efficiency / Power Loss Analyzer</t>
  </si>
  <si>
    <r>
      <t>R</t>
    </r>
    <r>
      <rPr>
        <vertAlign val="subscript"/>
        <sz val="11"/>
        <color theme="1"/>
        <rFont val="Calibri"/>
        <family val="2"/>
        <scheme val="minor"/>
      </rPr>
      <t>COMP</t>
    </r>
  </si>
  <si>
    <t>Calculated</t>
  </si>
  <si>
    <t>Selected</t>
  </si>
  <si>
    <t>Steps</t>
  </si>
  <si>
    <t>Step size</t>
  </si>
  <si>
    <t>VIN</t>
  </si>
  <si>
    <t>DCM/CCM</t>
  </si>
  <si>
    <t>DC</t>
  </si>
  <si>
    <t>IIN</t>
  </si>
  <si>
    <t>Icrms_min</t>
  </si>
  <si>
    <t>Minimum required RMS current rating for the output capacitor bank</t>
  </si>
  <si>
    <t>On-time of the switch</t>
  </si>
  <si>
    <t>Soft-Start</t>
  </si>
  <si>
    <t>Iss</t>
  </si>
  <si>
    <t>Soft-start capacitor charge current</t>
  </si>
  <si>
    <t>Soft-Start Charge current</t>
  </si>
  <si>
    <t>Css_min</t>
  </si>
  <si>
    <t>Suggested minimum SS capacitor to minize the over shoot.</t>
  </si>
  <si>
    <t>tss</t>
  </si>
  <si>
    <t>Desired Soft-Start Capacitor</t>
  </si>
  <si>
    <r>
      <t>Suggested minimum soft-start capacitor (C</t>
    </r>
    <r>
      <rPr>
        <vertAlign val="subscript"/>
        <sz val="11"/>
        <color theme="1"/>
        <rFont val="Calibri"/>
        <family val="2"/>
        <scheme val="minor"/>
      </rPr>
      <t>SS_MIN</t>
    </r>
    <r>
      <rPr>
        <sz val="11"/>
        <color theme="1"/>
        <rFont val="Calibri"/>
        <family val="2"/>
        <scheme val="minor"/>
      </rPr>
      <t>)</t>
    </r>
  </si>
  <si>
    <t>ms</t>
  </si>
  <si>
    <t>Css_calc</t>
  </si>
  <si>
    <t>Calcualted Soft-start capacitor</t>
  </si>
  <si>
    <r>
      <t>Calculated soft-start capacitor (C</t>
    </r>
    <r>
      <rPr>
        <vertAlign val="subscript"/>
        <sz val="11"/>
        <color theme="1"/>
        <rFont val="Calibri"/>
        <family val="2"/>
        <scheme val="minor"/>
      </rPr>
      <t>SS</t>
    </r>
    <r>
      <rPr>
        <sz val="11"/>
        <color theme="1"/>
        <rFont val="Calibri"/>
        <family val="2"/>
        <scheme val="minor"/>
      </rPr>
      <t>)</t>
    </r>
  </si>
  <si>
    <r>
      <t>Desired voltage OFF (V</t>
    </r>
    <r>
      <rPr>
        <vertAlign val="subscript"/>
        <sz val="11"/>
        <color theme="1"/>
        <rFont val="Calibri"/>
        <family val="2"/>
        <scheme val="minor"/>
      </rPr>
      <t>UVLO_OFF</t>
    </r>
    <r>
      <rPr>
        <sz val="11"/>
        <color theme="1"/>
        <rFont val="Calibri"/>
        <family val="2"/>
        <scheme val="minor"/>
      </rPr>
      <t>)</t>
    </r>
  </si>
  <si>
    <r>
      <t>Desired voltage On (V</t>
    </r>
    <r>
      <rPr>
        <vertAlign val="subscript"/>
        <sz val="11"/>
        <color theme="1"/>
        <rFont val="Calibri"/>
        <family val="2"/>
        <scheme val="minor"/>
      </rPr>
      <t>UVLO_ON</t>
    </r>
    <r>
      <rPr>
        <sz val="11"/>
        <color theme="1"/>
        <rFont val="Calibri"/>
        <family val="2"/>
        <scheme val="minor"/>
      </rPr>
      <t>)</t>
    </r>
  </si>
  <si>
    <t>Step 6: UVLO Resistor Selection</t>
  </si>
  <si>
    <t>Step 5: Soft-start Capacitor selection</t>
  </si>
  <si>
    <t>Vuvlo_on</t>
  </si>
  <si>
    <t>Vuvlo_off</t>
  </si>
  <si>
    <t>Desired turn on voltage</t>
  </si>
  <si>
    <t>Desired turn off voltage</t>
  </si>
  <si>
    <t>UVLO Thresholds</t>
  </si>
  <si>
    <t>UV_rise</t>
  </si>
  <si>
    <t>UV_fall</t>
  </si>
  <si>
    <t>Falling threshold (See datasheet for more details)</t>
  </si>
  <si>
    <t>Rising Threshold (See datasheet for more details)</t>
  </si>
  <si>
    <t>Rising UV threshold</t>
  </si>
  <si>
    <t>Falling  UV threshold</t>
  </si>
  <si>
    <t>UV_I_hyst</t>
  </si>
  <si>
    <t>UVLO current hysteresis</t>
  </si>
  <si>
    <t>UVLO circuit current hysteresis</t>
  </si>
  <si>
    <t>Ruvlo_top_calc</t>
  </si>
  <si>
    <t>Ruvlo_bottom_calc</t>
  </si>
  <si>
    <t>Vuvlo_on_act</t>
  </si>
  <si>
    <t>Vuvlo_off_act</t>
  </si>
  <si>
    <t>Actual turn on voltage</t>
  </si>
  <si>
    <t>Actual turn off voltage</t>
  </si>
  <si>
    <t>Step  7: Loop Compensation</t>
  </si>
  <si>
    <t>Operation Variables</t>
  </si>
  <si>
    <t>Duty Cycle</t>
  </si>
  <si>
    <t>dIL</t>
  </si>
  <si>
    <r>
      <t>IL</t>
    </r>
    <r>
      <rPr>
        <vertAlign val="subscript"/>
        <sz val="11"/>
        <color theme="1"/>
        <rFont val="Calibri"/>
        <family val="2"/>
        <scheme val="minor"/>
      </rPr>
      <t>RMS</t>
    </r>
  </si>
  <si>
    <r>
      <t>IL</t>
    </r>
    <r>
      <rPr>
        <vertAlign val="subscript"/>
        <sz val="11"/>
        <color theme="1"/>
        <rFont val="Calibri"/>
        <family val="2"/>
        <scheme val="minor"/>
      </rPr>
      <t>PEAK</t>
    </r>
  </si>
  <si>
    <t>DC_off</t>
  </si>
  <si>
    <r>
      <t>ID</t>
    </r>
    <r>
      <rPr>
        <vertAlign val="subscript"/>
        <sz val="11"/>
        <color theme="1"/>
        <rFont val="Calibri"/>
        <family val="2"/>
        <scheme val="minor"/>
      </rPr>
      <t>RMS</t>
    </r>
  </si>
  <si>
    <t>Step 7: Component Selection</t>
  </si>
  <si>
    <t>Vd_rect</t>
  </si>
  <si>
    <t>Rect Diode forward voltage drop</t>
  </si>
  <si>
    <r>
      <t>ID</t>
    </r>
    <r>
      <rPr>
        <vertAlign val="subscript"/>
        <sz val="11"/>
        <color theme="1"/>
        <rFont val="Calibri"/>
        <family val="2"/>
        <scheme val="minor"/>
      </rPr>
      <t xml:space="preserve">AVG </t>
    </r>
    <r>
      <rPr>
        <sz val="11"/>
        <color theme="1"/>
        <rFont val="Calibri"/>
        <family val="2"/>
        <scheme val="minor"/>
      </rPr>
      <t>(A)</t>
    </r>
  </si>
  <si>
    <r>
      <t>P</t>
    </r>
    <r>
      <rPr>
        <vertAlign val="subscript"/>
        <sz val="11"/>
        <color theme="1"/>
        <rFont val="Calibri"/>
        <family val="2"/>
        <scheme val="minor"/>
      </rPr>
      <t>Lac</t>
    </r>
    <r>
      <rPr>
        <sz val="11"/>
        <color theme="1"/>
        <rFont val="Calibri"/>
        <family val="2"/>
        <scheme val="minor"/>
      </rPr>
      <t xml:space="preserve"> (W)</t>
    </r>
  </si>
  <si>
    <r>
      <t>P</t>
    </r>
    <r>
      <rPr>
        <vertAlign val="subscript"/>
        <sz val="11"/>
        <color theme="1"/>
        <rFont val="Calibri"/>
        <family val="2"/>
        <scheme val="minor"/>
      </rPr>
      <t>L_DCR</t>
    </r>
    <r>
      <rPr>
        <sz val="11"/>
        <color theme="1"/>
        <rFont val="Calibri"/>
        <family val="2"/>
        <scheme val="minor"/>
      </rPr>
      <t xml:space="preserve"> (W)</t>
    </r>
  </si>
  <si>
    <r>
      <t>P</t>
    </r>
    <r>
      <rPr>
        <vertAlign val="subscript"/>
        <sz val="11"/>
        <color theme="1"/>
        <rFont val="Calibri"/>
        <family val="2"/>
        <scheme val="minor"/>
      </rPr>
      <t xml:space="preserve">D_COND </t>
    </r>
    <r>
      <rPr>
        <sz val="11"/>
        <color theme="1"/>
        <rFont val="Calibri"/>
        <family val="2"/>
        <scheme val="minor"/>
      </rPr>
      <t>(W)</t>
    </r>
  </si>
  <si>
    <r>
      <t>P</t>
    </r>
    <r>
      <rPr>
        <vertAlign val="subscript"/>
        <sz val="11"/>
        <color theme="1"/>
        <rFont val="Calibri"/>
        <family val="2"/>
        <scheme val="minor"/>
      </rPr>
      <t xml:space="preserve">D_SW </t>
    </r>
    <r>
      <rPr>
        <sz val="11"/>
        <color theme="1"/>
        <rFont val="Calibri"/>
        <family val="2"/>
        <scheme val="minor"/>
      </rPr>
      <t>(W)</t>
    </r>
  </si>
  <si>
    <r>
      <t>On-State Resistance, R</t>
    </r>
    <r>
      <rPr>
        <vertAlign val="subscript"/>
        <sz val="10"/>
        <rFont val="Arial"/>
        <family val="2"/>
      </rPr>
      <t>DS(on)</t>
    </r>
    <r>
      <rPr>
        <sz val="10"/>
        <rFont val="Arial"/>
        <family val="2"/>
      </rPr>
      <t xml:space="preserve"> </t>
    </r>
  </si>
  <si>
    <r>
      <t>Total Gate Charge, Q</t>
    </r>
    <r>
      <rPr>
        <vertAlign val="subscript"/>
        <sz val="10"/>
        <rFont val="Arial"/>
        <family val="2"/>
      </rPr>
      <t>G</t>
    </r>
    <r>
      <rPr>
        <sz val="10"/>
        <rFont val="Arial"/>
        <family val="2"/>
      </rPr>
      <t xml:space="preserve"> </t>
    </r>
  </si>
  <si>
    <r>
      <t>Gate-Drain Charge, Q</t>
    </r>
    <r>
      <rPr>
        <vertAlign val="subscript"/>
        <sz val="10"/>
        <rFont val="Arial"/>
        <family val="2"/>
      </rPr>
      <t>GD</t>
    </r>
    <r>
      <rPr>
        <sz val="10"/>
        <rFont val="Arial"/>
        <family val="2"/>
      </rPr>
      <t xml:space="preserve"> </t>
    </r>
  </si>
  <si>
    <r>
      <t>Gate-Source Charge, Q</t>
    </r>
    <r>
      <rPr>
        <vertAlign val="subscript"/>
        <sz val="10"/>
        <rFont val="Arial"/>
        <family val="2"/>
      </rPr>
      <t>GS</t>
    </r>
    <r>
      <rPr>
        <sz val="10"/>
        <rFont val="Arial"/>
        <family val="2"/>
      </rPr>
      <t xml:space="preserve"> </t>
    </r>
  </si>
  <si>
    <r>
      <t>Gate Resistance, R</t>
    </r>
    <r>
      <rPr>
        <vertAlign val="subscript"/>
        <sz val="10"/>
        <rFont val="Arial"/>
        <family val="2"/>
      </rPr>
      <t>G</t>
    </r>
    <r>
      <rPr>
        <sz val="10"/>
        <rFont val="Arial"/>
        <family val="2"/>
      </rPr>
      <t xml:space="preserve"> </t>
    </r>
  </si>
  <si>
    <r>
      <t>Transconductance, g</t>
    </r>
    <r>
      <rPr>
        <vertAlign val="subscript"/>
        <sz val="10"/>
        <rFont val="Arial"/>
        <family val="2"/>
      </rPr>
      <t>FS</t>
    </r>
    <r>
      <rPr>
        <sz val="10"/>
        <rFont val="Arial"/>
        <family val="2"/>
      </rPr>
      <t xml:space="preserve"> </t>
    </r>
  </si>
  <si>
    <r>
      <t>Gate-Source Threshold Voltage, V</t>
    </r>
    <r>
      <rPr>
        <vertAlign val="subscript"/>
        <sz val="10"/>
        <rFont val="Arial"/>
        <family val="2"/>
      </rPr>
      <t>TH</t>
    </r>
    <r>
      <rPr>
        <sz val="10"/>
        <rFont val="Arial"/>
        <family val="2"/>
      </rPr>
      <t xml:space="preserve"> </t>
    </r>
  </si>
  <si>
    <t>mΩ</t>
  </si>
  <si>
    <t>nC</t>
  </si>
  <si>
    <t>Ω</t>
  </si>
  <si>
    <t>S</t>
  </si>
  <si>
    <t>Diode Parameters</t>
  </si>
  <si>
    <t>MOSFET parameters</t>
  </si>
  <si>
    <r>
      <t>Forward Voltage Drop (V</t>
    </r>
    <r>
      <rPr>
        <vertAlign val="subscript"/>
        <sz val="11"/>
        <color theme="1"/>
        <rFont val="Calibri"/>
        <family val="2"/>
        <scheme val="minor"/>
      </rPr>
      <t>D</t>
    </r>
    <r>
      <rPr>
        <sz val="11"/>
        <color theme="1"/>
        <rFont val="Calibri"/>
        <family val="2"/>
        <scheme val="minor"/>
      </rPr>
      <t>)</t>
    </r>
  </si>
  <si>
    <t>MOSFET Parameters</t>
  </si>
  <si>
    <t>Qg_tot</t>
  </si>
  <si>
    <t>Qgs</t>
  </si>
  <si>
    <t>Qgd</t>
  </si>
  <si>
    <t>Rgate</t>
  </si>
  <si>
    <t>gfs</t>
  </si>
  <si>
    <t>Vth</t>
  </si>
  <si>
    <t>Reverse recovery charge of Schottky  Diode (QRR)</t>
  </si>
  <si>
    <t>C</t>
  </si>
  <si>
    <t>Shottky Reverse recovery charge</t>
  </si>
  <si>
    <t>Qrr</t>
  </si>
  <si>
    <t>RDS_on</t>
  </si>
  <si>
    <t>Rgate_int</t>
  </si>
  <si>
    <t>Internal Gate resistance of the MOSFET driver.</t>
  </si>
  <si>
    <t>Vsp</t>
  </si>
  <si>
    <t>Gate voltage when MOSFET begins conducting current</t>
  </si>
  <si>
    <t>Rise time of the switch node</t>
  </si>
  <si>
    <t>Fall time of the switch node</t>
  </si>
  <si>
    <t>VCC</t>
  </si>
  <si>
    <t>VCC regulator</t>
  </si>
  <si>
    <t>Vcc</t>
  </si>
  <si>
    <t>Regulated output voltage of internal LDO. Can change if this is externally biased.</t>
  </si>
  <si>
    <t>Need to double check this value</t>
  </si>
  <si>
    <t xml:space="preserve">VCC voltage. Can be changed with external bias. </t>
  </si>
  <si>
    <t>tr_sw</t>
  </si>
  <si>
    <t>tf_sw</t>
  </si>
  <si>
    <r>
      <t>ISW</t>
    </r>
    <r>
      <rPr>
        <vertAlign val="subscript"/>
        <sz val="11"/>
        <color theme="1"/>
        <rFont val="Calibri"/>
        <family val="2"/>
        <scheme val="minor"/>
      </rPr>
      <t xml:space="preserve">AVG </t>
    </r>
    <r>
      <rPr>
        <sz val="11"/>
        <color theme="1"/>
        <rFont val="Calibri"/>
        <family val="2"/>
        <scheme val="minor"/>
      </rPr>
      <t>(A)</t>
    </r>
  </si>
  <si>
    <r>
      <t>ISW</t>
    </r>
    <r>
      <rPr>
        <vertAlign val="subscript"/>
        <sz val="11"/>
        <color theme="1"/>
        <rFont val="Calibri"/>
        <family val="2"/>
        <scheme val="minor"/>
      </rPr>
      <t>RMS</t>
    </r>
  </si>
  <si>
    <r>
      <t>P</t>
    </r>
    <r>
      <rPr>
        <vertAlign val="subscript"/>
        <sz val="11"/>
        <color theme="1"/>
        <rFont val="Calibri"/>
        <family val="2"/>
        <scheme val="minor"/>
      </rPr>
      <t xml:space="preserve">Q_SW </t>
    </r>
    <r>
      <rPr>
        <sz val="11"/>
        <color theme="1"/>
        <rFont val="Calibri"/>
        <family val="2"/>
        <scheme val="minor"/>
      </rPr>
      <t>(W)</t>
    </r>
  </si>
  <si>
    <r>
      <t>P</t>
    </r>
    <r>
      <rPr>
        <vertAlign val="subscript"/>
        <sz val="11"/>
        <color theme="1"/>
        <rFont val="Calibri"/>
        <family val="2"/>
        <scheme val="minor"/>
      </rPr>
      <t xml:space="preserve">Q_COND </t>
    </r>
    <r>
      <rPr>
        <sz val="11"/>
        <color theme="1"/>
        <rFont val="Calibri"/>
        <family val="2"/>
        <scheme val="minor"/>
      </rPr>
      <t>(W)</t>
    </r>
  </si>
  <si>
    <r>
      <t>P</t>
    </r>
    <r>
      <rPr>
        <vertAlign val="subscript"/>
        <sz val="11"/>
        <color theme="1"/>
        <rFont val="Calibri"/>
        <family val="2"/>
        <scheme val="minor"/>
      </rPr>
      <t xml:space="preserve">Q_tot </t>
    </r>
    <r>
      <rPr>
        <sz val="11"/>
        <color theme="1"/>
        <rFont val="Calibri"/>
        <family val="2"/>
        <scheme val="minor"/>
      </rPr>
      <t>(W)</t>
    </r>
  </si>
  <si>
    <r>
      <t>P</t>
    </r>
    <r>
      <rPr>
        <vertAlign val="subscript"/>
        <sz val="11"/>
        <color theme="1"/>
        <rFont val="Calibri"/>
        <family val="2"/>
        <scheme val="minor"/>
      </rPr>
      <t xml:space="preserve">D_tot </t>
    </r>
    <r>
      <rPr>
        <sz val="11"/>
        <color theme="1"/>
        <rFont val="Calibri"/>
        <family val="2"/>
        <scheme val="minor"/>
      </rPr>
      <t>(W)</t>
    </r>
  </si>
  <si>
    <r>
      <t>P</t>
    </r>
    <r>
      <rPr>
        <vertAlign val="subscript"/>
        <sz val="11"/>
        <color theme="1"/>
        <rFont val="Calibri"/>
        <family val="2"/>
        <scheme val="minor"/>
      </rPr>
      <t>L_tot</t>
    </r>
    <r>
      <rPr>
        <sz val="11"/>
        <color theme="1"/>
        <rFont val="Calibri"/>
        <family val="2"/>
        <scheme val="minor"/>
      </rPr>
      <t xml:space="preserve"> (W)</t>
    </r>
  </si>
  <si>
    <r>
      <t>P</t>
    </r>
    <r>
      <rPr>
        <vertAlign val="subscript"/>
        <sz val="11"/>
        <color theme="1"/>
        <rFont val="Calibri"/>
        <family val="2"/>
        <scheme val="minor"/>
      </rPr>
      <t>RCS</t>
    </r>
    <r>
      <rPr>
        <sz val="11"/>
        <color theme="1"/>
        <rFont val="Calibri"/>
        <family val="2"/>
        <scheme val="minor"/>
      </rPr>
      <t xml:space="preserve"> (W)</t>
    </r>
  </si>
  <si>
    <t>Total Losses</t>
  </si>
  <si>
    <r>
      <t>P</t>
    </r>
    <r>
      <rPr>
        <vertAlign val="subscript"/>
        <sz val="11"/>
        <color theme="1"/>
        <rFont val="Calibri"/>
        <family val="2"/>
        <scheme val="minor"/>
      </rPr>
      <t>TOTAL</t>
    </r>
    <r>
      <rPr>
        <sz val="11"/>
        <color theme="1"/>
        <rFont val="Calibri"/>
        <family val="2"/>
        <scheme val="minor"/>
      </rPr>
      <t xml:space="preserve"> (W)</t>
    </r>
  </si>
  <si>
    <r>
      <t>P</t>
    </r>
    <r>
      <rPr>
        <vertAlign val="subscript"/>
        <sz val="11"/>
        <color theme="1"/>
        <rFont val="Calibri"/>
        <family val="2"/>
        <scheme val="minor"/>
      </rPr>
      <t>G_drv</t>
    </r>
    <r>
      <rPr>
        <sz val="11"/>
        <color theme="1"/>
        <rFont val="Calibri"/>
        <family val="2"/>
        <scheme val="minor"/>
      </rPr>
      <t xml:space="preserve"> (W)</t>
    </r>
  </si>
  <si>
    <r>
      <t>P</t>
    </r>
    <r>
      <rPr>
        <vertAlign val="subscript"/>
        <sz val="11"/>
        <color theme="1"/>
        <rFont val="Calibri"/>
        <family val="2"/>
        <scheme val="minor"/>
      </rPr>
      <t>IQ</t>
    </r>
    <r>
      <rPr>
        <sz val="11"/>
        <color theme="1"/>
        <rFont val="Calibri"/>
        <family val="2"/>
        <scheme val="minor"/>
      </rPr>
      <t xml:space="preserve"> (W)</t>
    </r>
  </si>
  <si>
    <t>IQ current</t>
  </si>
  <si>
    <t xml:space="preserve">IQ </t>
  </si>
  <si>
    <t>Non-switching IQ current</t>
  </si>
  <si>
    <t>Other Losses</t>
  </si>
  <si>
    <t>Eff</t>
  </si>
  <si>
    <r>
      <t>P</t>
    </r>
    <r>
      <rPr>
        <vertAlign val="subscript"/>
        <sz val="11"/>
        <color theme="1"/>
        <rFont val="Calibri"/>
        <family val="2"/>
        <scheme val="minor"/>
      </rPr>
      <t>OUT</t>
    </r>
    <r>
      <rPr>
        <sz val="11"/>
        <color theme="1"/>
        <rFont val="Calibri"/>
        <family val="2"/>
        <scheme val="minor"/>
      </rPr>
      <t xml:space="preserve"> (W)</t>
    </r>
  </si>
  <si>
    <t>MOSFET</t>
  </si>
  <si>
    <t>Inductor</t>
  </si>
  <si>
    <t>Diode</t>
  </si>
  <si>
    <r>
      <t>C</t>
    </r>
    <r>
      <rPr>
        <vertAlign val="subscript"/>
        <sz val="11"/>
        <color theme="1"/>
        <rFont val="Calibri"/>
        <family val="2"/>
        <scheme val="minor"/>
      </rPr>
      <t>COMP</t>
    </r>
  </si>
  <si>
    <r>
      <t>C</t>
    </r>
    <r>
      <rPr>
        <vertAlign val="subscript"/>
        <sz val="11"/>
        <color theme="1"/>
        <rFont val="Calibri"/>
        <family val="2"/>
        <scheme val="minor"/>
      </rPr>
      <t>HF</t>
    </r>
  </si>
  <si>
    <t>IOUT_VAR</t>
  </si>
  <si>
    <t>Variable output current (Need to add this in</t>
  </si>
  <si>
    <t>RHP_zero location based on the minimum input voltage</t>
  </si>
  <si>
    <t>Low frequency pole based on the minimum input voltage</t>
  </si>
  <si>
    <t>rad</t>
  </si>
  <si>
    <t>raf</t>
  </si>
  <si>
    <t>ESR zero based on the minimum input voltage</t>
  </si>
  <si>
    <t>This is based on the minimum input voltage. T</t>
  </si>
  <si>
    <t>Input Voltage</t>
  </si>
  <si>
    <r>
      <t>Recommended Inductance (L</t>
    </r>
    <r>
      <rPr>
        <vertAlign val="subscript"/>
        <sz val="10"/>
        <color theme="1"/>
        <rFont val="Calibri"/>
        <family val="2"/>
        <scheme val="minor"/>
      </rPr>
      <t>M_CALC</t>
    </r>
    <r>
      <rPr>
        <sz val="10"/>
        <color theme="1"/>
        <rFont val="Calibri"/>
        <family val="2"/>
        <scheme val="minor"/>
      </rPr>
      <t>)</t>
    </r>
  </si>
  <si>
    <r>
      <t>User Selection. Inductance, (L</t>
    </r>
    <r>
      <rPr>
        <vertAlign val="subscript"/>
        <sz val="10"/>
        <color theme="1"/>
        <rFont val="Calibri"/>
        <family val="2"/>
        <scheme val="minor"/>
      </rPr>
      <t>M</t>
    </r>
    <r>
      <rPr>
        <sz val="10"/>
        <color theme="1"/>
        <rFont val="Calibri"/>
        <family val="2"/>
        <scheme val="minor"/>
      </rPr>
      <t>)</t>
    </r>
  </si>
  <si>
    <t>Id_AVG</t>
  </si>
  <si>
    <t xml:space="preserve">Suggested average current rating of diode. </t>
  </si>
  <si>
    <r>
      <t>Calculated top UVLO resistor value (R</t>
    </r>
    <r>
      <rPr>
        <vertAlign val="subscript"/>
        <sz val="11"/>
        <color theme="1"/>
        <rFont val="Calibri"/>
        <family val="2"/>
        <scheme val="minor"/>
      </rPr>
      <t>UVT_CALC</t>
    </r>
    <r>
      <rPr>
        <sz val="11"/>
        <color theme="1"/>
        <rFont val="Calibri"/>
        <family val="2"/>
        <scheme val="minor"/>
      </rPr>
      <t>)</t>
    </r>
  </si>
  <si>
    <r>
      <t>Selected top UVLO resistor value (R</t>
    </r>
    <r>
      <rPr>
        <vertAlign val="subscript"/>
        <sz val="11"/>
        <color theme="1"/>
        <rFont val="Calibri"/>
        <family val="2"/>
        <scheme val="minor"/>
      </rPr>
      <t>UVT</t>
    </r>
    <r>
      <rPr>
        <sz val="11"/>
        <color theme="1"/>
        <rFont val="Calibri"/>
        <family val="2"/>
        <scheme val="minor"/>
      </rPr>
      <t>)</t>
    </r>
  </si>
  <si>
    <r>
      <t>Bottom UVLO Resistor (R</t>
    </r>
    <r>
      <rPr>
        <vertAlign val="subscript"/>
        <sz val="11"/>
        <color theme="1"/>
        <rFont val="Calibri"/>
        <family val="2"/>
        <scheme val="minor"/>
      </rPr>
      <t>UVB</t>
    </r>
    <r>
      <rPr>
        <sz val="11"/>
        <color theme="1"/>
        <rFont val="Calibri"/>
        <family val="2"/>
        <scheme val="minor"/>
      </rPr>
      <t>)</t>
    </r>
  </si>
  <si>
    <t>Calcualted top UVLO resistor</t>
  </si>
  <si>
    <t>Selected top UVLO resistor</t>
  </si>
  <si>
    <t>Calcualted Bottom UBLO Resistor</t>
  </si>
  <si>
    <t>Frcoss (VIN)min</t>
  </si>
  <si>
    <t>ADC_VINmin</t>
  </si>
  <si>
    <t>wp_lf_VINmin</t>
  </si>
  <si>
    <t>fp_lf_VINmin</t>
  </si>
  <si>
    <t>wz_esr_VINmin</t>
  </si>
  <si>
    <t>fz_esr_VINmin</t>
  </si>
  <si>
    <t>wz_RHP_VINmin</t>
  </si>
  <si>
    <t>fz_rhp_VINmin</t>
  </si>
  <si>
    <t>Se_VINmin</t>
  </si>
  <si>
    <t>Sn_VINmin</t>
  </si>
  <si>
    <t>wsl_VINmin</t>
  </si>
  <si>
    <t>Q_VINmin</t>
  </si>
  <si>
    <t>Operation Raange</t>
  </si>
  <si>
    <t>Vin_op_min</t>
  </si>
  <si>
    <t>Minimum operating voltage</t>
  </si>
  <si>
    <t>Maximum BIAS pin operating voltage</t>
  </si>
  <si>
    <t>Vin_op_max</t>
  </si>
  <si>
    <r>
      <t>Boost Converter Duty Cycle Limit by LM5155 at V</t>
    </r>
    <r>
      <rPr>
        <vertAlign val="subscript"/>
        <sz val="10"/>
        <color theme="1"/>
        <rFont val="Calibri"/>
        <family val="2"/>
        <scheme val="minor"/>
      </rPr>
      <t>SUPPLY(MIN)</t>
    </r>
  </si>
  <si>
    <r>
      <t>Desired Maximum Inductor Current Ripple Ratio (I</t>
    </r>
    <r>
      <rPr>
        <vertAlign val="subscript"/>
        <sz val="10"/>
        <color theme="1"/>
        <rFont val="Calibri"/>
        <family val="2"/>
        <scheme val="minor"/>
      </rPr>
      <t>RR_MAX</t>
    </r>
    <r>
      <rPr>
        <sz val="10"/>
        <color theme="1"/>
        <rFont val="Calibri"/>
        <family val="2"/>
        <scheme val="minor"/>
      </rPr>
      <t>)</t>
    </r>
  </si>
  <si>
    <t>Peak Current Limit Margin</t>
  </si>
  <si>
    <r>
      <t>Voltage selected (V</t>
    </r>
    <r>
      <rPr>
        <vertAlign val="subscript"/>
        <sz val="11"/>
        <rFont val="Calibri"/>
        <family val="2"/>
        <scheme val="minor"/>
      </rPr>
      <t>IN_VAR</t>
    </r>
    <r>
      <rPr>
        <sz val="11"/>
        <rFont val="Calibri"/>
        <family val="2"/>
        <scheme val="minor"/>
      </rPr>
      <t>)</t>
    </r>
  </si>
  <si>
    <t>This should be set at or near the lowest RHP zero Frequency</t>
  </si>
  <si>
    <t>Set between 1/2 fsw and the RHPz in the application note. This is aggressive</t>
  </si>
  <si>
    <r>
      <t>Recommended minimum average current rating (I</t>
    </r>
    <r>
      <rPr>
        <vertAlign val="subscript"/>
        <sz val="11"/>
        <color theme="1"/>
        <rFont val="Calibri"/>
        <family val="2"/>
        <scheme val="minor"/>
      </rPr>
      <t>D_AVG</t>
    </r>
    <r>
      <rPr>
        <sz val="11"/>
        <color theme="1"/>
        <rFont val="Calibri"/>
        <family val="2"/>
        <scheme val="minor"/>
      </rPr>
      <t>)</t>
    </r>
  </si>
  <si>
    <r>
      <t>Recommended current sense Resistor (R</t>
    </r>
    <r>
      <rPr>
        <vertAlign val="subscript"/>
        <sz val="11"/>
        <color theme="1"/>
        <rFont val="Calibri"/>
        <family val="2"/>
        <scheme val="minor"/>
      </rPr>
      <t>S</t>
    </r>
    <r>
      <rPr>
        <sz val="11"/>
        <color theme="1"/>
        <rFont val="Calibri"/>
        <family val="2"/>
        <scheme val="minor"/>
      </rPr>
      <t>)</t>
    </r>
  </si>
  <si>
    <r>
      <t>Selected current sense Resistor (R</t>
    </r>
    <r>
      <rPr>
        <vertAlign val="subscript"/>
        <sz val="11"/>
        <color theme="1"/>
        <rFont val="Calibri"/>
        <family val="2"/>
        <scheme val="minor"/>
      </rPr>
      <t>S</t>
    </r>
    <r>
      <rPr>
        <sz val="11"/>
        <color theme="1"/>
        <rFont val="Calibri"/>
        <family val="2"/>
        <scheme val="minor"/>
      </rPr>
      <t>)</t>
    </r>
  </si>
  <si>
    <t>CCM</t>
  </si>
  <si>
    <t>DCM</t>
  </si>
  <si>
    <t>Dc_DCM_max_ideal</t>
  </si>
  <si>
    <t>Duty cycle at the mimum input voltage (DCM)</t>
  </si>
  <si>
    <t>Duty cycle at the nominal input voltage (DCM)</t>
  </si>
  <si>
    <t>Duty cycle at the maximum input voltage (DCM)</t>
  </si>
  <si>
    <t>Dc_DCM_VIN_min</t>
  </si>
  <si>
    <t>IL_avg_DCM_VIN_min</t>
  </si>
  <si>
    <t>Dc_DCM_VIN_nom</t>
  </si>
  <si>
    <t>IL_avg_DCM_VIN_nom</t>
  </si>
  <si>
    <t>Dc_DCM_VIN_max</t>
  </si>
  <si>
    <t xml:space="preserve">Duty cycle at the mimum input voltage </t>
  </si>
  <si>
    <t>Duty cycle at the nominal input voltage</t>
  </si>
  <si>
    <t>Duty cycle at the maximum input voltage</t>
  </si>
  <si>
    <t>Dc_CCM_max_ideal</t>
  </si>
  <si>
    <t>Dc_CCM_VIN_min</t>
  </si>
  <si>
    <t>IL_avg_CCM_VIN_min</t>
  </si>
  <si>
    <t>Dc_CCM_VIN_nom</t>
  </si>
  <si>
    <t>IL_avg_CCM_VIN_nom</t>
  </si>
  <si>
    <t>Dc_CCM_VIN_max</t>
  </si>
  <si>
    <t>IL_avg_CCM_VIN_max</t>
  </si>
  <si>
    <t>Selected Mode for Calculation</t>
  </si>
  <si>
    <t>Possible Mode due to Load and L Selection</t>
  </si>
  <si>
    <t xml:space="preserve">Ideal Duty Cycle at VSUPPLY(MIN) </t>
  </si>
  <si>
    <t>CCM/DCM selected</t>
  </si>
  <si>
    <t>Rsl_max</t>
  </si>
  <si>
    <t>Maximum Value of Rsl (DS page 21)</t>
  </si>
  <si>
    <t>Operation Mode</t>
  </si>
  <si>
    <t>Version Number</t>
  </si>
  <si>
    <t>1.0.0</t>
  </si>
  <si>
    <t>Version History</t>
  </si>
  <si>
    <t>Version</t>
  </si>
  <si>
    <t>Change List Description</t>
  </si>
  <si>
    <t>Initial Release</t>
  </si>
  <si>
    <r>
      <t>Desired soft-start time at minimum input voltage (T</t>
    </r>
    <r>
      <rPr>
        <vertAlign val="subscript"/>
        <sz val="11"/>
        <color theme="1"/>
        <rFont val="Calibri"/>
        <family val="2"/>
        <scheme val="minor"/>
      </rPr>
      <t>SS</t>
    </r>
    <r>
      <rPr>
        <sz val="11"/>
        <color theme="1"/>
        <rFont val="Calibri"/>
        <family val="2"/>
        <scheme val="minor"/>
      </rPr>
      <t>)</t>
    </r>
  </si>
  <si>
    <r>
      <t>Select a bottom resistor based on calculated value(R</t>
    </r>
    <r>
      <rPr>
        <vertAlign val="subscript"/>
        <sz val="11"/>
        <color theme="1"/>
        <rFont val="Calibri"/>
        <family val="2"/>
        <scheme val="minor"/>
      </rPr>
      <t>FBB</t>
    </r>
    <r>
      <rPr>
        <sz val="11"/>
        <color theme="1"/>
        <rFont val="Calibri"/>
        <family val="2"/>
        <scheme val="minor"/>
      </rPr>
      <t>)</t>
    </r>
  </si>
  <si>
    <t>1.1.0</t>
  </si>
  <si>
    <t>Added DCM mode</t>
  </si>
  <si>
    <t>Sel_Cond_Mode</t>
  </si>
  <si>
    <t>ConductionMode</t>
  </si>
  <si>
    <t>Gain Cross</t>
  </si>
  <si>
    <t>Phase Cross</t>
  </si>
  <si>
    <t>XOVER SEARCH</t>
  </si>
  <si>
    <t>xover</t>
  </si>
  <si>
    <t>phase margin</t>
  </si>
  <si>
    <r>
      <t>Target Output Voltage, V</t>
    </r>
    <r>
      <rPr>
        <vertAlign val="subscript"/>
        <sz val="10"/>
        <color theme="1"/>
        <rFont val="Calibri"/>
        <family val="2"/>
        <scheme val="minor"/>
      </rPr>
      <t>LOAD</t>
    </r>
    <r>
      <rPr>
        <sz val="10"/>
        <color theme="1"/>
        <rFont val="Calibri"/>
        <family val="2"/>
        <scheme val="minor"/>
      </rPr>
      <t xml:space="preserve"> </t>
    </r>
  </si>
  <si>
    <r>
      <t>Desired Output ripple voltage (</t>
    </r>
    <r>
      <rPr>
        <sz val="11"/>
        <color theme="1"/>
        <rFont val="Calibri"/>
        <family val="2"/>
      </rPr>
      <t>Δv</t>
    </r>
    <r>
      <rPr>
        <vertAlign val="subscript"/>
        <sz val="11"/>
        <color theme="1"/>
        <rFont val="Calibri"/>
        <family val="2"/>
      </rPr>
      <t>OUT</t>
    </r>
    <r>
      <rPr>
        <sz val="11"/>
        <color theme="1"/>
        <rFont val="Calibri"/>
        <family val="2"/>
      </rPr>
      <t>)</t>
    </r>
  </si>
  <si>
    <r>
      <rPr>
        <sz val="11"/>
        <color theme="1"/>
        <rFont val="Calibri"/>
        <family val="2"/>
      </rPr>
      <t>μ</t>
    </r>
    <r>
      <rPr>
        <sz val="11"/>
        <color theme="1"/>
        <rFont val="Calibri"/>
        <family val="2"/>
        <scheme val="minor"/>
      </rPr>
      <t>H</t>
    </r>
  </si>
  <si>
    <r>
      <rPr>
        <sz val="11"/>
        <color theme="1"/>
        <rFont val="Calibri"/>
        <family val="2"/>
      </rPr>
      <t>μ</t>
    </r>
    <r>
      <rPr>
        <sz val="11"/>
        <color theme="1"/>
        <rFont val="Calibri"/>
        <family val="2"/>
        <scheme val="minor"/>
      </rPr>
      <t>F</t>
    </r>
  </si>
  <si>
    <t>wp_hf</t>
  </si>
  <si>
    <t>HF pole used for DCM</t>
  </si>
  <si>
    <t>Fn</t>
  </si>
  <si>
    <t>M</t>
  </si>
  <si>
    <t>Hd</t>
  </si>
  <si>
    <t>tauL</t>
  </si>
  <si>
    <t>Suggested maximum bandwidth</t>
  </si>
  <si>
    <r>
      <t>Selected bandwidth (F</t>
    </r>
    <r>
      <rPr>
        <vertAlign val="subscript"/>
        <sz val="11"/>
        <color theme="1"/>
        <rFont val="Calibri"/>
        <family val="2"/>
        <scheme val="minor"/>
      </rPr>
      <t>CO</t>
    </r>
    <r>
      <rPr>
        <sz val="11"/>
        <color theme="1"/>
        <rFont val="Calibri"/>
        <family val="2"/>
        <scheme val="minor"/>
      </rPr>
      <t>)</t>
    </r>
  </si>
  <si>
    <t>Mode</t>
  </si>
  <si>
    <t>Valid Lm</t>
  </si>
  <si>
    <t>L dcm/ccm</t>
  </si>
  <si>
    <t>min</t>
  </si>
  <si>
    <t>max</t>
  </si>
  <si>
    <t>min10%</t>
  </si>
  <si>
    <t>max10%</t>
  </si>
  <si>
    <t>V in min</t>
  </si>
  <si>
    <t>V in nom</t>
  </si>
  <si>
    <t>DC CCM &lt; DCM</t>
  </si>
  <si>
    <t>CCM/DCM</t>
  </si>
  <si>
    <t>Dc_Mode_Loop_Loop</t>
  </si>
  <si>
    <t>Duty Cycle mode for Loop Comenstation</t>
  </si>
  <si>
    <t>CCM only</t>
  </si>
  <si>
    <t>DCM only</t>
  </si>
  <si>
    <t>ModeCheck</t>
  </si>
  <si>
    <t>Lcalc_VIN_max</t>
  </si>
  <si>
    <t>Lcalc_VIN_nom</t>
  </si>
  <si>
    <t>Inductor at Nominal input voltage</t>
  </si>
  <si>
    <t>Inductor at Maximum input voltage</t>
  </si>
  <si>
    <t>V in max</t>
  </si>
  <si>
    <t>Strategy DCM</t>
  </si>
  <si>
    <t>L_DCM</t>
  </si>
  <si>
    <t>1.1.1</t>
  </si>
  <si>
    <t>Fixed reporting of wrong phase Margin</t>
  </si>
  <si>
    <t>Rev 1.1.1</t>
  </si>
  <si>
    <t>August-2021</t>
  </si>
  <si>
    <t>LM5155/56 DC/DC BOOST Controller Design Tool</t>
  </si>
  <si>
    <t>VIN_op_max_56</t>
  </si>
  <si>
    <t>Maximum BIAS pin operating voltage LM5156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</si>
</sst>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E+00"/>
    <numFmt numFmtId="166" formatCode="0.0000"/>
    <numFmt numFmtId="167" formatCode="0.0000E+00"/>
    <numFmt numFmtId="168" formatCode="0.0"/>
    <numFmt numFmtId="169" formatCode="0.0E+00"/>
  </numFmts>
  <fonts count="48"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10"/>
      <name val="Arial"/>
      <family val="2"/>
    </font>
    <font>
      <b/>
      <sz val="10"/>
      <name val="Arial"/>
      <family val="2"/>
    </font>
    <font>
      <b/>
      <sz val="22"/>
      <color indexed="44"/>
      <name val="Arial"/>
      <family val="2"/>
    </font>
    <font>
      <b/>
      <sz val="9"/>
      <color indexed="81"/>
      <name val="Tahoma"/>
      <family val="2"/>
    </font>
    <font>
      <sz val="9"/>
      <color indexed="81"/>
      <name val="Tahoma"/>
      <family val="2"/>
    </font>
    <font>
      <b/>
      <sz val="12"/>
      <color rgb="FF0000FF"/>
      <name val="Arial"/>
      <family val="2"/>
    </font>
    <font>
      <sz val="28"/>
      <color theme="0"/>
      <name val="Calibri"/>
      <family val="2"/>
      <scheme val="minor"/>
    </font>
    <font>
      <b/>
      <sz val="11"/>
      <color indexed="10"/>
      <name val="Tahoma"/>
      <family val="2"/>
    </font>
    <font>
      <sz val="10"/>
      <color theme="1"/>
      <name val="Calibri"/>
      <family val="2"/>
      <scheme val="minor"/>
    </font>
    <font>
      <vertAlign val="subscript"/>
      <sz val="10"/>
      <color theme="1"/>
      <name val="Calibri"/>
      <family val="2"/>
      <scheme val="minor"/>
    </font>
    <font>
      <sz val="11"/>
      <name val="Calibri"/>
      <family val="2"/>
      <scheme val="minor"/>
    </font>
    <font>
      <b/>
      <sz val="11"/>
      <color rgb="FF0070C0"/>
      <name val="Calibri"/>
      <family val="2"/>
      <scheme val="minor"/>
    </font>
    <font>
      <sz val="11"/>
      <color theme="1"/>
      <name val="Calibri"/>
      <family val="2"/>
    </font>
    <font>
      <u/>
      <sz val="11"/>
      <color theme="1"/>
      <name val="Calibri"/>
      <family val="2"/>
      <scheme val="minor"/>
    </font>
    <font>
      <vertAlign val="subscript"/>
      <sz val="11"/>
      <color theme="1"/>
      <name val="Calibri"/>
      <family val="2"/>
      <scheme val="minor"/>
    </font>
    <font>
      <b/>
      <sz val="12"/>
      <color theme="1"/>
      <name val="Calibri"/>
      <family val="2"/>
      <scheme val="minor"/>
    </font>
    <font>
      <vertAlign val="subscript"/>
      <sz val="11"/>
      <color theme="1"/>
      <name val="Calibri"/>
      <family val="2"/>
    </font>
    <font>
      <b/>
      <sz val="11"/>
      <color theme="3" tint="0.39997558519241921"/>
      <name val="Calibri"/>
      <family val="2"/>
      <scheme val="minor"/>
    </font>
    <font>
      <b/>
      <sz val="11"/>
      <color theme="1"/>
      <name val="Calibri"/>
      <family val="2"/>
      <scheme val="minor"/>
    </font>
    <font>
      <sz val="10"/>
      <name val="Calibri"/>
      <family val="2"/>
      <scheme val="minor"/>
    </font>
    <font>
      <b/>
      <sz val="12"/>
      <color rgb="FF00B0F0"/>
      <name val="Calibri"/>
      <family val="2"/>
      <scheme val="minor"/>
    </font>
    <font>
      <b/>
      <sz val="11"/>
      <color rgb="FF00B0F0"/>
      <name val="Calibri"/>
      <family val="2"/>
      <scheme val="minor"/>
    </font>
    <font>
      <b/>
      <sz val="10"/>
      <color rgb="FF00B0F0"/>
      <name val="Arial"/>
      <family val="2"/>
    </font>
    <font>
      <sz val="18"/>
      <color theme="0"/>
      <name val="Calibri"/>
      <family val="2"/>
      <scheme val="minor"/>
    </font>
    <font>
      <vertAlign val="subscript"/>
      <sz val="10"/>
      <name val="Arial"/>
      <family val="2"/>
    </font>
    <font>
      <vertAlign val="subscript"/>
      <sz val="11"/>
      <name val="Calibri"/>
      <family val="2"/>
      <scheme val="minor"/>
    </font>
    <font>
      <b/>
      <sz val="11"/>
      <color theme="4"/>
      <name val="Calibri"/>
      <family val="2"/>
      <scheme val="minor"/>
    </font>
    <font>
      <b/>
      <sz val="9"/>
      <color indexed="10"/>
      <name val="Tahoma"/>
      <family val="2"/>
    </font>
    <font>
      <vertAlign val="subscript"/>
      <sz val="9"/>
      <color indexed="81"/>
      <name val="Tahoma"/>
      <family val="2"/>
    </font>
    <font>
      <sz val="11"/>
      <color indexed="10"/>
      <name val="Calibri"/>
      <family val="2"/>
      <scheme val="minor"/>
    </font>
    <font>
      <sz val="11"/>
      <color rgb="FFFF0000"/>
      <name val="Calibri"/>
      <family val="2"/>
      <scheme val="minor"/>
    </font>
    <font>
      <u/>
      <sz val="11"/>
      <color theme="10"/>
      <name val="Calibri"/>
      <family val="2"/>
      <scheme val="minor"/>
    </font>
    <font>
      <sz val="11"/>
      <color theme="1"/>
      <name val="Arial"/>
      <family val="2"/>
    </font>
    <font>
      <b/>
      <sz val="10"/>
      <color theme="1"/>
      <name val="Arial"/>
      <family val="2"/>
    </font>
    <font>
      <sz val="10"/>
      <color theme="1"/>
      <name val="Arial"/>
      <family val="2"/>
    </font>
    <font>
      <b/>
      <u/>
      <sz val="10"/>
      <color theme="10"/>
      <name val="Arial"/>
      <family val="2"/>
    </font>
    <font>
      <b/>
      <sz val="10"/>
      <color theme="0"/>
      <name val="Arial"/>
      <family val="2"/>
    </font>
    <font>
      <b/>
      <u/>
      <sz val="11"/>
      <color theme="10"/>
      <name val="Arial"/>
      <family val="2"/>
    </font>
    <font>
      <b/>
      <sz val="8"/>
      <color indexed="81"/>
      <name val="Tahoma"/>
      <family val="2"/>
    </font>
    <font>
      <b/>
      <sz val="9"/>
      <color indexed="52"/>
      <name val="Tahoma"/>
      <family val="2"/>
    </font>
    <font>
      <b/>
      <sz val="9"/>
      <color rgb="FF000000"/>
      <name val="Tahoma"/>
      <family val="2"/>
    </font>
    <font>
      <b/>
      <sz val="9"/>
      <color rgb="FFFF0000"/>
      <name val="Tahoma"/>
      <family val="2"/>
    </font>
    <font>
      <sz val="9"/>
      <color rgb="FF000000"/>
      <name val="Tahoma"/>
      <family val="2"/>
    </font>
    <font>
      <vertAlign val="subscript"/>
      <sz val="9"/>
      <color rgb="FF000000"/>
      <name val="Tahoma"/>
      <family val="2"/>
    </font>
  </fonts>
  <fills count="20">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52"/>
        <bgColor indexed="64"/>
      </patternFill>
    </fill>
    <fill>
      <patternFill patternType="solid">
        <fgColor indexed="50"/>
        <bgColor indexed="64"/>
      </patternFill>
    </fill>
    <fill>
      <patternFill patternType="solid">
        <fgColor rgb="FFFF0000"/>
        <bgColor indexed="64"/>
      </patternFill>
    </fill>
    <fill>
      <patternFill patternType="solid">
        <fgColor rgb="FFFFFF00"/>
        <bgColor indexed="64"/>
      </patternFill>
    </fill>
    <fill>
      <patternFill patternType="solid">
        <fgColor theme="0" tint="-0.499984740745262"/>
        <bgColor indexed="64"/>
      </patternFill>
    </fill>
    <fill>
      <patternFill patternType="solid">
        <fgColor rgb="FFFFC0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2" tint="-0.89999084444715716"/>
        <bgColor indexed="64"/>
      </patternFill>
    </fill>
    <fill>
      <patternFill patternType="solid">
        <fgColor theme="0"/>
        <bgColor indexed="64"/>
      </patternFill>
    </fill>
    <fill>
      <patternFill patternType="solid">
        <fgColor theme="1"/>
        <bgColor indexed="64"/>
      </patternFill>
    </fill>
    <fill>
      <patternFill patternType="solid">
        <fgColor rgb="FFDE0000"/>
        <bgColor indexed="64"/>
      </patternFill>
    </fill>
    <fill>
      <patternFill patternType="solid">
        <fgColor indexed="44"/>
        <bgColor indexed="64"/>
      </patternFill>
    </fill>
  </fills>
  <borders count="2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9">
    <xf numFmtId="0" fontId="0" fillId="0" borderId="0"/>
    <xf numFmtId="0" fontId="3" fillId="0" borderId="0"/>
    <xf numFmtId="43" fontId="4" fillId="0" borderId="0" applyFont="0" applyFill="0" applyBorder="0" applyAlignment="0" applyProtection="0"/>
    <xf numFmtId="0" fontId="4" fillId="0" borderId="0"/>
    <xf numFmtId="0" fontId="1" fillId="0" borderId="0"/>
    <xf numFmtId="43" fontId="1" fillId="0" borderId="0" applyFont="0" applyFill="0" applyBorder="0" applyAlignment="0" applyProtection="0"/>
    <xf numFmtId="0" fontId="4" fillId="0" borderId="0"/>
    <xf numFmtId="0" fontId="4" fillId="0" borderId="0"/>
    <xf numFmtId="0" fontId="35" fillId="0" borderId="0" applyNumberFormat="0" applyFill="0" applyBorder="0" applyAlignment="0" applyProtection="0"/>
  </cellStyleXfs>
  <cellXfs count="251">
    <xf numFmtId="0" fontId="0" fillId="0" borderId="0" xfId="0"/>
    <xf numFmtId="0" fontId="0" fillId="9" borderId="0" xfId="0" applyFill="1"/>
    <xf numFmtId="0" fontId="16" fillId="0" borderId="0" xfId="0" applyFont="1"/>
    <xf numFmtId="0" fontId="0" fillId="10" borderId="0" xfId="0" applyFill="1"/>
    <xf numFmtId="0" fontId="4" fillId="0" borderId="0" xfId="3"/>
    <xf numFmtId="0" fontId="5" fillId="0" borderId="0" xfId="3" applyFont="1" applyAlignment="1">
      <alignment horizontal="center"/>
    </xf>
    <xf numFmtId="0" fontId="5" fillId="3" borderId="0" xfId="3" applyFont="1" applyFill="1" applyAlignment="1">
      <alignment horizontal="center"/>
    </xf>
    <xf numFmtId="0" fontId="5" fillId="4" borderId="0" xfId="3" applyFont="1" applyFill="1" applyAlignment="1">
      <alignment horizontal="center"/>
    </xf>
    <xf numFmtId="0" fontId="5" fillId="5" borderId="0" xfId="3" applyFont="1" applyFill="1" applyAlignment="1">
      <alignment horizontal="center"/>
    </xf>
    <xf numFmtId="0" fontId="5" fillId="0" borderId="0" xfId="3" applyFont="1"/>
    <xf numFmtId="0" fontId="9" fillId="0" borderId="0" xfId="3" applyFont="1"/>
    <xf numFmtId="2" fontId="0" fillId="10" borderId="0" xfId="0" applyNumberFormat="1" applyFill="1"/>
    <xf numFmtId="0" fontId="0" fillId="11" borderId="0" xfId="0" applyFill="1"/>
    <xf numFmtId="165" fontId="0" fillId="9" borderId="0" xfId="0" applyNumberFormat="1" applyFill="1"/>
    <xf numFmtId="0" fontId="5" fillId="0" borderId="0" xfId="3" applyFont="1" applyAlignment="1">
      <alignment horizontal="right"/>
    </xf>
    <xf numFmtId="0" fontId="4" fillId="0" borderId="0" xfId="3" applyAlignment="1">
      <alignment horizontal="center"/>
    </xf>
    <xf numFmtId="164" fontId="0" fillId="9" borderId="0" xfId="0" applyNumberFormat="1" applyFill="1"/>
    <xf numFmtId="2" fontId="0" fillId="9" borderId="0" xfId="0" applyNumberFormat="1" applyFill="1"/>
    <xf numFmtId="1" fontId="0" fillId="9" borderId="0" xfId="0" applyNumberFormat="1" applyFill="1"/>
    <xf numFmtId="0" fontId="15" fillId="0" borderId="0" xfId="0" applyFont="1"/>
    <xf numFmtId="164" fontId="0" fillId="0" borderId="0" xfId="0" applyNumberFormat="1"/>
    <xf numFmtId="11" fontId="14" fillId="10" borderId="0" xfId="0" applyNumberFormat="1" applyFont="1" applyFill="1"/>
    <xf numFmtId="0" fontId="17" fillId="0" borderId="0" xfId="0" applyFont="1"/>
    <xf numFmtId="2" fontId="0" fillId="0" borderId="0" xfId="0" applyNumberFormat="1"/>
    <xf numFmtId="167" fontId="0" fillId="9" borderId="0" xfId="0" applyNumberFormat="1" applyFill="1"/>
    <xf numFmtId="11" fontId="0" fillId="9" borderId="0" xfId="0" applyNumberFormat="1" applyFill="1"/>
    <xf numFmtId="0" fontId="5" fillId="0" borderId="0" xfId="3" applyFont="1" applyAlignment="1">
      <alignment horizontal="left"/>
    </xf>
    <xf numFmtId="166" fontId="0" fillId="9" borderId="0" xfId="0" applyNumberFormat="1" applyFill="1"/>
    <xf numFmtId="0" fontId="14" fillId="10" borderId="0" xfId="0" applyFont="1" applyFill="1"/>
    <xf numFmtId="0" fontId="19" fillId="0" borderId="0" xfId="0" applyFont="1"/>
    <xf numFmtId="0" fontId="21" fillId="0" borderId="0" xfId="0" applyFont="1"/>
    <xf numFmtId="0" fontId="0" fillId="12" borderId="0" xfId="0" applyFill="1"/>
    <xf numFmtId="1" fontId="0" fillId="0" borderId="0" xfId="0" applyNumberFormat="1"/>
    <xf numFmtId="0" fontId="22" fillId="0" borderId="0" xfId="0" applyFont="1"/>
    <xf numFmtId="0" fontId="23" fillId="0" borderId="0" xfId="0" applyFont="1"/>
    <xf numFmtId="168" fontId="0" fillId="0" borderId="0" xfId="0" applyNumberFormat="1"/>
    <xf numFmtId="169" fontId="0" fillId="0" borderId="0" xfId="0" applyNumberFormat="1"/>
    <xf numFmtId="0" fontId="0" fillId="0" borderId="13" xfId="0" applyBorder="1"/>
    <xf numFmtId="0" fontId="0" fillId="14" borderId="0" xfId="0" applyFill="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4" fillId="0" borderId="0" xfId="3" applyAlignment="1">
      <alignment horizontal="left"/>
    </xf>
    <xf numFmtId="0" fontId="4" fillId="0" borderId="8" xfId="3" applyBorder="1" applyAlignment="1">
      <alignment horizontal="left"/>
    </xf>
    <xf numFmtId="0" fontId="0" fillId="14" borderId="13" xfId="0" applyFill="1" applyBorder="1"/>
    <xf numFmtId="0" fontId="0" fillId="0" borderId="19" xfId="0" applyBorder="1"/>
    <xf numFmtId="0" fontId="0" fillId="14" borderId="15" xfId="0" applyFill="1" applyBorder="1"/>
    <xf numFmtId="0" fontId="0" fillId="0" borderId="20" xfId="0" applyBorder="1" applyAlignment="1">
      <alignment horizontal="center" wrapText="1"/>
    </xf>
    <xf numFmtId="0" fontId="0" fillId="0" borderId="21" xfId="0" applyBorder="1"/>
    <xf numFmtId="0" fontId="0" fillId="0" borderId="22" xfId="0" applyBorder="1"/>
    <xf numFmtId="0" fontId="14" fillId="0" borderId="0" xfId="0" applyFont="1"/>
    <xf numFmtId="0" fontId="0" fillId="6" borderId="0" xfId="0" applyFill="1" applyProtection="1">
      <protection hidden="1"/>
    </xf>
    <xf numFmtId="0" fontId="10" fillId="6" borderId="0" xfId="0" applyFont="1" applyFill="1" applyAlignment="1" applyProtection="1">
      <alignment horizontal="left" vertical="center"/>
      <protection hidden="1"/>
    </xf>
    <xf numFmtId="0" fontId="0" fillId="6" borderId="0" xfId="0" applyFill="1" applyAlignment="1" applyProtection="1">
      <alignment horizontal="right"/>
      <protection hidden="1"/>
    </xf>
    <xf numFmtId="0" fontId="14" fillId="8" borderId="0" xfId="0" applyFont="1" applyFill="1" applyProtection="1">
      <protection hidden="1"/>
    </xf>
    <xf numFmtId="0" fontId="0" fillId="15" borderId="0" xfId="0" applyFill="1" applyProtection="1">
      <protection hidden="1"/>
    </xf>
    <xf numFmtId="0" fontId="0" fillId="8" borderId="0" xfId="0" applyFill="1" applyProtection="1">
      <protection hidden="1"/>
    </xf>
    <xf numFmtId="0" fontId="0" fillId="8" borderId="0" xfId="0" applyFill="1" applyAlignment="1" applyProtection="1">
      <alignment horizontal="right"/>
      <protection hidden="1"/>
    </xf>
    <xf numFmtId="0" fontId="2" fillId="8" borderId="0" xfId="0" applyFont="1" applyFill="1" applyProtection="1">
      <protection hidden="1"/>
    </xf>
    <xf numFmtId="0" fontId="0" fillId="7" borderId="0" xfId="0" applyFill="1" applyProtection="1">
      <protection hidden="1"/>
    </xf>
    <xf numFmtId="0" fontId="2" fillId="8" borderId="0" xfId="0" quotePrefix="1" applyFont="1" applyFill="1" applyProtection="1">
      <protection hidden="1"/>
    </xf>
    <xf numFmtId="0" fontId="0" fillId="8" borderId="1" xfId="0" applyFill="1" applyBorder="1" applyProtection="1">
      <protection hidden="1"/>
    </xf>
    <xf numFmtId="0" fontId="0" fillId="8" borderId="1" xfId="0" applyFill="1" applyBorder="1" applyAlignment="1" applyProtection="1">
      <alignment horizontal="right"/>
      <protection hidden="1"/>
    </xf>
    <xf numFmtId="0" fontId="14" fillId="8" borderId="1" xfId="0" applyFont="1" applyFill="1" applyBorder="1" applyProtection="1">
      <protection hidden="1"/>
    </xf>
    <xf numFmtId="0" fontId="0" fillId="15" borderId="1" xfId="0" applyFill="1" applyBorder="1" applyProtection="1">
      <protection hidden="1"/>
    </xf>
    <xf numFmtId="0" fontId="0" fillId="16" borderId="0" xfId="0" applyFill="1" applyProtection="1">
      <protection hidden="1"/>
    </xf>
    <xf numFmtId="0" fontId="0" fillId="16" borderId="0" xfId="0" applyFill="1" applyAlignment="1" applyProtection="1">
      <alignment horizontal="right"/>
      <protection hidden="1"/>
    </xf>
    <xf numFmtId="49" fontId="0" fillId="16" borderId="0" xfId="0" applyNumberFormat="1" applyFill="1" applyProtection="1">
      <protection hidden="1"/>
    </xf>
    <xf numFmtId="0" fontId="15" fillId="16" borderId="0" xfId="0" applyFont="1" applyFill="1" applyProtection="1">
      <protection hidden="1"/>
    </xf>
    <xf numFmtId="0" fontId="0" fillId="16" borderId="2" xfId="0" applyFill="1" applyBorder="1" applyProtection="1">
      <protection hidden="1"/>
    </xf>
    <xf numFmtId="0" fontId="0" fillId="16" borderId="3" xfId="0" applyFill="1" applyBorder="1" applyProtection="1">
      <protection hidden="1"/>
    </xf>
    <xf numFmtId="0" fontId="12" fillId="16" borderId="3" xfId="3" applyFont="1" applyFill="1" applyBorder="1" applyAlignment="1" applyProtection="1">
      <alignment horizontal="right"/>
      <protection hidden="1"/>
    </xf>
    <xf numFmtId="0" fontId="0" fillId="16" borderId="4" xfId="0" applyFill="1" applyBorder="1" applyProtection="1">
      <protection hidden="1"/>
    </xf>
    <xf numFmtId="0" fontId="0" fillId="16" borderId="5" xfId="0" applyFill="1" applyBorder="1" applyProtection="1">
      <protection hidden="1"/>
    </xf>
    <xf numFmtId="0" fontId="12" fillId="16" borderId="0" xfId="3" applyFont="1" applyFill="1" applyAlignment="1" applyProtection="1">
      <alignment horizontal="right"/>
      <protection hidden="1"/>
    </xf>
    <xf numFmtId="0" fontId="0" fillId="16" borderId="6" xfId="0" applyFill="1" applyBorder="1" applyProtection="1">
      <protection hidden="1"/>
    </xf>
    <xf numFmtId="0" fontId="12" fillId="16" borderId="5" xfId="0" applyFont="1" applyFill="1" applyBorder="1" applyProtection="1">
      <protection hidden="1"/>
    </xf>
    <xf numFmtId="0" fontId="12" fillId="16" borderId="0" xfId="0" applyFont="1" applyFill="1" applyProtection="1">
      <protection hidden="1"/>
    </xf>
    <xf numFmtId="0" fontId="12" fillId="16" borderId="0" xfId="0" applyFont="1" applyFill="1" applyAlignment="1" applyProtection="1">
      <alignment horizontal="right"/>
      <protection hidden="1"/>
    </xf>
    <xf numFmtId="0" fontId="12" fillId="16" borderId="7" xfId="0" applyFont="1" applyFill="1" applyBorder="1" applyProtection="1">
      <protection hidden="1"/>
    </xf>
    <xf numFmtId="0" fontId="12" fillId="16" borderId="8" xfId="0" applyFont="1" applyFill="1" applyBorder="1" applyProtection="1">
      <protection hidden="1"/>
    </xf>
    <xf numFmtId="0" fontId="0" fillId="16" borderId="8" xfId="0" applyFill="1" applyBorder="1" applyProtection="1">
      <protection hidden="1"/>
    </xf>
    <xf numFmtId="0" fontId="12" fillId="16" borderId="8" xfId="0" applyFont="1" applyFill="1" applyBorder="1" applyAlignment="1" applyProtection="1">
      <alignment horizontal="right"/>
      <protection hidden="1"/>
    </xf>
    <xf numFmtId="0" fontId="0" fillId="16" borderId="9" xfId="0" applyFill="1" applyBorder="1" applyProtection="1">
      <protection hidden="1"/>
    </xf>
    <xf numFmtId="0" fontId="12" fillId="16" borderId="2" xfId="0" applyFont="1" applyFill="1" applyBorder="1" applyProtection="1">
      <protection hidden="1"/>
    </xf>
    <xf numFmtId="0" fontId="12" fillId="16" borderId="3" xfId="0" applyFont="1" applyFill="1" applyBorder="1" applyProtection="1">
      <protection hidden="1"/>
    </xf>
    <xf numFmtId="0" fontId="0" fillId="16" borderId="7" xfId="0" applyFill="1" applyBorder="1" applyProtection="1">
      <protection hidden="1"/>
    </xf>
    <xf numFmtId="0" fontId="12" fillId="16" borderId="8" xfId="3" applyFont="1" applyFill="1" applyBorder="1" applyAlignment="1" applyProtection="1">
      <alignment horizontal="right"/>
      <protection hidden="1"/>
    </xf>
    <xf numFmtId="0" fontId="16" fillId="16" borderId="6" xfId="0" applyFont="1" applyFill="1" applyBorder="1" applyProtection="1">
      <protection hidden="1"/>
    </xf>
    <xf numFmtId="0" fontId="0" fillId="16" borderId="8" xfId="0" applyFill="1" applyBorder="1" applyAlignment="1" applyProtection="1">
      <alignment horizontal="right"/>
      <protection hidden="1"/>
    </xf>
    <xf numFmtId="0" fontId="16" fillId="16" borderId="9" xfId="0" applyFont="1" applyFill="1" applyBorder="1" applyProtection="1">
      <protection hidden="1"/>
    </xf>
    <xf numFmtId="0" fontId="0" fillId="16" borderId="3" xfId="0" applyFill="1" applyBorder="1" applyAlignment="1" applyProtection="1">
      <alignment horizontal="right"/>
      <protection hidden="1"/>
    </xf>
    <xf numFmtId="0" fontId="15" fillId="16" borderId="2" xfId="0" applyFont="1" applyFill="1" applyBorder="1" applyProtection="1">
      <protection hidden="1"/>
    </xf>
    <xf numFmtId="0" fontId="14" fillId="16" borderId="3" xfId="0" applyFont="1" applyFill="1" applyBorder="1" applyAlignment="1" applyProtection="1">
      <alignment horizontal="right"/>
      <protection hidden="1"/>
    </xf>
    <xf numFmtId="0" fontId="15" fillId="16" borderId="5" xfId="0" applyFont="1" applyFill="1" applyBorder="1" applyProtection="1">
      <protection hidden="1"/>
    </xf>
    <xf numFmtId="0" fontId="22" fillId="16" borderId="0" xfId="0" applyFont="1" applyFill="1" applyAlignment="1" applyProtection="1">
      <alignment horizontal="right"/>
      <protection hidden="1"/>
    </xf>
    <xf numFmtId="0" fontId="0" fillId="0" borderId="0" xfId="0" applyProtection="1">
      <protection hidden="1"/>
    </xf>
    <xf numFmtId="0" fontId="0" fillId="16" borderId="0" xfId="0" applyFill="1" applyAlignment="1" applyProtection="1">
      <alignment horizontal="center"/>
      <protection hidden="1"/>
    </xf>
    <xf numFmtId="0" fontId="0" fillId="16" borderId="6" xfId="0" applyFill="1" applyBorder="1" applyAlignment="1" applyProtection="1">
      <alignment horizontal="center"/>
      <protection hidden="1"/>
    </xf>
    <xf numFmtId="1" fontId="0" fillId="16" borderId="0" xfId="0" applyNumberFormat="1" applyFill="1" applyProtection="1">
      <protection hidden="1"/>
    </xf>
    <xf numFmtId="0" fontId="27" fillId="13" borderId="0" xfId="0" applyFont="1" applyFill="1" applyProtection="1">
      <protection hidden="1"/>
    </xf>
    <xf numFmtId="0" fontId="0" fillId="13" borderId="0" xfId="0" applyFill="1" applyProtection="1">
      <protection hidden="1"/>
    </xf>
    <xf numFmtId="0" fontId="0" fillId="13" borderId="0" xfId="0" applyFill="1" applyAlignment="1" applyProtection="1">
      <alignment horizontal="right"/>
      <protection hidden="1"/>
    </xf>
    <xf numFmtId="0" fontId="0" fillId="17" borderId="0" xfId="0" applyFill="1" applyProtection="1">
      <protection hidden="1"/>
    </xf>
    <xf numFmtId="0" fontId="30" fillId="16" borderId="0" xfId="0" applyFont="1" applyFill="1" applyAlignment="1" applyProtection="1">
      <alignment horizontal="left"/>
      <protection hidden="1"/>
    </xf>
    <xf numFmtId="0" fontId="4" fillId="16" borderId="3" xfId="3" applyFill="1" applyBorder="1" applyAlignment="1" applyProtection="1">
      <alignment horizontal="right"/>
      <protection hidden="1"/>
    </xf>
    <xf numFmtId="0" fontId="4" fillId="16" borderId="4" xfId="3" applyFill="1" applyBorder="1" applyProtection="1">
      <protection hidden="1"/>
    </xf>
    <xf numFmtId="0" fontId="4" fillId="16" borderId="0" xfId="3" applyFill="1" applyAlignment="1" applyProtection="1">
      <alignment horizontal="right"/>
      <protection hidden="1"/>
    </xf>
    <xf numFmtId="0" fontId="4" fillId="16" borderId="6" xfId="3" applyFill="1" applyBorder="1" applyProtection="1">
      <protection hidden="1"/>
    </xf>
    <xf numFmtId="0" fontId="4" fillId="16" borderId="8" xfId="3" applyFill="1" applyBorder="1" applyAlignment="1" applyProtection="1">
      <alignment horizontal="right"/>
      <protection hidden="1"/>
    </xf>
    <xf numFmtId="0" fontId="4" fillId="16" borderId="9" xfId="3" applyFill="1" applyBorder="1" applyProtection="1">
      <protection hidden="1"/>
    </xf>
    <xf numFmtId="0" fontId="0" fillId="15" borderId="0" xfId="0" applyFill="1" applyAlignment="1" applyProtection="1">
      <alignment horizontal="right"/>
      <protection hidden="1"/>
    </xf>
    <xf numFmtId="0" fontId="14" fillId="15" borderId="0" xfId="0" applyFont="1" applyFill="1" applyProtection="1">
      <protection hidden="1"/>
    </xf>
    <xf numFmtId="0" fontId="34" fillId="16" borderId="0" xfId="0" applyFont="1" applyFill="1" applyProtection="1">
      <protection hidden="1"/>
    </xf>
    <xf numFmtId="0" fontId="0" fillId="7" borderId="24" xfId="0" applyFill="1" applyBorder="1" applyProtection="1">
      <protection locked="0" hidden="1"/>
    </xf>
    <xf numFmtId="0" fontId="0" fillId="7" borderId="25" xfId="0" applyFill="1" applyBorder="1" applyProtection="1">
      <protection locked="0" hidden="1"/>
    </xf>
    <xf numFmtId="2" fontId="0" fillId="16" borderId="25" xfId="0" applyNumberFormat="1" applyFill="1" applyBorder="1" applyProtection="1">
      <protection hidden="1"/>
    </xf>
    <xf numFmtId="0" fontId="0" fillId="16" borderId="25" xfId="0" applyFill="1" applyBorder="1" applyProtection="1">
      <protection hidden="1"/>
    </xf>
    <xf numFmtId="164" fontId="0" fillId="0" borderId="25" xfId="0" applyNumberFormat="1" applyBorder="1" applyProtection="1">
      <protection hidden="1"/>
    </xf>
    <xf numFmtId="2" fontId="0" fillId="0" borderId="26" xfId="0" applyNumberFormat="1" applyBorder="1" applyProtection="1">
      <protection hidden="1"/>
    </xf>
    <xf numFmtId="1" fontId="0" fillId="16" borderId="25" xfId="0" applyNumberFormat="1" applyFill="1" applyBorder="1" applyProtection="1">
      <protection hidden="1"/>
    </xf>
    <xf numFmtId="2" fontId="0" fillId="16" borderId="26" xfId="0" applyNumberFormat="1" applyFill="1" applyBorder="1" applyProtection="1">
      <protection hidden="1"/>
    </xf>
    <xf numFmtId="0" fontId="0" fillId="7" borderId="26" xfId="0" applyFill="1" applyBorder="1" applyProtection="1">
      <protection locked="0" hidden="1"/>
    </xf>
    <xf numFmtId="2" fontId="0" fillId="0" borderId="25" xfId="0" applyNumberFormat="1" applyBorder="1" applyProtection="1">
      <protection hidden="1"/>
    </xf>
    <xf numFmtId="2" fontId="0" fillId="0" borderId="24" xfId="0" applyNumberFormat="1" applyBorder="1" applyProtection="1">
      <protection hidden="1"/>
    </xf>
    <xf numFmtId="1" fontId="0" fillId="0" borderId="26" xfId="0" applyNumberFormat="1" applyBorder="1" applyProtection="1">
      <protection hidden="1"/>
    </xf>
    <xf numFmtId="0" fontId="0" fillId="7" borderId="24" xfId="0" applyFill="1" applyBorder="1" applyAlignment="1" applyProtection="1">
      <alignment vertical="top"/>
      <protection hidden="1"/>
    </xf>
    <xf numFmtId="0" fontId="0" fillId="0" borderId="25" xfId="0" applyBorder="1" applyAlignment="1" applyProtection="1">
      <alignment vertical="top"/>
      <protection hidden="1"/>
    </xf>
    <xf numFmtId="0" fontId="0" fillId="16" borderId="25" xfId="0" applyFill="1" applyBorder="1" applyAlignment="1" applyProtection="1">
      <alignment horizontal="center"/>
      <protection hidden="1"/>
    </xf>
    <xf numFmtId="1" fontId="0" fillId="16" borderId="7" xfId="0" applyNumberFormat="1" applyFill="1" applyBorder="1" applyProtection="1">
      <protection hidden="1"/>
    </xf>
    <xf numFmtId="0" fontId="0" fillId="7" borderId="23" xfId="0" applyFill="1" applyBorder="1" applyProtection="1">
      <protection locked="0" hidden="1"/>
    </xf>
    <xf numFmtId="2" fontId="0" fillId="16" borderId="10" xfId="0" applyNumberFormat="1" applyFill="1" applyBorder="1" applyProtection="1">
      <protection hidden="1"/>
    </xf>
    <xf numFmtId="0" fontId="0" fillId="0" borderId="24" xfId="0" applyBorder="1" applyProtection="1">
      <protection hidden="1"/>
    </xf>
    <xf numFmtId="0" fontId="16" fillId="16" borderId="23" xfId="0" applyFont="1" applyFill="1" applyBorder="1" applyAlignment="1" applyProtection="1">
      <alignment horizontal="left"/>
      <protection hidden="1"/>
    </xf>
    <xf numFmtId="0" fontId="0" fillId="16" borderId="26" xfId="0" applyFill="1" applyBorder="1" applyAlignment="1" applyProtection="1">
      <alignment horizontal="left"/>
      <protection hidden="1"/>
    </xf>
    <xf numFmtId="48" fontId="0" fillId="0" borderId="0" xfId="0" applyNumberFormat="1"/>
    <xf numFmtId="0" fontId="0" fillId="7" borderId="26" xfId="0" applyFill="1" applyBorder="1" applyAlignment="1" applyProtection="1">
      <alignment horizontal="right"/>
      <protection locked="0" hidden="1"/>
    </xf>
    <xf numFmtId="0" fontId="3" fillId="3" borderId="0" xfId="3" applyFont="1" applyFill="1" applyAlignment="1">
      <alignment horizontal="right"/>
    </xf>
    <xf numFmtId="2" fontId="0" fillId="9" borderId="0" xfId="0" applyNumberFormat="1" applyFill="1" applyAlignment="1">
      <alignment horizontal="right"/>
    </xf>
    <xf numFmtId="168" fontId="0" fillId="16" borderId="10" xfId="0" applyNumberFormat="1" applyFill="1" applyBorder="1" applyProtection="1">
      <protection hidden="1"/>
    </xf>
    <xf numFmtId="1" fontId="0" fillId="16" borderId="26" xfId="0" applyNumberFormat="1" applyFill="1" applyBorder="1" applyProtection="1">
      <protection hidden="1"/>
    </xf>
    <xf numFmtId="4" fontId="0" fillId="16" borderId="25" xfId="0" applyNumberFormat="1" applyFill="1" applyBorder="1" applyProtection="1">
      <protection hidden="1"/>
    </xf>
    <xf numFmtId="0" fontId="36" fillId="0" borderId="0" xfId="0" applyFont="1"/>
    <xf numFmtId="0" fontId="37" fillId="0" borderId="0" xfId="0" applyFont="1" applyAlignment="1">
      <alignment horizontal="center"/>
    </xf>
    <xf numFmtId="0" fontId="37" fillId="0" borderId="0" xfId="0" applyFont="1" applyAlignment="1">
      <alignment horizontal="left"/>
    </xf>
    <xf numFmtId="0" fontId="38" fillId="0" borderId="0" xfId="0" applyFont="1"/>
    <xf numFmtId="0" fontId="39" fillId="0" borderId="0" xfId="8" applyFont="1" applyFill="1" applyBorder="1" applyAlignment="1">
      <alignment vertical="center"/>
    </xf>
    <xf numFmtId="0" fontId="39" fillId="0" borderId="0" xfId="8" applyFont="1" applyFill="1" applyBorder="1" applyAlignment="1">
      <alignment horizontal="right" vertical="center"/>
    </xf>
    <xf numFmtId="0" fontId="36" fillId="0" borderId="0" xfId="0" applyFont="1" applyAlignment="1">
      <alignment horizontal="center"/>
    </xf>
    <xf numFmtId="0" fontId="36" fillId="0" borderId="0" xfId="0" applyFont="1" applyAlignment="1">
      <alignment horizontal="left"/>
    </xf>
    <xf numFmtId="0" fontId="38" fillId="0" borderId="0" xfId="0" applyFont="1" applyAlignment="1">
      <alignment horizontal="center"/>
    </xf>
    <xf numFmtId="0" fontId="3" fillId="0" borderId="0" xfId="0" applyFont="1"/>
    <xf numFmtId="0" fontId="40" fillId="17" borderId="0" xfId="0" applyFont="1" applyFill="1" applyAlignment="1">
      <alignment horizontal="center"/>
    </xf>
    <xf numFmtId="0" fontId="41" fillId="0" borderId="0" xfId="8" applyFont="1" applyFill="1" applyBorder="1" applyAlignment="1">
      <alignment vertical="center"/>
    </xf>
    <xf numFmtId="49" fontId="38" fillId="0" borderId="0" xfId="0" applyNumberFormat="1" applyFont="1" applyAlignment="1">
      <alignment horizontal="center"/>
    </xf>
    <xf numFmtId="49" fontId="37" fillId="0" borderId="0" xfId="0" applyNumberFormat="1" applyFont="1" applyAlignment="1">
      <alignment horizontal="left"/>
    </xf>
    <xf numFmtId="0" fontId="5" fillId="0" borderId="0" xfId="3" applyFont="1" applyAlignment="1" applyProtection="1">
      <alignment horizontal="center"/>
      <protection hidden="1"/>
    </xf>
    <xf numFmtId="0" fontId="5" fillId="3" borderId="0" xfId="3" applyFont="1" applyFill="1" applyAlignment="1" applyProtection="1">
      <alignment horizontal="center"/>
      <protection hidden="1"/>
    </xf>
    <xf numFmtId="0" fontId="4" fillId="0" borderId="0" xfId="3" applyProtection="1">
      <protection hidden="1"/>
    </xf>
    <xf numFmtId="0" fontId="5" fillId="4" borderId="0" xfId="3" applyFont="1" applyFill="1" applyAlignment="1" applyProtection="1">
      <alignment horizontal="center"/>
      <protection hidden="1"/>
    </xf>
    <xf numFmtId="0" fontId="5" fillId="0" borderId="0" xfId="3" applyFont="1" applyAlignment="1" applyProtection="1">
      <alignment horizontal="right"/>
      <protection hidden="1"/>
    </xf>
    <xf numFmtId="0" fontId="4" fillId="0" borderId="0" xfId="3" applyAlignment="1" applyProtection="1">
      <alignment horizontal="center"/>
      <protection hidden="1"/>
    </xf>
    <xf numFmtId="0" fontId="5" fillId="0" borderId="0" xfId="3" applyFont="1" applyAlignment="1" applyProtection="1">
      <alignment horizontal="left"/>
      <protection hidden="1"/>
    </xf>
    <xf numFmtId="0" fontId="5" fillId="5" borderId="0" xfId="3" applyFont="1" applyFill="1" applyAlignment="1" applyProtection="1">
      <alignment horizontal="center"/>
      <protection hidden="1"/>
    </xf>
    <xf numFmtId="0" fontId="0" fillId="0" borderId="10" xfId="0" applyBorder="1" applyProtection="1">
      <protection hidden="1"/>
    </xf>
    <xf numFmtId="0" fontId="0" fillId="0" borderId="12" xfId="0" applyBorder="1" applyProtection="1">
      <protection hidden="1"/>
    </xf>
    <xf numFmtId="0" fontId="0" fillId="0" borderId="5" xfId="0" applyBorder="1" applyProtection="1">
      <protection hidden="1"/>
    </xf>
    <xf numFmtId="0" fontId="0" fillId="0" borderId="6" xfId="0" applyBorder="1" applyProtection="1">
      <protection hidden="1"/>
    </xf>
    <xf numFmtId="0" fontId="5" fillId="0" borderId="0" xfId="3" applyFont="1" applyProtection="1">
      <protection hidden="1"/>
    </xf>
    <xf numFmtId="0" fontId="4" fillId="0" borderId="5" xfId="3" applyBorder="1" applyProtection="1">
      <protection hidden="1"/>
    </xf>
    <xf numFmtId="0" fontId="4" fillId="0" borderId="6" xfId="3" applyBorder="1" applyProtection="1">
      <protection hidden="1"/>
    </xf>
    <xf numFmtId="164" fontId="4" fillId="0" borderId="11" xfId="3" applyNumberFormat="1" applyBorder="1" applyProtection="1">
      <protection hidden="1"/>
    </xf>
    <xf numFmtId="0" fontId="4" fillId="0" borderId="11" xfId="3" applyBorder="1" applyProtection="1">
      <protection hidden="1"/>
    </xf>
    <xf numFmtId="0" fontId="0" fillId="0" borderId="11" xfId="0" applyBorder="1" applyProtection="1">
      <protection hidden="1"/>
    </xf>
    <xf numFmtId="0" fontId="4" fillId="0" borderId="10" xfId="3" applyBorder="1" applyProtection="1">
      <protection hidden="1"/>
    </xf>
    <xf numFmtId="164" fontId="0" fillId="0" borderId="11" xfId="0" applyNumberFormat="1" applyBorder="1" applyProtection="1">
      <protection hidden="1"/>
    </xf>
    <xf numFmtId="0" fontId="26" fillId="0" borderId="0" xfId="3" applyFont="1" applyProtection="1">
      <protection hidden="1"/>
    </xf>
    <xf numFmtId="0" fontId="0" fillId="0" borderId="2" xfId="0" applyBorder="1" applyProtection="1">
      <protection hidden="1"/>
    </xf>
    <xf numFmtId="1" fontId="0" fillId="0" borderId="4" xfId="0" applyNumberFormat="1" applyBorder="1" applyProtection="1">
      <protection hidden="1"/>
    </xf>
    <xf numFmtId="164" fontId="4" fillId="0" borderId="3" xfId="3" applyNumberFormat="1" applyBorder="1" applyProtection="1">
      <protection hidden="1"/>
    </xf>
    <xf numFmtId="0" fontId="4" fillId="0" borderId="3" xfId="3" applyBorder="1" applyProtection="1">
      <protection hidden="1"/>
    </xf>
    <xf numFmtId="0" fontId="0" fillId="0" borderId="3" xfId="0" applyBorder="1" applyProtection="1">
      <protection hidden="1"/>
    </xf>
    <xf numFmtId="0" fontId="4" fillId="0" borderId="2" xfId="3" applyBorder="1" applyProtection="1">
      <protection hidden="1"/>
    </xf>
    <xf numFmtId="164" fontId="0" fillId="0" borderId="3" xfId="0" applyNumberFormat="1" applyBorder="1" applyProtection="1">
      <protection hidden="1"/>
    </xf>
    <xf numFmtId="0" fontId="0" fillId="0" borderId="4" xfId="0" applyBorder="1" applyProtection="1">
      <protection hidden="1"/>
    </xf>
    <xf numFmtId="0" fontId="0" fillId="10" borderId="0" xfId="0" applyFill="1" applyProtection="1">
      <protection hidden="1"/>
    </xf>
    <xf numFmtId="1" fontId="0" fillId="0" borderId="6" xfId="0" applyNumberFormat="1" applyBorder="1" applyProtection="1">
      <protection hidden="1"/>
    </xf>
    <xf numFmtId="164" fontId="4" fillId="0" borderId="0" xfId="3" applyNumberFormat="1" applyProtection="1">
      <protection hidden="1"/>
    </xf>
    <xf numFmtId="164" fontId="0" fillId="0" borderId="0" xfId="0" applyNumberFormat="1" applyProtection="1">
      <protection hidden="1"/>
    </xf>
    <xf numFmtId="0" fontId="0" fillId="0" borderId="7" xfId="0" applyBorder="1" applyProtection="1">
      <protection hidden="1"/>
    </xf>
    <xf numFmtId="1" fontId="0" fillId="0" borderId="9" xfId="0" applyNumberFormat="1" applyBorder="1" applyProtection="1">
      <protection hidden="1"/>
    </xf>
    <xf numFmtId="164" fontId="4" fillId="0" borderId="8" xfId="3" applyNumberFormat="1" applyBorder="1" applyProtection="1">
      <protection hidden="1"/>
    </xf>
    <xf numFmtId="0" fontId="4" fillId="0" borderId="8" xfId="3" applyBorder="1" applyProtection="1">
      <protection hidden="1"/>
    </xf>
    <xf numFmtId="0" fontId="0" fillId="0" borderId="8" xfId="0" applyBorder="1" applyProtection="1">
      <protection hidden="1"/>
    </xf>
    <xf numFmtId="0" fontId="4" fillId="0" borderId="7" xfId="3" applyBorder="1" applyProtection="1">
      <protection hidden="1"/>
    </xf>
    <xf numFmtId="164" fontId="0" fillId="0" borderId="8" xfId="0" applyNumberFormat="1" applyBorder="1" applyProtection="1">
      <protection hidden="1"/>
    </xf>
    <xf numFmtId="0" fontId="0" fillId="0" borderId="9" xfId="0" applyBorder="1" applyProtection="1">
      <protection hidden="1"/>
    </xf>
    <xf numFmtId="2" fontId="0" fillId="0" borderId="0" xfId="0" applyNumberFormat="1" applyProtection="1">
      <protection hidden="1"/>
    </xf>
    <xf numFmtId="0" fontId="25" fillId="0" borderId="0" xfId="0" applyFont="1" applyProtection="1">
      <protection hidden="1"/>
    </xf>
    <xf numFmtId="2" fontId="0" fillId="0" borderId="10" xfId="0" applyNumberFormat="1" applyBorder="1" applyProtection="1">
      <protection hidden="1"/>
    </xf>
    <xf numFmtId="2" fontId="0" fillId="0" borderId="5" xfId="0" applyNumberFormat="1" applyBorder="1" applyProtection="1">
      <protection hidden="1"/>
    </xf>
    <xf numFmtId="2" fontId="0" fillId="0" borderId="7" xfId="0" applyNumberFormat="1" applyBorder="1" applyProtection="1">
      <protection hidden="1"/>
    </xf>
    <xf numFmtId="0" fontId="4" fillId="0" borderId="9" xfId="3" applyBorder="1" applyProtection="1">
      <protection hidden="1"/>
    </xf>
    <xf numFmtId="0" fontId="0" fillId="12" borderId="0" xfId="0" applyFill="1" applyProtection="1">
      <protection hidden="1"/>
    </xf>
    <xf numFmtId="0" fontId="16" fillId="0" borderId="0" xfId="0" applyFont="1" applyProtection="1">
      <protection hidden="1"/>
    </xf>
    <xf numFmtId="0" fontId="0" fillId="11" borderId="0" xfId="0" applyFill="1" applyProtection="1">
      <protection hidden="1"/>
    </xf>
    <xf numFmtId="164" fontId="0" fillId="9" borderId="0" xfId="0" applyNumberFormat="1" applyFill="1" applyProtection="1">
      <protection hidden="1"/>
    </xf>
    <xf numFmtId="1" fontId="0" fillId="9" borderId="0" xfId="0" applyNumberFormat="1" applyFill="1" applyProtection="1">
      <protection hidden="1"/>
    </xf>
    <xf numFmtId="2" fontId="0" fillId="9" borderId="0" xfId="0" applyNumberFormat="1" applyFill="1" applyProtection="1">
      <protection hidden="1"/>
    </xf>
    <xf numFmtId="0" fontId="0" fillId="9" borderId="0" xfId="0" applyFill="1" applyProtection="1">
      <protection hidden="1"/>
    </xf>
    <xf numFmtId="0" fontId="24" fillId="0" borderId="0" xfId="0" applyFont="1" applyProtection="1">
      <protection hidden="1"/>
    </xf>
    <xf numFmtId="0" fontId="0" fillId="19" borderId="0" xfId="0" applyFill="1"/>
    <xf numFmtId="0" fontId="0" fillId="0" borderId="5" xfId="0" applyBorder="1"/>
    <xf numFmtId="0" fontId="5" fillId="0" borderId="0" xfId="0" applyFont="1"/>
    <xf numFmtId="2" fontId="3" fillId="0" borderId="0" xfId="0" quotePrefix="1" applyNumberFormat="1" applyFont="1"/>
    <xf numFmtId="0" fontId="0" fillId="0" borderId="0" xfId="0" applyAlignment="1">
      <alignment horizontal="left"/>
    </xf>
    <xf numFmtId="0" fontId="5" fillId="0" borderId="0" xfId="0" applyFont="1" applyAlignment="1">
      <alignment horizontal="left"/>
    </xf>
    <xf numFmtId="164" fontId="0" fillId="0" borderId="26" xfId="0" applyNumberFormat="1" applyBorder="1" applyAlignment="1" applyProtection="1">
      <alignment horizontal="right"/>
      <protection hidden="1"/>
    </xf>
    <xf numFmtId="168" fontId="0" fillId="16" borderId="25" xfId="0" applyNumberFormat="1" applyFill="1" applyBorder="1" applyProtection="1">
      <protection hidden="1"/>
    </xf>
    <xf numFmtId="0" fontId="0" fillId="0" borderId="27" xfId="0" applyBorder="1"/>
    <xf numFmtId="0" fontId="0" fillId="0" borderId="28" xfId="0" applyBorder="1"/>
    <xf numFmtId="0" fontId="0" fillId="0" borderId="24" xfId="0" applyBorder="1"/>
    <xf numFmtId="0" fontId="4" fillId="0" borderId="25" xfId="3" applyBorder="1"/>
    <xf numFmtId="2" fontId="4" fillId="0" borderId="25" xfId="3" applyNumberFormat="1" applyBorder="1" applyAlignment="1">
      <alignment horizontal="center"/>
    </xf>
    <xf numFmtId="0" fontId="38" fillId="0" borderId="0" xfId="0" applyFont="1" applyAlignment="1">
      <alignment wrapText="1"/>
    </xf>
    <xf numFmtId="48" fontId="0" fillId="9" borderId="0" xfId="0" applyNumberFormat="1" applyFill="1"/>
    <xf numFmtId="0" fontId="35" fillId="8" borderId="0" xfId="8" applyFill="1" applyBorder="1" applyAlignment="1" applyProtection="1">
      <alignment horizontal="center"/>
      <protection hidden="1"/>
    </xf>
    <xf numFmtId="0" fontId="6" fillId="2" borderId="0" xfId="3" applyFont="1" applyFill="1" applyAlignment="1">
      <alignment horizontal="center"/>
    </xf>
    <xf numFmtId="0" fontId="5" fillId="0" borderId="0" xfId="3" applyFont="1" applyAlignment="1">
      <alignment horizontal="center"/>
    </xf>
    <xf numFmtId="0" fontId="0" fillId="0" borderId="20" xfId="0" applyBorder="1" applyAlignment="1">
      <alignment horizontal="center" wrapText="1"/>
    </xf>
    <xf numFmtId="0" fontId="0" fillId="0" borderId="21" xfId="0" applyBorder="1" applyAlignment="1">
      <alignment horizontal="center" wrapText="1"/>
    </xf>
    <xf numFmtId="0" fontId="0" fillId="0" borderId="22" xfId="0" applyBorder="1" applyAlignment="1">
      <alignment horizontal="center" wrapText="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6" fillId="2" borderId="0" xfId="3" applyFont="1" applyFill="1" applyAlignment="1" applyProtection="1">
      <alignment horizontal="center"/>
      <protection hidden="1"/>
    </xf>
    <xf numFmtId="0" fontId="5" fillId="0" borderId="0" xfId="3" applyFont="1" applyAlignment="1" applyProtection="1">
      <alignment horizontal="center"/>
      <protection hidden="1"/>
    </xf>
    <xf numFmtId="0" fontId="4" fillId="0" borderId="0" xfId="3" applyAlignment="1" applyProtection="1">
      <alignment horizontal="center"/>
      <protection hidden="1"/>
    </xf>
    <xf numFmtId="0" fontId="0" fillId="0" borderId="0" xfId="0" applyAlignment="1" applyProtection="1">
      <alignment horizontal="center"/>
      <protection hidden="1"/>
    </xf>
    <xf numFmtId="0" fontId="22" fillId="0" borderId="11" xfId="0" applyFont="1" applyBorder="1" applyAlignment="1" applyProtection="1">
      <alignment horizontal="center"/>
      <protection hidden="1"/>
    </xf>
    <xf numFmtId="0" fontId="22" fillId="0" borderId="12" xfId="0" applyFont="1" applyBorder="1" applyAlignment="1" applyProtection="1">
      <alignment horizontal="center"/>
      <protection hidden="1"/>
    </xf>
    <xf numFmtId="0" fontId="22" fillId="0" borderId="10" xfId="0" applyFont="1" applyBorder="1" applyAlignment="1" applyProtection="1">
      <alignment horizontal="center"/>
      <protection hidden="1"/>
    </xf>
    <xf numFmtId="0" fontId="0" fillId="0" borderId="5" xfId="0" applyBorder="1" applyAlignment="1" applyProtection="1">
      <alignment horizontal="center"/>
      <protection hidden="1"/>
    </xf>
    <xf numFmtId="0" fontId="0" fillId="0" borderId="6" xfId="0" applyBorder="1" applyAlignment="1" applyProtection="1">
      <alignment horizontal="center"/>
      <protection hidden="1"/>
    </xf>
    <xf numFmtId="0" fontId="36" fillId="0" borderId="0" xfId="0" applyFont="1" applyAlignment="1">
      <alignment horizontal="center"/>
    </xf>
    <xf numFmtId="0" fontId="36" fillId="18" borderId="0" xfId="0" applyFont="1" applyFill="1" applyAlignment="1">
      <alignment horizontal="center"/>
    </xf>
    <xf numFmtId="0" fontId="40" fillId="17" borderId="0" xfId="0" applyFont="1" applyFill="1" applyAlignment="1">
      <alignment horizontal="left"/>
    </xf>
    <xf numFmtId="0" fontId="38" fillId="0" borderId="0" xfId="0" applyFont="1" applyAlignment="1">
      <alignment horizontal="left"/>
    </xf>
    <xf numFmtId="0" fontId="38" fillId="0" borderId="0" xfId="0" applyFont="1" applyAlignment="1">
      <alignment wrapText="1"/>
    </xf>
  </cellXfs>
  <cellStyles count="9">
    <cellStyle name="Comma 2" xfId="5" xr:uid="{00000000-0005-0000-0000-000000000000}"/>
    <cellStyle name="Comma 3" xfId="2" xr:uid="{00000000-0005-0000-0000-000001000000}"/>
    <cellStyle name="Hyperlink" xfId="8" builtinId="8"/>
    <cellStyle name="Normal" xfId="0" builtinId="0"/>
    <cellStyle name="Normal 2" xfId="3" xr:uid="{00000000-0005-0000-0000-000003000000}"/>
    <cellStyle name="Normal 3" xfId="4" xr:uid="{00000000-0005-0000-0000-000004000000}"/>
    <cellStyle name="Normal 4" xfId="1" xr:uid="{00000000-0005-0000-0000-000005000000}"/>
    <cellStyle name="Normal 4 2" xfId="7" xr:uid="{00000000-0005-0000-0000-000006000000}"/>
    <cellStyle name="Normal 4 3" xfId="6" xr:uid="{00000000-0005-0000-0000-000007000000}"/>
  </cellStyles>
  <dxfs count="11">
    <dxf>
      <fill>
        <patternFill>
          <bgColor rgb="FFFF0000"/>
        </patternFill>
      </fill>
    </dxf>
    <dxf>
      <fill>
        <patternFill>
          <bgColor rgb="FFFF0000"/>
        </patternFill>
      </fill>
    </dxf>
    <dxf>
      <font>
        <color rgb="FFC00000"/>
      </font>
      <fill>
        <patternFill>
          <bgColor theme="5" tint="0.59996337778862885"/>
        </patternFill>
      </fill>
    </dxf>
    <dxf>
      <font>
        <color rgb="FF9C0006"/>
      </font>
      <fill>
        <patternFill>
          <bgColor rgb="FFFFC7CE"/>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ont>
        <color auto="1"/>
      </font>
      <fill>
        <patternFill>
          <bgColor rgb="FFFFC000"/>
        </patternFill>
      </fill>
    </dxf>
    <dxf>
      <fill>
        <patternFill>
          <bgColor rgb="FFFF0000"/>
        </patternFill>
      </fill>
    </dxf>
  </dxfs>
  <tableStyles count="0" defaultTableStyle="TableStyleMedium2" defaultPivotStyle="PivotStyleLight16"/>
  <colors>
    <mruColors>
      <color rgb="FF9C0006"/>
      <color rgb="FFFFC7CE"/>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a:pPr>
            <a:r>
              <a:rPr lang="en-US" sz="1600" baseline="0"/>
              <a:t>Bode Plot</a:t>
            </a:r>
          </a:p>
        </c:rich>
      </c:tx>
      <c:layout>
        <c:manualLayout>
          <c:xMode val="edge"/>
          <c:yMode val="edge"/>
          <c:x val="9.4354157174953393E-2"/>
          <c:y val="3.9916010498687662E-3"/>
        </c:manualLayout>
      </c:layout>
      <c:overlay val="0"/>
    </c:title>
    <c:autoTitleDeleted val="0"/>
    <c:plotArea>
      <c:layout>
        <c:manualLayout>
          <c:layoutTarget val="inner"/>
          <c:xMode val="edge"/>
          <c:yMode val="edge"/>
          <c:x val="9.0594052720499751E-2"/>
          <c:y val="8.9158108013693851E-2"/>
          <c:w val="0.80965876742891785"/>
          <c:h val="0.76159168715027026"/>
        </c:manualLayout>
      </c:layout>
      <c:scatterChart>
        <c:scatterStyle val="smoothMarker"/>
        <c:varyColors val="0"/>
        <c:ser>
          <c:idx val="0"/>
          <c:order val="0"/>
          <c:tx>
            <c:v>Gain (dB)</c:v>
          </c:tx>
          <c:spPr>
            <a:ln w="28575">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Loop_Modeling!$AT$19:$AT$560</c:f>
              <c:numCache>
                <c:formatCode>0.000</c:formatCode>
                <c:ptCount val="542"/>
                <c:pt idx="0">
                  <c:v>56.749311521135056</c:v>
                </c:pt>
                <c:pt idx="1">
                  <c:v>56.368380741465359</c:v>
                </c:pt>
                <c:pt idx="2">
                  <c:v>55.987155485890121</c:v>
                </c:pt>
                <c:pt idx="3">
                  <c:v>55.605669528723553</c:v>
                </c:pt>
                <c:pt idx="4">
                  <c:v>55.223956387272949</c:v>
                </c:pt>
                <c:pt idx="5">
                  <c:v>54.842049352577547</c:v>
                </c:pt>
                <c:pt idx="6">
                  <c:v>54.459981521108034</c:v>
                </c:pt>
                <c:pt idx="7">
                  <c:v>54.077785827284629</c:v>
                </c:pt>
                <c:pt idx="8">
                  <c:v>53.69549507667675</c:v>
                </c:pt>
                <c:pt idx="9">
                  <c:v>53.313141979747236</c:v>
                </c:pt>
                <c:pt idx="10">
                  <c:v>52.930759186012381</c:v>
                </c:pt>
                <c:pt idx="11">
                  <c:v>52.548379318485672</c:v>
                </c:pt>
                <c:pt idx="12">
                  <c:v>52.166035008276559</c:v>
                </c:pt>
                <c:pt idx="13">
                  <c:v>51.783758929218735</c:v>
                </c:pt>
                <c:pt idx="14">
                  <c:v>51.401583832397876</c:v>
                </c:pt>
                <c:pt idx="15">
                  <c:v>51.019542580451748</c:v>
                </c:pt>
                <c:pt idx="16">
                  <c:v>50.637668181513085</c:v>
                </c:pt>
                <c:pt idx="17">
                  <c:v>50.255993822663925</c:v>
                </c:pt>
                <c:pt idx="18">
                  <c:v>49.874552902767057</c:v>
                </c:pt>
                <c:pt idx="19">
                  <c:v>49.493379064537436</c:v>
                </c:pt>
                <c:pt idx="20">
                  <c:v>49.112506225714093</c:v>
                </c:pt>
                <c:pt idx="21">
                  <c:v>48.731968609185429</c:v>
                </c:pt>
                <c:pt idx="22">
                  <c:v>48.351800771921098</c:v>
                </c:pt>
                <c:pt idx="23">
                  <c:v>47.972037632552201</c:v>
                </c:pt>
                <c:pt idx="24">
                  <c:v>47.592714497444945</c:v>
                </c:pt>
                <c:pt idx="25">
                  <c:v>47.213867085097746</c:v>
                </c:pt>
                <c:pt idx="26">
                  <c:v>46.835531548693623</c:v>
                </c:pt>
                <c:pt idx="27">
                  <c:v>46.45774449663179</c:v>
                </c:pt>
                <c:pt idx="28">
                  <c:v>46.080543010854683</c:v>
                </c:pt>
                <c:pt idx="29">
                  <c:v>45.70396466278595</c:v>
                </c:pt>
                <c:pt idx="30">
                  <c:v>45.328047526686703</c:v>
                </c:pt>
                <c:pt idx="31">
                  <c:v>44.952830190234749</c:v>
                </c:pt>
                <c:pt idx="32">
                  <c:v>44.5783517621296</c:v>
                </c:pt>
                <c:pt idx="33">
                  <c:v>44.20465187652043</c:v>
                </c:pt>
                <c:pt idx="34">
                  <c:v>43.831770694057646</c:v>
                </c:pt>
                <c:pt idx="35">
                  <c:v>43.459748899364989</c:v>
                </c:pt>
                <c:pt idx="36">
                  <c:v>43.088627694733937</c:v>
                </c:pt>
                <c:pt idx="37">
                  <c:v>42.718448789845169</c:v>
                </c:pt>
                <c:pt idx="38">
                  <c:v>42.34925438732737</c:v>
                </c:pt>
                <c:pt idx="39">
                  <c:v>41.98108716397244</c:v>
                </c:pt>
                <c:pt idx="40">
                  <c:v>41.613990247437407</c:v>
                </c:pt>
                <c:pt idx="41">
                  <c:v>41.248007188274926</c:v>
                </c:pt>
                <c:pt idx="42">
                  <c:v>40.883181927153871</c:v>
                </c:pt>
                <c:pt idx="43">
                  <c:v>40.519558757147351</c:v>
                </c:pt>
                <c:pt idx="44">
                  <c:v>40.157182280990604</c:v>
                </c:pt>
                <c:pt idx="45">
                  <c:v>39.796097363236989</c:v>
                </c:pt>
                <c:pt idx="46">
                  <c:v>39.436349077267323</c:v>
                </c:pt>
                <c:pt idx="47">
                  <c:v>39.077982647144609</c:v>
                </c:pt>
                <c:pt idx="48">
                  <c:v>38.721043384339055</c:v>
                </c:pt>
                <c:pt idx="49">
                  <c:v>38.365576619386701</c:v>
                </c:pt>
                <c:pt idx="50">
                  <c:v>38.011627628593132</c:v>
                </c:pt>
                <c:pt idx="51">
                  <c:v>37.659241555931715</c:v>
                </c:pt>
                <c:pt idx="52">
                  <c:v>37.308463330338625</c:v>
                </c:pt>
                <c:pt idx="53">
                  <c:v>36.959337578655315</c:v>
                </c:pt>
                <c:pt idx="54">
                  <c:v>36.611908534519287</c:v>
                </c:pt>
                <c:pt idx="55">
                  <c:v>36.266219943560202</c:v>
                </c:pt>
                <c:pt idx="56">
                  <c:v>35.922314965306718</c:v>
                </c:pt>
                <c:pt idx="57">
                  <c:v>35.580236072266544</c:v>
                </c:pt>
                <c:pt idx="58">
                  <c:v>35.240024946691825</c:v>
                </c:pt>
                <c:pt idx="59">
                  <c:v>34.901722375591135</c:v>
                </c:pt>
                <c:pt idx="60">
                  <c:v>34.565368144600761</c:v>
                </c:pt>
                <c:pt idx="61">
                  <c:v>34.231000931363866</c:v>
                </c:pt>
                <c:pt idx="62">
                  <c:v>33.898658199114841</c:v>
                </c:pt>
                <c:pt idx="63">
                  <c:v>33.568376091190672</c:v>
                </c:pt>
                <c:pt idx="64">
                  <c:v>33.240189327224307</c:v>
                </c:pt>
                <c:pt idx="65">
                  <c:v>32.914131101793153</c:v>
                </c:pt>
                <c:pt idx="66">
                  <c:v>32.59023298630779</c:v>
                </c:pt>
                <c:pt idx="67">
                  <c:v>32.26852483492975</c:v>
                </c:pt>
                <c:pt idx="68">
                  <c:v>31.949034695304469</c:v>
                </c:pt>
                <c:pt idx="69">
                  <c:v>31.631788724876412</c:v>
                </c:pt>
                <c:pt idx="70">
                  <c:v>31.316811113533944</c:v>
                </c:pt>
                <c:pt idx="71">
                  <c:v>31.004124013295751</c:v>
                </c:pt>
                <c:pt idx="72">
                  <c:v>30.693747475705422</c:v>
                </c:pt>
                <c:pt idx="73">
                  <c:v>30.385699397553715</c:v>
                </c:pt>
                <c:pt idx="74">
                  <c:v>30.079995475481812</c:v>
                </c:pt>
                <c:pt idx="75">
                  <c:v>29.776649169952719</c:v>
                </c:pt>
                <c:pt idx="76">
                  <c:v>29.475671679002996</c:v>
                </c:pt>
                <c:pt idx="77">
                  <c:v>29.177071922102058</c:v>
                </c:pt>
                <c:pt idx="78">
                  <c:v>28.880856534363446</c:v>
                </c:pt>
                <c:pt idx="79">
                  <c:v>28.587029871258999</c:v>
                </c:pt>
                <c:pt idx="80">
                  <c:v>28.29559402389641</c:v>
                </c:pt>
                <c:pt idx="81">
                  <c:v>28.006548844827176</c:v>
                </c:pt>
                <c:pt idx="82">
                  <c:v>27.719891984258478</c:v>
                </c:pt>
                <c:pt idx="83">
                  <c:v>27.435618936453231</c:v>
                </c:pt>
                <c:pt idx="84">
                  <c:v>27.153723096014613</c:v>
                </c:pt>
                <c:pt idx="85">
                  <c:v>26.874195823669496</c:v>
                </c:pt>
                <c:pt idx="86">
                  <c:v>26.597026521087578</c:v>
                </c:pt>
                <c:pt idx="87">
                  <c:v>26.322202714205879</c:v>
                </c:pt>
                <c:pt idx="88">
                  <c:v>26.049710144461329</c:v>
                </c:pt>
                <c:pt idx="89">
                  <c:v>25.779532867287539</c:v>
                </c:pt>
                <c:pt idx="90">
                  <c:v>25.511653357181309</c:v>
                </c:pt>
                <c:pt idx="91">
                  <c:v>25.246052618611468</c:v>
                </c:pt>
                <c:pt idx="92">
                  <c:v>24.9827103020184</c:v>
                </c:pt>
                <c:pt idx="93">
                  <c:v>24.72160482413414</c:v>
                </c:pt>
                <c:pt idx="94">
                  <c:v>24.462713491845509</c:v>
                </c:pt>
                <c:pt idx="95">
                  <c:v>24.206012628827494</c:v>
                </c:pt>
                <c:pt idx="96">
                  <c:v>23.951477704180224</c:v>
                </c:pt>
                <c:pt idx="97">
                  <c:v>23.699083462324239</c:v>
                </c:pt>
                <c:pt idx="98">
                  <c:v>23.448804053429413</c:v>
                </c:pt>
                <c:pt idx="99">
                  <c:v>23.200613163688345</c:v>
                </c:pt>
                <c:pt idx="100">
                  <c:v>22.954484144776796</c:v>
                </c:pt>
                <c:pt idx="101">
                  <c:v>22.710390141886442</c:v>
                </c:pt>
                <c:pt idx="102">
                  <c:v>22.468304219759098</c:v>
                </c:pt>
                <c:pt idx="103">
                  <c:v>22.228199486195134</c:v>
                </c:pt>
                <c:pt idx="104">
                  <c:v>21.990049212562091</c:v>
                </c:pt>
                <c:pt idx="105">
                  <c:v>21.753826950870391</c:v>
                </c:pt>
                <c:pt idx="106">
                  <c:v>21.519506647039812</c:v>
                </c:pt>
                <c:pt idx="107">
                  <c:v>21.287062750021466</c:v>
                </c:pt>
                <c:pt idx="108">
                  <c:v>21.056470316491961</c:v>
                </c:pt>
                <c:pt idx="109">
                  <c:v>20.82770511087584</c:v>
                </c:pt>
                <c:pt idx="110">
                  <c:v>20.600743700498331</c:v>
                </c:pt>
                <c:pt idx="111">
                  <c:v>20.375563545708513</c:v>
                </c:pt>
                <c:pt idx="112">
                  <c:v>20.152143084847079</c:v>
                </c:pt>
                <c:pt idx="113">
                  <c:v>19.93046181396814</c:v>
                </c:pt>
                <c:pt idx="114">
                  <c:v>19.710500361251988</c:v>
                </c:pt>
                <c:pt idx="115">
                  <c:v>19.492240556070989</c:v>
                </c:pt>
                <c:pt idx="116">
                  <c:v>19.275665492692422</c:v>
                </c:pt>
                <c:pt idx="117">
                  <c:v>19.060759588621391</c:v>
                </c:pt>
                <c:pt idx="118">
                  <c:v>18.847508637597912</c:v>
                </c:pt>
                <c:pt idx="119">
                  <c:v>18.63589985727695</c:v>
                </c:pt>
                <c:pt idx="120">
                  <c:v>18.425921931625101</c:v>
                </c:pt>
                <c:pt idx="121">
                  <c:v>18.217565048073812</c:v>
                </c:pt>
                <c:pt idx="122">
                  <c:v>18.010820929470349</c:v>
                </c:pt>
                <c:pt idx="123">
                  <c:v>17.805682860865268</c:v>
                </c:pt>
                <c:pt idx="124">
                  <c:v>17.602145711176618</c:v>
                </c:pt>
                <c:pt idx="125">
                  <c:v>17.400205949762807</c:v>
                </c:pt>
                <c:pt idx="126">
                  <c:v>17.19986165792907</c:v>
                </c:pt>
                <c:pt idx="127">
                  <c:v>17.001112535390508</c:v>
                </c:pt>
                <c:pt idx="128">
                  <c:v>16.803959901699276</c:v>
                </c:pt>
                <c:pt idx="129">
                  <c:v>16.608406692641324</c:v>
                </c:pt>
                <c:pt idx="130">
                  <c:v>16.414457451594735</c:v>
                </c:pt>
                <c:pt idx="131">
                  <c:v>16.222118315835537</c:v>
                </c:pt>
                <c:pt idx="132">
                  <c:v>16.031396997769107</c:v>
                </c:pt>
                <c:pt idx="133">
                  <c:v>15.842302761056889</c:v>
                </c:pt>
                <c:pt idx="134">
                  <c:v>15.654846391604815</c:v>
                </c:pt>
                <c:pt idx="135">
                  <c:v>15.469040163373894</c:v>
                </c:pt>
                <c:pt idx="136">
                  <c:v>15.284897798973534</c:v>
                </c:pt>
                <c:pt idx="137">
                  <c:v>15.102434424997988</c:v>
                </c:pt>
                <c:pt idx="138">
                  <c:v>14.921666522068644</c:v>
                </c:pt>
                <c:pt idx="139">
                  <c:v>14.742611869553029</c:v>
                </c:pt>
                <c:pt idx="140">
                  <c:v>14.565289484939187</c:v>
                </c:pt>
                <c:pt idx="141">
                  <c:v>14.389719557856843</c:v>
                </c:pt>
                <c:pt idx="142">
                  <c:v>14.215923378753354</c:v>
                </c:pt>
                <c:pt idx="143">
                  <c:v>14.043923262252404</c:v>
                </c:pt>
                <c:pt idx="144">
                  <c:v>13.873742465245984</c:v>
                </c:pt>
                <c:pt idx="145">
                  <c:v>13.705405099798291</c:v>
                </c:pt>
                <c:pt idx="146">
                  <c:v>13.538936040969977</c:v>
                </c:pt>
                <c:pt idx="147">
                  <c:v>13.374360829707888</c:v>
                </c:pt>
                <c:pt idx="148">
                  <c:v>13.211705570978904</c:v>
                </c:pt>
                <c:pt idx="149">
                  <c:v>13.050996827371623</c:v>
                </c:pt>
                <c:pt idx="150">
                  <c:v>12.892261508430545</c:v>
                </c:pt>
                <c:pt idx="151">
                  <c:v>12.735526756032431</c:v>
                </c:pt>
                <c:pt idx="152">
                  <c:v>12.580819826165177</c:v>
                </c:pt>
                <c:pt idx="153">
                  <c:v>12.428167967512923</c:v>
                </c:pt>
                <c:pt idx="154">
                  <c:v>12.277598297304941</c:v>
                </c:pt>
                <c:pt idx="155">
                  <c:v>12.129137674929789</c:v>
                </c:pt>
                <c:pt idx="156">
                  <c:v>11.982812573867466</c:v>
                </c:pt>
                <c:pt idx="157">
                  <c:v>11.83864895253368</c:v>
                </c:pt>
                <c:pt idx="158">
                  <c:v>11.696672124675427</c:v>
                </c:pt>
                <c:pt idx="159">
                  <c:v>11.556906629993849</c:v>
                </c:pt>
                <c:pt idx="160">
                  <c:v>11.419376105704625</c:v>
                </c:pt>
                <c:pt idx="161">
                  <c:v>11.284103159772375</c:v>
                </c:pt>
                <c:pt idx="162">
                  <c:v>11.151109246580436</c:v>
                </c:pt>
                <c:pt idx="163">
                  <c:v>11.020414545805494</c:v>
                </c:pt>
                <c:pt idx="164">
                  <c:v>10.89203784527944</c:v>
                </c:pt>
                <c:pt idx="165">
                  <c:v>10.765996428612073</c:v>
                </c:pt>
                <c:pt idx="166">
                  <c:v>10.642305968339926</c:v>
                </c:pt>
                <c:pt idx="167">
                  <c:v>10.520980425345012</c:v>
                </c:pt>
                <c:pt idx="168">
                  <c:v>10.402031955255456</c:v>
                </c:pt>
                <c:pt idx="169">
                  <c:v>10.285470822501903</c:v>
                </c:pt>
                <c:pt idx="170">
                  <c:v>10.171305322653115</c:v>
                </c:pt>
                <c:pt idx="171">
                  <c:v>10.059541713596341</c:v>
                </c:pt>
                <c:pt idx="172">
                  <c:v>9.9501841560639619</c:v>
                </c:pt>
                <c:pt idx="173">
                  <c:v>9.8432346639322716</c:v>
                </c:pt>
                <c:pt idx="174">
                  <c:v>9.7386930646398611</c:v>
                </c:pt>
                <c:pt idx="175">
                  <c:v>9.6365569699883871</c:v>
                </c:pt>
                <c:pt idx="176">
                  <c:v>9.5368217574992311</c:v>
                </c:pt>
                <c:pt idx="177">
                  <c:v>9.4394805624079829</c:v>
                </c:pt>
                <c:pt idx="178">
                  <c:v>9.3445242802857305</c:v>
                </c:pt>
                <c:pt idx="179">
                  <c:v>9.2519415801833969</c:v>
                </c:pt>
                <c:pt idx="180">
                  <c:v>9.1617189281045466</c:v>
                </c:pt>
                <c:pt idx="181">
                  <c:v>9.0738406205223772</c:v>
                </c:pt>
                <c:pt idx="182">
                  <c:v>8.9882888275739941</c:v>
                </c:pt>
                <c:pt idx="183">
                  <c:v>8.9050436454854047</c:v>
                </c:pt>
                <c:pt idx="184">
                  <c:v>8.8240831577087331</c:v>
                </c:pt>
                <c:pt idx="185">
                  <c:v>8.7453835041881565</c:v>
                </c:pt>
                <c:pt idx="186">
                  <c:v>8.6689189581161283</c:v>
                </c:pt>
                <c:pt idx="187">
                  <c:v>8.5946620094909498</c:v>
                </c:pt>
                <c:pt idx="188">
                  <c:v>8.5225834547522155</c:v>
                </c:pt>
                <c:pt idx="189">
                  <c:v>8.4526524917395278</c:v>
                </c:pt>
                <c:pt idx="190">
                  <c:v>8.3848368192020608</c:v>
                </c:pt>
                <c:pt idx="191">
                  <c:v>8.3191027400755075</c:v>
                </c:pt>
                <c:pt idx="192">
                  <c:v>8.2554152677453452</c:v>
                </c:pt>
                <c:pt idx="193">
                  <c:v>8.1937382345216641</c:v>
                </c:pt>
                <c:pt idx="194">
                  <c:v>8.1340344015668098</c:v>
                </c:pt>
                <c:pt idx="195">
                  <c:v>8.0762655695438585</c:v>
                </c:pt>
                <c:pt idx="196">
                  <c:v>8.0203926892821702</c:v>
                </c:pt>
                <c:pt idx="197">
                  <c:v>7.966375971794398</c:v>
                </c:pt>
                <c:pt idx="198">
                  <c:v>7.9141749970201882</c:v>
                </c:pt>
                <c:pt idx="199">
                  <c:v>7.863748820717678</c:v>
                </c:pt>
                <c:pt idx="200">
                  <c:v>7.8150560789728596</c:v>
                </c:pt>
                <c:pt idx="201">
                  <c:v>7.7680550898494038</c:v>
                </c:pt>
                <c:pt idx="202">
                  <c:v>7.722703951749553</c:v>
                </c:pt>
                <c:pt idx="203">
                  <c:v>7.6789606381174424</c:v>
                </c:pt>
                <c:pt idx="204">
                  <c:v>7.6367830881614909</c:v>
                </c:pt>
                <c:pt idx="205">
                  <c:v>7.5961292933293025</c:v>
                </c:pt>
                <c:pt idx="206">
                  <c:v>7.5569573793200142</c:v>
                </c:pt>
                <c:pt idx="207">
                  <c:v>7.5192256834633122</c:v>
                </c:pt>
                <c:pt idx="208">
                  <c:v>7.4828928273472162</c:v>
                </c:pt>
                <c:pt idx="209">
                  <c:v>7.4479177846146305</c:v>
                </c:pt>
                <c:pt idx="210">
                  <c:v>7.4142599438944998</c:v>
                </c:pt>
                <c:pt idx="211">
                  <c:v>7.3818791668671349</c:v>
                </c:pt>
                <c:pt idx="212">
                  <c:v>7.3507358415009207</c:v>
                </c:pt>
                <c:pt idx="213">
                  <c:v>7.3207909305254866</c:v>
                </c:pt>
                <c:pt idx="214">
                  <c:v>7.2920060152366126</c:v>
                </c:pt>
                <c:pt idx="215">
                  <c:v>7.2643433347500537</c:v>
                </c:pt>
                <c:pt idx="216">
                  <c:v>7.2377658208435411</c:v>
                </c:pt>
                <c:pt idx="217">
                  <c:v>7.2122371285432578</c:v>
                </c:pt>
                <c:pt idx="218">
                  <c:v>7.1877216626264513</c:v>
                </c:pt>
                <c:pt idx="219">
                  <c:v>7.1641846002201826</c:v>
                </c:pt>
                <c:pt idx="220">
                  <c:v>7.1415919096914013</c:v>
                </c:pt>
                <c:pt idx="221">
                  <c:v>7.1199103660230803</c:v>
                </c:pt>
                <c:pt idx="222">
                  <c:v>7.0991075628800724</c:v>
                </c:pt>
                <c:pt idx="223">
                  <c:v>7.0791519215677168</c:v>
                </c:pt>
                <c:pt idx="224">
                  <c:v>7.0600126970892196</c:v>
                </c:pt>
                <c:pt idx="225">
                  <c:v>7.0416599815025567</c:v>
                </c:pt>
                <c:pt idx="226">
                  <c:v>7.0240647047794189</c:v>
                </c:pt>
                <c:pt idx="227">
                  <c:v>7.0071986333600425</c:v>
                </c:pt>
                <c:pt idx="228">
                  <c:v>6.9910343665963701</c:v>
                </c:pt>
                <c:pt idx="229">
                  <c:v>6.9755453312677798</c:v>
                </c:pt>
                <c:pt idx="230">
                  <c:v>6.9607057743477005</c:v>
                </c:pt>
                <c:pt idx="231">
                  <c:v>6.9464907541919461</c:v>
                </c:pt>
                <c:pt idx="232">
                  <c:v>6.9328761303112483</c:v>
                </c:pt>
                <c:pt idx="233">
                  <c:v>6.9198385518843555</c:v>
                </c:pt>
                <c:pt idx="234">
                  <c:v>6.9073554451566501</c:v>
                </c:pt>
                <c:pt idx="235">
                  <c:v>6.8954049998638851</c:v>
                </c:pt>
                <c:pt idx="236">
                  <c:v>6.8839661548100803</c:v>
                </c:pt>
                <c:pt idx="237">
                  <c:v>6.8730185827212811</c:v>
                </c:pt>
                <c:pt idx="238">
                  <c:v>6.8625426744885587</c:v>
                </c:pt>
                <c:pt idx="239">
                  <c:v>6.8525195229049976</c:v>
                </c:pt>
                <c:pt idx="240">
                  <c:v>6.8429309059932288</c:v>
                </c:pt>
                <c:pt idx="241">
                  <c:v>6.8337592700146335</c:v>
                </c:pt>
                <c:pt idx="242">
                  <c:v>6.824987712240369</c:v>
                </c:pt>
                <c:pt idx="243">
                  <c:v>6.8165999635598968</c:v>
                </c:pt>
                <c:pt idx="244">
                  <c:v>6.8085803709954025</c:v>
                </c:pt>
                <c:pt idx="245">
                  <c:v>6.8009138801834945</c:v>
                </c:pt>
                <c:pt idx="246">
                  <c:v>6.7935860178791172</c:v>
                </c:pt>
                <c:pt idx="247">
                  <c:v>6.7865828745319963</c:v>
                </c:pt>
                <c:pt idx="248">
                  <c:v>6.7798910869792808</c:v>
                </c:pt>
                <c:pt idx="249">
                  <c:v>6.7734978212928043</c:v>
                </c:pt>
                <c:pt idx="250">
                  <c:v>6.7673907558161686</c:v>
                </c:pt>
                <c:pt idx="251">
                  <c:v>6.7615580644191455</c:v>
                </c:pt>
                <c:pt idx="252">
                  <c:v>6.7559883999958279</c:v>
                </c:pt>
                <c:pt idx="253">
                  <c:v>6.7506708782270275</c:v>
                </c:pt>
                <c:pt idx="254">
                  <c:v>6.7455950616231144</c:v>
                </c:pt>
                <c:pt idx="255">
                  <c:v>6.7407509438626034</c:v>
                </c:pt>
                <c:pt idx="256">
                  <c:v>6.7361289344349009</c:v>
                </c:pt>
                <c:pt idx="257">
                  <c:v>6.7317198435945302</c:v>
                </c:pt>
                <c:pt idx="258">
                  <c:v>6.7275148676331806</c:v>
                </c:pt>
                <c:pt idx="259">
                  <c:v>6.7235055744666719</c:v>
                </c:pt>
                <c:pt idx="260">
                  <c:v>6.719683889539799</c:v>
                </c:pt>
                <c:pt idx="261">
                  <c:v>6.7160420820418096</c:v>
                </c:pt>
                <c:pt idx="262">
                  <c:v>6.7125727514283628</c:v>
                </c:pt>
                <c:pt idx="263">
                  <c:v>6.7092688142408505</c:v>
                </c:pt>
                <c:pt idx="264">
                  <c:v>6.7061234912113044</c:v>
                </c:pt>
                <c:pt idx="265">
                  <c:v>6.7031302946418201</c:v>
                </c:pt>
                <c:pt idx="266">
                  <c:v>6.7002830160409648</c:v>
                </c:pt>
                <c:pt idx="267">
                  <c:v>6.6975757140026584</c:v>
                </c:pt>
                <c:pt idx="268">
                  <c:v>6.6950027023045635</c:v>
                </c:pt>
                <c:pt idx="269">
                  <c:v>6.6925585382085861</c:v>
                </c:pt>
                <c:pt idx="270">
                  <c:v>6.6902380109357615</c:v>
                </c:pt>
                <c:pt idx="271">
                  <c:v>6.6880361302913389</c:v>
                </c:pt>
                <c:pt idx="272">
                  <c:v>6.6859481154116684</c:v>
                </c:pt>
                <c:pt idx="273">
                  <c:v>6.6839693835999805</c:v>
                </c:pt>
                <c:pt idx="274">
                  <c:v>6.6820955392192571</c:v>
                </c:pt>
                <c:pt idx="275">
                  <c:v>6.6803223626040795</c:v>
                </c:pt>
                <c:pt idx="276">
                  <c:v>6.6786457989510692</c:v>
                </c:pt>
                <c:pt idx="277">
                  <c:v>6.6770619471470924</c:v>
                </c:pt>
                <c:pt idx="278">
                  <c:v>6.6755670484857124</c:v>
                </c:pt>
                <c:pt idx="279">
                  <c:v>6.6741574752213566</c:v>
                </c:pt>
                <c:pt idx="280">
                  <c:v>6.6728297189086074</c:v>
                </c:pt>
                <c:pt idx="281">
                  <c:v>6.6715803784630845</c:v>
                </c:pt>
                <c:pt idx="282">
                  <c:v>6.6704061478822174</c:v>
                </c:pt>
                <c:pt idx="283">
                  <c:v>6.6693038035519692</c:v>
                </c:pt>
                <c:pt idx="284">
                  <c:v>6.6682701910665312</c:v>
                </c:pt>
                <c:pt idx="285">
                  <c:v>6.6673022114731992</c:v>
                </c:pt>
                <c:pt idx="286">
                  <c:v>6.6663968068545874</c:v>
                </c:pt>
                <c:pt idx="287">
                  <c:v>6.6655509451471868</c:v>
                </c:pt>
                <c:pt idx="288">
                  <c:v>6.6647616040880822</c:v>
                </c:pt>
                <c:pt idx="289">
                  <c:v>6.6640257541714778</c:v>
                </c:pt>
                <c:pt idx="290">
                  <c:v>6.6633403404875615</c:v>
                </c:pt>
                <c:pt idx="291">
                  <c:v>6.6627022632990016</c:v>
                </c:pt>
                <c:pt idx="292">
                  <c:v>6.6621083572045192</c:v>
                </c:pt>
                <c:pt idx="293">
                  <c:v>6.661555368718556</c:v>
                </c:pt>
                <c:pt idx="294">
                  <c:v>6.6610399320837086</c:v>
                </c:pt>
                <c:pt idx="295">
                  <c:v>6.6605585431129031</c:v>
                </c:pt>
                <c:pt idx="296">
                  <c:v>6.6601075308408229</c:v>
                </c:pt>
                <c:pt idx="297">
                  <c:v>6.6596830267442142</c:v>
                </c:pt>
                <c:pt idx="298">
                  <c:v>6.6592809312634982</c:v>
                </c:pt>
                <c:pt idx="299">
                  <c:v>6.6588968773387691</c:v>
                </c:pt>
                <c:pt idx="300">
                  <c:v>6.6585261906415987</c:v>
                </c:pt>
                <c:pt idx="301">
                  <c:v>6.6581638461568087</c:v>
                </c:pt>
                <c:pt idx="302">
                  <c:v>6.6578044207345499</c:v>
                </c:pt>
                <c:pt idx="303">
                  <c:v>6.6574420411976742</c:v>
                </c:pt>
                <c:pt idx="304">
                  <c:v>6.6570703275528764</c:v>
                </c:pt>
                <c:pt idx="305">
                  <c:v>6.6566823308080236</c:v>
                </c:pt>
                <c:pt idx="306">
                  <c:v>6.656270464858526</c:v>
                </c:pt>
                <c:pt idx="307">
                  <c:v>6.6558264318509082</c:v>
                </c:pt>
                <c:pt idx="308">
                  <c:v>6.6553411403839471</c:v>
                </c:pt>
                <c:pt idx="309">
                  <c:v>6.6548046158466221</c:v>
                </c:pt>
                <c:pt idx="310">
                  <c:v>6.6542059021349775</c:v>
                </c:pt>
                <c:pt idx="311">
                  <c:v>6.6535329539224684</c:v>
                </c:pt>
                <c:pt idx="312">
                  <c:v>6.6527725185900213</c:v>
                </c:pt>
                <c:pt idx="313">
                  <c:v>6.6519100068495129</c:v>
                </c:pt>
                <c:pt idx="314">
                  <c:v>6.6509293510157965</c:v>
                </c:pt>
                <c:pt idx="315">
                  <c:v>6.6498128498051434</c:v>
                </c:pt>
                <c:pt idx="316">
                  <c:v>6.6485409984506365</c:v>
                </c:pt>
                <c:pt idx="317">
                  <c:v>6.6470923028446718</c:v>
                </c:pt>
                <c:pt idx="318">
                  <c:v>6.6454430763292551</c:v>
                </c:pt>
                <c:pt idx="319">
                  <c:v>6.6435672176713219</c:v>
                </c:pt>
                <c:pt idx="320">
                  <c:v>6.6414359686793309</c:v>
                </c:pt>
                <c:pt idx="321">
                  <c:v>6.6390176498364593</c:v>
                </c:pt>
                <c:pt idx="322">
                  <c:v>6.6362773722624455</c:v>
                </c:pt>
                <c:pt idx="323">
                  <c:v>6.6331767242537349</c:v>
                </c:pt>
                <c:pt idx="324">
                  <c:v>6.6296734306203495</c:v>
                </c:pt>
                <c:pt idx="325">
                  <c:v>6.6257209830167261</c:v>
                </c:pt>
                <c:pt idx="326">
                  <c:v>6.6212682394813784</c:v>
                </c:pt>
                <c:pt idx="327">
                  <c:v>6.6162589914609429</c:v>
                </c:pt>
                <c:pt idx="328">
                  <c:v>6.6106314966924433</c:v>
                </c:pt>
                <c:pt idx="329">
                  <c:v>6.6043179764963984</c:v>
                </c:pt>
                <c:pt idx="330">
                  <c:v>6.5972440762734976</c:v>
                </c:pt>
                <c:pt idx="331">
                  <c:v>6.5893282883462856</c:v>
                </c:pt>
                <c:pt idx="332">
                  <c:v>6.5804813367417871</c:v>
                </c:pt>
                <c:pt idx="333">
                  <c:v>6.5706055241072523</c:v>
                </c:pt>
                <c:pt idx="334">
                  <c:v>6.5595940417047487</c:v>
                </c:pt>
                <c:pt idx="335">
                  <c:v>6.547330244376159</c:v>
                </c:pt>
                <c:pt idx="336">
                  <c:v>6.5336868935293779</c:v>
                </c:pt>
                <c:pt idx="337">
                  <c:v>6.5185253726042003</c:v>
                </c:pt>
                <c:pt idx="338">
                  <c:v>6.501694881154676</c:v>
                </c:pt>
                <c:pt idx="339">
                  <c:v>6.4830316156710115</c:v>
                </c:pt>
                <c:pt idx="340">
                  <c:v>6.4623579475682327</c:v>
                </c:pt>
                <c:pt idx="341">
                  <c:v>6.4394816114153688</c:v>
                </c:pt>
                <c:pt idx="342">
                  <c:v>6.4141949194609662</c:v>
                </c:pt>
                <c:pt idx="343">
                  <c:v>6.3862740218228531</c:v>
                </c:pt>
                <c:pt idx="344">
                  <c:v>6.3554782353018213</c:v>
                </c:pt>
                <c:pt idx="345">
                  <c:v>6.3215494675945783</c:v>
                </c:pt>
                <c:pt idx="346">
                  <c:v>6.2842117675983724</c:v>
                </c:pt>
                <c:pt idx="347">
                  <c:v>6.2431710363840285</c:v>
                </c:pt>
                <c:pt idx="348">
                  <c:v>6.1981149370416011</c:v>
                </c:pt>
                <c:pt idx="349">
                  <c:v>6.1487130447240892</c:v>
                </c:pt>
                <c:pt idx="350">
                  <c:v>6.094617280504</c:v>
                </c:pt>
                <c:pt idx="351">
                  <c:v>6.0354626737290316</c:v>
                </c:pt>
                <c:pt idx="352">
                  <c:v>5.9708684970023089</c:v>
                </c:pt>
                <c:pt idx="353">
                  <c:v>5.9004398152562771</c:v>
                </c:pt>
                <c:pt idx="354">
                  <c:v>5.8237694851914057</c:v>
                </c:pt>
                <c:pt idx="355">
                  <c:v>5.7404406332109961</c:v>
                </c:pt>
                <c:pt idx="356">
                  <c:v>5.6500296285837361</c:v>
                </c:pt>
                <c:pt idx="357">
                  <c:v>5.5521095537702632</c:v>
                </c:pt>
                <c:pt idx="358">
                  <c:v>5.4462541557422206</c:v>
                </c:pt>
                <c:pt idx="359">
                  <c:v>5.3320422410632968</c:v>
                </c:pt>
                <c:pt idx="360">
                  <c:v>5.2090624542342976</c:v>
                </c:pt>
                <c:pt idx="361">
                  <c:v>5.0769183543800196</c:v>
                </c:pt>
                <c:pt idx="362">
                  <c:v>4.9352336812395228</c:v>
                </c:pt>
                <c:pt idx="363">
                  <c:v>4.7836576793123768</c:v>
                </c:pt>
                <c:pt idx="364">
                  <c:v>4.6218703308190321</c:v>
                </c:pt>
                <c:pt idx="365">
                  <c:v>4.4495873357474629</c:v>
                </c:pt>
                <c:pt idx="366">
                  <c:v>4.266564672371417</c:v>
                </c:pt>
                <c:pt idx="367">
                  <c:v>4.0726025755243285</c:v>
                </c:pt>
                <c:pt idx="368">
                  <c:v>3.8675487832285556</c:v>
                </c:pt>
                <c:pt idx="369">
                  <c:v>3.6513009249047275</c:v>
                </c:pt>
                <c:pt idx="370">
                  <c:v>3.42380795532479</c:v>
                </c:pt>
                <c:pt idx="371">
                  <c:v>3.185070575956956</c:v>
                </c:pt>
                <c:pt idx="372">
                  <c:v>2.9351406269119757</c:v>
                </c:pt>
                <c:pt idx="373">
                  <c:v>2.6741194754629443</c:v>
                </c:pt>
                <c:pt idx="374">
                  <c:v>2.4021554680503678</c:v>
                </c:pt>
                <c:pt idx="375">
                  <c:v>2.1194405490025732</c:v>
                </c:pt>
                <c:pt idx="376">
                  <c:v>1.8262061785307817</c:v>
                </c:pt>
                <c:pt idx="377">
                  <c:v>1.5227187033094325</c:v>
                </c:pt>
                <c:pt idx="378">
                  <c:v>1.2092743442935128</c:v>
                </c:pt>
                <c:pt idx="379">
                  <c:v>0.88619396841411358</c:v>
                </c:pt>
                <c:pt idx="380">
                  <c:v>0.55381780422138249</c:v>
                </c:pt>
                <c:pt idx="381">
                  <c:v>0.21250024778414836</c:v>
                </c:pt>
                <c:pt idx="382">
                  <c:v>-0.13739511403538063</c:v>
                </c:pt>
                <c:pt idx="383">
                  <c:v>-0.49550015851716378</c:v>
                </c:pt>
                <c:pt idx="384">
                  <c:v>-0.86144648016963465</c:v>
                </c:pt>
                <c:pt idx="385">
                  <c:v>-1.2348691862337922</c:v>
                </c:pt>
                <c:pt idx="386">
                  <c:v>-1.6154102018119378</c:v>
                </c:pt>
                <c:pt idx="387">
                  <c:v>-2.0027210723678963</c:v>
                </c:pt>
                <c:pt idx="388">
                  <c:v>-2.3964652688440551</c:v>
                </c:pt>
                <c:pt idx="389">
                  <c:v>-2.7963200147860823</c:v>
                </c:pt>
                <c:pt idx="390">
                  <c:v>-3.2019776656308956</c:v>
                </c:pt>
                <c:pt idx="391">
                  <c:v>-3.6131466778784671</c:v>
                </c:pt>
                <c:pt idx="392">
                  <c:v>-4.0295522105595394</c:v>
                </c:pt>
                <c:pt idx="393">
                  <c:v>-4.4509364036619807</c:v>
                </c:pt>
                <c:pt idx="394">
                  <c:v>-4.8770583784265416</c:v>
                </c:pt>
                <c:pt idx="395">
                  <c:v>-5.3076940031194582</c:v>
                </c:pt>
                <c:pt idx="396">
                  <c:v>-5.7426354654656473</c:v>
                </c:pt>
                <c:pt idx="397">
                  <c:v>-6.1816906897242081</c:v>
                </c:pt>
                <c:pt idx="398">
                  <c:v>-6.6246826327438049</c:v>
                </c:pt>
                <c:pt idx="399">
                  <c:v>-7.0714484894777723</c:v>
                </c:pt>
                <c:pt idx="400">
                  <c:v>-7.5218388345741314</c:v>
                </c:pt>
                <c:pt idx="401">
                  <c:v>-7.9757167229179444</c:v>
                </c:pt>
                <c:pt idx="402">
                  <c:v>-8.4329567684951545</c:v>
                </c:pt>
                <c:pt idx="403">
                  <c:v>-8.8934442177270761</c:v>
                </c:pt>
                <c:pt idx="404">
                  <c:v>-9.3570740305228171</c:v>
                </c:pt>
                <c:pt idx="405">
                  <c:v>-9.8237499797356289</c:v>
                </c:pt>
                <c:pt idx="406">
                  <c:v>-10.293383777463351</c:v>
                </c:pt>
                <c:pt idx="407">
                  <c:v>-10.765894234707149</c:v>
                </c:pt>
                <c:pt idx="408">
                  <c:v>-11.241206459258564</c:v>
                </c:pt>
                <c:pt idx="409">
                  <c:v>-11.719251095300937</c:v>
                </c:pt>
                <c:pt idx="410">
                  <c:v>-12.199963607059212</c:v>
                </c:pt>
                <c:pt idx="411">
                  <c:v>-12.683283607878003</c:v>
                </c:pt>
                <c:pt idx="412">
                  <c:v>-13.169154235333513</c:v>
                </c:pt>
                <c:pt idx="413">
                  <c:v>-13.657521572350602</c:v>
                </c:pt>
                <c:pt idx="414">
                  <c:v>-14.148334113795292</c:v>
                </c:pt>
                <c:pt idx="415">
                  <c:v>-14.641542277609837</c:v>
                </c:pt>
                <c:pt idx="416">
                  <c:v>-15.137097959245658</c:v>
                </c:pt>
                <c:pt idx="417">
                  <c:v>-15.634954127905187</c:v>
                </c:pt>
                <c:pt idx="418">
                  <c:v>-16.135064462920621</c:v>
                </c:pt>
                <c:pt idx="419">
                  <c:v>-16.6373830284614</c:v>
                </c:pt>
                <c:pt idx="420">
                  <c:v>-17.141863984662191</c:v>
                </c:pt>
                <c:pt idx="421">
                  <c:v>-17.648461333201549</c:v>
                </c:pt>
                <c:pt idx="422">
                  <c:v>-18.157128695314569</c:v>
                </c:pt>
                <c:pt idx="423">
                  <c:v>-18.667819120210027</c:v>
                </c:pt>
                <c:pt idx="424">
                  <c:v>-19.180484921859787</c:v>
                </c:pt>
                <c:pt idx="425">
                  <c:v>-19.695077542137412</c:v>
                </c:pt>
                <c:pt idx="426">
                  <c:v>-20.211547438317247</c:v>
                </c:pt>
                <c:pt idx="427">
                  <c:v>-20.729843992975784</c:v>
                </c:pt>
                <c:pt idx="428">
                  <c:v>-21.24991544438776</c:v>
                </c:pt>
                <c:pt idx="429">
                  <c:v>-21.77170883556828</c:v>
                </c:pt>
                <c:pt idx="430">
                  <c:v>-22.295169980167667</c:v>
                </c:pt>
                <c:pt idx="431">
                  <c:v>-22.820243443506957</c:v>
                </c:pt>
                <c:pt idx="432">
                  <c:v>-23.3468725371098</c:v>
                </c:pt>
                <c:pt idx="433">
                  <c:v>-23.874999325177235</c:v>
                </c:pt>
                <c:pt idx="434">
                  <c:v>-24.404564641530783</c:v>
                </c:pt>
                <c:pt idx="435">
                  <c:v>-24.935508115647977</c:v>
                </c:pt>
                <c:pt idx="436">
                  <c:v>-25.467768206504285</c:v>
                </c:pt>
                <c:pt idx="437">
                  <c:v>-26.00128224303559</c:v>
                </c:pt>
                <c:pt idx="438">
                  <c:v>-26.535986470131391</c:v>
                </c:pt>
                <c:pt idx="439">
                  <c:v>-27.071816099171162</c:v>
                </c:pt>
                <c:pt idx="440">
                  <c:v>-27.608705362213982</c:v>
                </c:pt>
                <c:pt idx="441">
                  <c:v>-28.146587569054805</c:v>
                </c:pt>
                <c:pt idx="442">
                  <c:v>-28.685395166451592</c:v>
                </c:pt>
                <c:pt idx="443">
                  <c:v>-29.225059798931063</c:v>
                </c:pt>
                <c:pt idx="444">
                  <c:v>-29.765512370667807</c:v>
                </c:pt>
                <c:pt idx="445">
                  <c:v>-30.306683108023719</c:v>
                </c:pt>
                <c:pt idx="446">
                  <c:v>-30.848501622419594</c:v>
                </c:pt>
                <c:pt idx="447">
                  <c:v>-31.390896973289912</c:v>
                </c:pt>
                <c:pt idx="448">
                  <c:v>-31.933797730950062</c:v>
                </c:pt>
                <c:pt idx="449">
                  <c:v>-32.477132039273116</c:v>
                </c:pt>
                <c:pt idx="450">
                  <c:v>-33.020827678137735</c:v>
                </c:pt>
                <c:pt idx="451">
                  <c:v>-33.564812125668972</c:v>
                </c:pt>
                <c:pt idx="452">
                  <c:v>-34.109012620341915</c:v>
                </c:pt>
                <c:pt idx="453">
                  <c:v>-34.653356223067483</c:v>
                </c:pt>
                <c:pt idx="454">
                  <c:v>-35.19776987941357</c:v>
                </c:pt>
                <c:pt idx="455">
                  <c:v>-35.742180482150879</c:v>
                </c:pt>
                <c:pt idx="456">
                  <c:v>-36.286514934331315</c:v>
                </c:pt>
                <c:pt idx="457">
                  <c:v>-36.830700213133888</c:v>
                </c:pt>
                <c:pt idx="458">
                  <c:v>-37.37466343471241</c:v>
                </c:pt>
                <c:pt idx="459">
                  <c:v>-37.918331920293895</c:v>
                </c:pt>
                <c:pt idx="460">
                  <c:v>-38.461633263765734</c:v>
                </c:pt>
                <c:pt idx="461">
                  <c:v>-39.004495400987217</c:v>
                </c:pt>
                <c:pt idx="462">
                  <c:v>-39.546846681039085</c:v>
                </c:pt>
                <c:pt idx="463">
                  <c:v>-40.088615939607656</c:v>
                </c:pt>
                <c:pt idx="464">
                  <c:v>-40.629732574670705</c:v>
                </c:pt>
                <c:pt idx="465">
                  <c:v>-41.170126624617254</c:v>
                </c:pt>
                <c:pt idx="466">
                  <c:v>-41.709728848898962</c:v>
                </c:pt>
                <c:pt idx="467">
                  <c:v>-42.248470811263374</c:v>
                </c:pt>
                <c:pt idx="468">
                  <c:v>-42.786284965574083</c:v>
                </c:pt>
                <c:pt idx="469">
                  <c:v>-43.323104744171673</c:v>
                </c:pt>
                <c:pt idx="470">
                  <c:v>-43.858864648675187</c:v>
                </c:pt>
                <c:pt idx="471">
                  <c:v>-44.393500343065142</c:v>
                </c:pt>
                <c:pt idx="472">
                  <c:v>-44.926948748833922</c:v>
                </c:pt>
                <c:pt idx="473">
                  <c:v>-45.459148141929369</c:v>
                </c:pt>
                <c:pt idx="474">
                  <c:v>-45.990038251158225</c:v>
                </c:pt>
                <c:pt idx="475">
                  <c:v>-46.519560357657255</c:v>
                </c:pt>
                <c:pt idx="476">
                  <c:v>-47.047657394987908</c:v>
                </c:pt>
                <c:pt idx="477">
                  <c:v>-47.574274049352383</c:v>
                </c:pt>
                <c:pt idx="478">
                  <c:v>-48.099356859384095</c:v>
                </c:pt>
                <c:pt idx="479">
                  <c:v>-48.622854314921028</c:v>
                </c:pt>
                <c:pt idx="480">
                  <c:v>-49.144716954129663</c:v>
                </c:pt>
                <c:pt idx="481">
                  <c:v>-49.66489745831921</c:v>
                </c:pt>
                <c:pt idx="482">
                  <c:v>-50.183350743761608</c:v>
                </c:pt>
                <c:pt idx="483">
                  <c:v>-50.700034049815045</c:v>
                </c:pt>
                <c:pt idx="484">
                  <c:v>-51.214907022645171</c:v>
                </c:pt>
                <c:pt idx="485">
                  <c:v>-51.727931793840831</c:v>
                </c:pt>
                <c:pt idx="486">
                  <c:v>-52.239073053231067</c:v>
                </c:pt>
                <c:pt idx="487">
                  <c:v>-52.748298115238114</c:v>
                </c:pt>
                <c:pt idx="488">
                  <c:v>-53.255576978126783</c:v>
                </c:pt>
                <c:pt idx="489">
                  <c:v>-53.760882375560172</c:v>
                </c:pt>
                <c:pt idx="490">
                  <c:v>-54.264189819915515</c:v>
                </c:pt>
                <c:pt idx="491">
                  <c:v>-54.765477636880661</c:v>
                </c:pt>
                <c:pt idx="492">
                  <c:v>-55.264726990915392</c:v>
                </c:pt>
                <c:pt idx="493">
                  <c:v>-55.761921901235326</c:v>
                </c:pt>
                <c:pt idx="494">
                  <c:v>-56.257049248062302</c:v>
                </c:pt>
                <c:pt idx="495">
                  <c:v>-56.750098768963007</c:v>
                </c:pt>
                <c:pt idx="496">
                  <c:v>-57.241063045190863</c:v>
                </c:pt>
                <c:pt idx="497">
                  <c:v>-57.72993747803401</c:v>
                </c:pt>
                <c:pt idx="498">
                  <c:v>-58.216720255261791</c:v>
                </c:pt>
                <c:pt idx="499">
                  <c:v>-58.701412307854085</c:v>
                </c:pt>
                <c:pt idx="500">
                  <c:v>-59.18401725728171</c:v>
                </c:pt>
                <c:pt idx="501">
                  <c:v>-59.664541353690296</c:v>
                </c:pt>
                <c:pt idx="502">
                  <c:v>-60.142993405419212</c:v>
                </c:pt>
                <c:pt idx="503">
                  <c:v>-60.619384700355383</c:v>
                </c:pt>
                <c:pt idx="504">
                  <c:v>-61.093728919690015</c:v>
                </c:pt>
                <c:pt idx="505">
                  <c:v>-61.566042044701348</c:v>
                </c:pt>
                <c:pt idx="506">
                  <c:v>-62.036342257231837</c:v>
                </c:pt>
                <c:pt idx="507">
                  <c:v>-62.504649834571914</c:v>
                </c:pt>
                <c:pt idx="508">
                  <c:v>-62.97098703948712</c:v>
                </c:pt>
                <c:pt idx="509">
                  <c:v>-63.435378006146976</c:v>
                </c:pt>
                <c:pt idx="510">
                  <c:v>-63.897848622724496</c:v>
                </c:pt>
                <c:pt idx="511">
                  <c:v>-64.358426411436781</c:v>
                </c:pt>
                <c:pt idx="512">
                  <c:v>-64.817140406787615</c:v>
                </c:pt>
                <c:pt idx="513">
                  <c:v>-65.274021032759862</c:v>
                </c:pt>
                <c:pt idx="514">
                  <c:v>-65.729099979680271</c:v>
                </c:pt>
                <c:pt idx="515">
                  <c:v>-66.182410081449788</c:v>
                </c:pt>
                <c:pt idx="516">
                  <c:v>-66.633985193798495</c:v>
                </c:pt>
                <c:pt idx="517">
                  <c:v>-67.083860074179483</c:v>
                </c:pt>
                <c:pt idx="518">
                  <c:v>-67.532070263874346</c:v>
                </c:pt>
                <c:pt idx="519">
                  <c:v>-67.978651972833092</c:v>
                </c:pt>
                <c:pt idx="520">
                  <c:v>-68.423641967720741</c:v>
                </c:pt>
                <c:pt idx="521">
                  <c:v>-68.867077463590377</c:v>
                </c:pt>
                <c:pt idx="522">
                  <c:v>-69.308996019549625</c:v>
                </c:pt>
                <c:pt idx="523">
                  <c:v>-69.749435438735205</c:v>
                </c:pt>
                <c:pt idx="524">
                  <c:v>-70.188433672857514</c:v>
                </c:pt>
                <c:pt idx="525">
                  <c:v>-70.626028731525494</c:v>
                </c:pt>
                <c:pt idx="526">
                  <c:v>-71.062258596514653</c:v>
                </c:pt>
                <c:pt idx="527">
                  <c:v>-71.497161141093812</c:v>
                </c:pt>
                <c:pt idx="528">
                  <c:v>-71.930774054480679</c:v>
                </c:pt>
                <c:pt idx="529">
                  <c:v>-72.363134771460622</c:v>
                </c:pt>
                <c:pt idx="530">
                  <c:v>-72.794280407154503</c:v>
                </c:pt>
                <c:pt idx="531">
                  <c:v>-73.224247696901443</c:v>
                </c:pt>
                <c:pt idx="532">
                  <c:v>-73.653072941176902</c:v>
                </c:pt>
                <c:pt idx="533">
                  <c:v>-74.080791955451716</c:v>
                </c:pt>
                <c:pt idx="534">
                  <c:v>-74.507440024861125</c:v>
                </c:pt>
                <c:pt idx="535">
                  <c:v>-74.933051863544108</c:v>
                </c:pt>
                <c:pt idx="536">
                  <c:v>-75.357661578483771</c:v>
                </c:pt>
                <c:pt idx="537">
                  <c:v>-75.781302637677413</c:v>
                </c:pt>
                <c:pt idx="538">
                  <c:v>-76.204007842439495</c:v>
                </c:pt>
                <c:pt idx="539">
                  <c:v>-76.625809303645894</c:v>
                </c:pt>
                <c:pt idx="540">
                  <c:v>-77.046738421707829</c:v>
                </c:pt>
                <c:pt idx="541">
                  <c:v>-77.466825870071347</c:v>
                </c:pt>
              </c:numCache>
            </c:numRef>
          </c:yVal>
          <c:smooth val="1"/>
          <c:extLst>
            <c:ext xmlns:c16="http://schemas.microsoft.com/office/drawing/2014/chart" uri="{C3380CC4-5D6E-409C-BE32-E72D297353CC}">
              <c16:uniqueId val="{00000000-2470-421C-8EF3-DF4BAC2DF802}"/>
            </c:ext>
          </c:extLst>
        </c:ser>
        <c:ser>
          <c:idx val="2"/>
          <c:order val="2"/>
          <c:tx>
            <c:v>f_LP</c:v>
          </c:tx>
          <c:spPr>
            <a:ln w="38100" cmpd="sng"/>
          </c:spPr>
          <c:marker>
            <c:symbol val="x"/>
            <c:size val="7"/>
            <c:spPr>
              <a:noFill/>
            </c:spPr>
          </c:marker>
          <c:dPt>
            <c:idx val="0"/>
            <c:marker>
              <c:spPr>
                <a:noFill/>
                <a:ln w="19050">
                  <a:solidFill>
                    <a:schemeClr val="tx1"/>
                  </a:solidFill>
                </a:ln>
              </c:spPr>
            </c:marker>
            <c:bubble3D val="0"/>
            <c:extLst>
              <c:ext xmlns:c16="http://schemas.microsoft.com/office/drawing/2014/chart" uri="{C3380CC4-5D6E-409C-BE32-E72D297353CC}">
                <c16:uniqueId val="{00000001-2470-421C-8EF3-DF4BAC2DF802}"/>
              </c:ext>
            </c:extLst>
          </c:dPt>
          <c:dLbls>
            <c:dLbl>
              <c:idx val="0"/>
              <c:tx>
                <c:rich>
                  <a:bodyPr/>
                  <a:lstStyle/>
                  <a:p>
                    <a:r>
                      <a:rPr lang="en-US" sz="1100" b="1"/>
                      <a:t>f</a:t>
                    </a:r>
                    <a:r>
                      <a:rPr lang="en-US" sz="1100" b="1" baseline="-25000"/>
                      <a:t>LP</a:t>
                    </a:r>
                    <a:endParaRPr lang="en-US" b="1" baseline="-25000"/>
                  </a:p>
                </c:rich>
              </c:tx>
              <c:dLblPos val="b"/>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470-421C-8EF3-DF4BAC2DF802}"/>
                </c:ext>
              </c:extLst>
            </c:dLbl>
            <c:spPr>
              <a:noFill/>
              <a:ln>
                <a:noFill/>
              </a:ln>
              <a:effectLst/>
            </c:sp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Loop_Modeling!$O$11</c:f>
              <c:numCache>
                <c:formatCode>0</c:formatCode>
                <c:ptCount val="1"/>
                <c:pt idx="0">
                  <c:v>2.7599123079519421</c:v>
                </c:pt>
              </c:numCache>
            </c:numRef>
          </c:xVal>
          <c:yVal>
            <c:numRef>
              <c:f>Loop_Modeling!$AT$11</c:f>
              <c:numCache>
                <c:formatCode>0.000</c:formatCode>
                <c:ptCount val="1"/>
                <c:pt idx="0">
                  <c:v>76.692585761410925</c:v>
                </c:pt>
              </c:numCache>
            </c:numRef>
          </c:yVal>
          <c:smooth val="0"/>
          <c:extLst>
            <c:ext xmlns:c16="http://schemas.microsoft.com/office/drawing/2014/chart" uri="{C3380CC4-5D6E-409C-BE32-E72D297353CC}">
              <c16:uniqueId val="{00000002-2470-421C-8EF3-DF4BAC2DF802}"/>
            </c:ext>
          </c:extLst>
        </c:ser>
        <c:ser>
          <c:idx val="3"/>
          <c:order val="3"/>
          <c:tx>
            <c:v>fz_rhp</c:v>
          </c:tx>
          <c:spPr>
            <a:ln>
              <a:solidFill>
                <a:schemeClr val="tx1"/>
              </a:solidFill>
            </a:ln>
          </c:spPr>
          <c:marker>
            <c:symbol val="circle"/>
            <c:size val="7"/>
            <c:spPr>
              <a:noFill/>
              <a:ln w="19050">
                <a:solidFill>
                  <a:schemeClr val="tx1"/>
                </a:solidFill>
              </a:ln>
            </c:spPr>
          </c:marker>
          <c:dLbls>
            <c:dLbl>
              <c:idx val="0"/>
              <c:layout>
                <c:manualLayout>
                  <c:x val="8.0501209561423519E-3"/>
                  <c:y val="-1.5493667278504181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470-421C-8EF3-DF4BAC2DF802}"/>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Loop_Modeling!$O$9</c:f>
              <c:numCache>
                <c:formatCode>0</c:formatCode>
                <c:ptCount val="1"/>
                <c:pt idx="0">
                  <c:v>883171.93854462146</c:v>
                </c:pt>
              </c:numCache>
            </c:numRef>
          </c:xVal>
          <c:yVal>
            <c:numRef>
              <c:f>Loop_Modeling!$AT$9</c:f>
              <c:numCache>
                <c:formatCode>0.000</c:formatCode>
                <c:ptCount val="1"/>
                <c:pt idx="0">
                  <c:v>-56.061487202941478</c:v>
                </c:pt>
              </c:numCache>
            </c:numRef>
          </c:yVal>
          <c:smooth val="1"/>
          <c:extLst>
            <c:ext xmlns:c16="http://schemas.microsoft.com/office/drawing/2014/chart" uri="{C3380CC4-5D6E-409C-BE32-E72D297353CC}">
              <c16:uniqueId val="{00000004-2470-421C-8EF3-DF4BAC2DF802}"/>
            </c:ext>
          </c:extLst>
        </c:ser>
        <c:ser>
          <c:idx val="4"/>
          <c:order val="4"/>
          <c:tx>
            <c:v>f_esr</c:v>
          </c:tx>
          <c:spPr>
            <a:ln>
              <a:noFill/>
            </a:ln>
          </c:spPr>
          <c:marker>
            <c:symbol val="circle"/>
            <c:size val="5"/>
            <c:spPr>
              <a:noFill/>
              <a:ln w="19050">
                <a:solidFill>
                  <a:schemeClr val="tx1"/>
                </a:solidFill>
              </a:ln>
            </c:spPr>
          </c:marker>
          <c:dPt>
            <c:idx val="0"/>
            <c:marker>
              <c:symbol val="circle"/>
              <c:size val="7"/>
            </c:marker>
            <c:bubble3D val="0"/>
            <c:extLst>
              <c:ext xmlns:c16="http://schemas.microsoft.com/office/drawing/2014/chart" uri="{C3380CC4-5D6E-409C-BE32-E72D297353CC}">
                <c16:uniqueId val="{00000005-2470-421C-8EF3-DF4BAC2DF802}"/>
              </c:ext>
            </c:extLst>
          </c:dPt>
          <c:dLbls>
            <c:dLbl>
              <c:idx val="0"/>
              <c:layout>
                <c:manualLayout>
                  <c:x val="-5.990474489899654E-2"/>
                  <c:y val="-1.2457193490087108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2470-421C-8EF3-DF4BAC2DF802}"/>
                </c:ext>
              </c:extLst>
            </c:dLbl>
            <c:spPr>
              <a:noFill/>
              <a:ln>
                <a:noFill/>
              </a:ln>
              <a:effectLst/>
            </c:spPr>
            <c:txPr>
              <a:bodyPr/>
              <a:lstStyle/>
              <a:p>
                <a:pPr>
                  <a:defRPr b="1"/>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Loop_Modeling!$O$10</c:f>
              <c:numCache>
                <c:formatCode>0</c:formatCode>
                <c:ptCount val="1"/>
                <c:pt idx="0">
                  <c:v>568.41051104248334</c:v>
                </c:pt>
              </c:numCache>
            </c:numRef>
          </c:xVal>
          <c:yVal>
            <c:numRef>
              <c:f>Loop_Modeling!$AT$10</c:f>
              <c:numCache>
                <c:formatCode>0.000</c:formatCode>
                <c:ptCount val="1"/>
                <c:pt idx="0">
                  <c:v>9.6907771069316055</c:v>
                </c:pt>
              </c:numCache>
            </c:numRef>
          </c:yVal>
          <c:smooth val="1"/>
          <c:extLst>
            <c:ext xmlns:c16="http://schemas.microsoft.com/office/drawing/2014/chart" uri="{C3380CC4-5D6E-409C-BE32-E72D297353CC}">
              <c16:uniqueId val="{00000006-2470-421C-8EF3-DF4BAC2DF802}"/>
            </c:ext>
          </c:extLst>
        </c:ser>
        <c:ser>
          <c:idx val="5"/>
          <c:order val="5"/>
          <c:tx>
            <c:v>fz_ea</c:v>
          </c:tx>
          <c:marker>
            <c:symbol val="circle"/>
            <c:size val="8"/>
            <c:spPr>
              <a:noFill/>
              <a:ln w="25400">
                <a:solidFill>
                  <a:srgbClr val="00B0F0"/>
                </a:solidFill>
              </a:ln>
            </c:spPr>
          </c:marker>
          <c:dLbls>
            <c:dLbl>
              <c:idx val="0"/>
              <c:spPr/>
              <c:txPr>
                <a:bodyPr/>
                <a:lstStyle/>
                <a:p>
                  <a:pPr>
                    <a:defRPr b="1"/>
                  </a:pPr>
                  <a:endParaRPr lang="en-US"/>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7-2470-421C-8EF3-DF4BAC2DF80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Loop_Modeling!$O$12</c:f>
              <c:numCache>
                <c:formatCode>General</c:formatCode>
                <c:ptCount val="1"/>
                <c:pt idx="0">
                  <c:v>60.285963292384594</c:v>
                </c:pt>
              </c:numCache>
            </c:numRef>
          </c:xVal>
          <c:yVal>
            <c:numRef>
              <c:f>Loop_Modeling!$AT$12</c:f>
              <c:numCache>
                <c:formatCode>0.000</c:formatCode>
                <c:ptCount val="1"/>
                <c:pt idx="0">
                  <c:v>29.170642366003797</c:v>
                </c:pt>
              </c:numCache>
            </c:numRef>
          </c:yVal>
          <c:smooth val="1"/>
          <c:extLst>
            <c:ext xmlns:c16="http://schemas.microsoft.com/office/drawing/2014/chart" uri="{C3380CC4-5D6E-409C-BE32-E72D297353CC}">
              <c16:uniqueId val="{00000008-2470-421C-8EF3-DF4BAC2DF802}"/>
            </c:ext>
          </c:extLst>
        </c:ser>
        <c:ser>
          <c:idx val="6"/>
          <c:order val="6"/>
          <c:tx>
            <c:v>fp_ea</c:v>
          </c:tx>
          <c:marker>
            <c:symbol val="x"/>
            <c:size val="7"/>
            <c:spPr>
              <a:noFill/>
              <a:ln w="25400">
                <a:solidFill>
                  <a:srgbClr val="00B0F0"/>
                </a:solidFill>
              </a:ln>
            </c:spPr>
          </c:marker>
          <c:dLbls>
            <c:dLbl>
              <c:idx val="0"/>
              <c:layout>
                <c:manualLayout>
                  <c:x val="-5.3995739911983948E-2"/>
                  <c:y val="3.3712510009006609E-2"/>
                </c:manualLayout>
              </c:layout>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470-421C-8EF3-DF4BAC2DF802}"/>
                </c:ext>
              </c:extLst>
            </c:dLbl>
            <c:spPr>
              <a:noFill/>
              <a:ln>
                <a:noFill/>
              </a:ln>
              <a:effectLst/>
            </c:spPr>
            <c:txPr>
              <a:bodyPr/>
              <a:lstStyle/>
              <a:p>
                <a:pPr>
                  <a:defRPr b="1"/>
                </a:pPr>
                <a:endParaRPr lang="en-US"/>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Loop_Modeling!$O$13</c:f>
              <c:numCache>
                <c:formatCode>General</c:formatCode>
                <c:ptCount val="1"/>
                <c:pt idx="0">
                  <c:v>144746.59786501544</c:v>
                </c:pt>
              </c:numCache>
            </c:numRef>
          </c:xVal>
          <c:yVal>
            <c:numRef>
              <c:f>Loop_Modeling!$AT$13</c:f>
              <c:numCache>
                <c:formatCode>0.000</c:formatCode>
                <c:ptCount val="1"/>
                <c:pt idx="0">
                  <c:v>-14.671623558760029</c:v>
                </c:pt>
              </c:numCache>
            </c:numRef>
          </c:yVal>
          <c:smooth val="1"/>
          <c:extLst>
            <c:ext xmlns:c16="http://schemas.microsoft.com/office/drawing/2014/chart" uri="{C3380CC4-5D6E-409C-BE32-E72D297353CC}">
              <c16:uniqueId val="{0000000A-2470-421C-8EF3-DF4BAC2DF802}"/>
            </c:ext>
          </c:extLst>
        </c:ser>
        <c:dLbls>
          <c:showLegendKey val="0"/>
          <c:showVal val="0"/>
          <c:showCatName val="0"/>
          <c:showSerName val="0"/>
          <c:showPercent val="0"/>
          <c:showBubbleSize val="0"/>
        </c:dLbls>
        <c:axId val="144369152"/>
        <c:axId val="144371072"/>
      </c:scatterChart>
      <c:scatterChart>
        <c:scatterStyle val="smoothMarker"/>
        <c:varyColors val="0"/>
        <c:ser>
          <c:idx val="1"/>
          <c:order val="1"/>
          <c:tx>
            <c:v>Phase (deg)</c:v>
          </c:tx>
          <c:spPr>
            <a:ln w="28575">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Loop_Modeling!$AU$19:$AU$560</c:f>
              <c:numCache>
                <c:formatCode>General</c:formatCode>
                <c:ptCount val="542"/>
                <c:pt idx="0">
                  <c:v>25.769845554820787</c:v>
                </c:pt>
                <c:pt idx="1">
                  <c:v>25.685754066665744</c:v>
                </c:pt>
                <c:pt idx="2">
                  <c:v>25.613563317455771</c:v>
                </c:pt>
                <c:pt idx="3">
                  <c:v>25.553288585764452</c:v>
                </c:pt>
                <c:pt idx="4">
                  <c:v>25.504944836793868</c:v>
                </c:pt>
                <c:pt idx="5">
                  <c:v>25.468546865591144</c:v>
                </c:pt>
                <c:pt idx="6">
                  <c:v>25.444109422529134</c:v>
                </c:pt>
                <c:pt idx="7">
                  <c:v>25.431647320976914</c:v>
                </c:pt>
                <c:pt idx="8">
                  <c:v>25.431175527116508</c:v>
                </c:pt>
                <c:pt idx="9">
                  <c:v>25.442709231861325</c:v>
                </c:pt>
                <c:pt idx="10">
                  <c:v>25.46626390485806</c:v>
                </c:pt>
                <c:pt idx="11">
                  <c:v>25.501855330552697</c:v>
                </c:pt>
                <c:pt idx="12">
                  <c:v>25.549499626315317</c:v>
                </c:pt>
                <c:pt idx="13">
                  <c:v>25.609213242621006</c:v>
                </c:pt>
                <c:pt idx="14">
                  <c:v>25.681012945295791</c:v>
                </c:pt>
                <c:pt idx="15">
                  <c:v>25.764915779835402</c:v>
                </c:pt>
                <c:pt idx="16">
                  <c:v>25.860939017821863</c:v>
                </c:pt>
                <c:pt idx="17">
                  <c:v>25.969100085462653</c:v>
                </c:pt>
                <c:pt idx="18">
                  <c:v>26.08941647429689</c:v>
                </c:pt>
                <c:pt idx="19">
                  <c:v>26.221905634120489</c:v>
                </c:pt>
                <c:pt idx="20">
                  <c:v>26.366584848204614</c:v>
                </c:pt>
                <c:pt idx="21">
                  <c:v>26.523471090901939</c:v>
                </c:pt>
                <c:pt idx="22">
                  <c:v>26.692580867761578</c:v>
                </c:pt>
                <c:pt idx="23">
                  <c:v>26.873930038305687</c:v>
                </c:pt>
                <c:pt idx="24">
                  <c:v>27.06753362166015</c:v>
                </c:pt>
                <c:pt idx="25">
                  <c:v>27.273405585273455</c:v>
                </c:pt>
                <c:pt idx="26">
                  <c:v>27.491558617011073</c:v>
                </c:pt>
                <c:pt idx="27">
                  <c:v>27.722003880971407</c:v>
                </c:pt>
                <c:pt idx="28">
                  <c:v>27.964750757434064</c:v>
                </c:pt>
                <c:pt idx="29">
                  <c:v>28.219806567430666</c:v>
                </c:pt>
                <c:pt idx="30">
                  <c:v>28.487176282503427</c:v>
                </c:pt>
                <c:pt idx="31">
                  <c:v>28.766862220320412</c:v>
                </c:pt>
                <c:pt idx="32">
                  <c:v>29.05886372690485</c:v>
                </c:pt>
                <c:pt idx="33">
                  <c:v>29.363176846355792</c:v>
                </c:pt>
                <c:pt idx="34">
                  <c:v>29.679793979048188</c:v>
                </c:pt>
                <c:pt idx="35">
                  <c:v>30.008703529433422</c:v>
                </c:pt>
                <c:pt idx="36">
                  <c:v>30.34988954468821</c:v>
                </c:pt>
                <c:pt idx="37">
                  <c:v>30.703331345608404</c:v>
                </c:pt>
                <c:pt idx="38">
                  <c:v>31.069003151287163</c:v>
                </c:pt>
                <c:pt idx="39">
                  <c:v>31.446873699271254</c:v>
                </c:pt>
                <c:pt idx="40">
                  <c:v>31.836905863046045</c:v>
                </c:pt>
                <c:pt idx="41">
                  <c:v>32.239056268861205</c:v>
                </c:pt>
                <c:pt idx="42">
                  <c:v>32.653274914057725</c:v>
                </c:pt>
                <c:pt idx="43">
                  <c:v>33.079504789234711</c:v>
                </c:pt>
                <c:pt idx="44">
                  <c:v>33.51768150672644</c:v>
                </c:pt>
                <c:pt idx="45">
                  <c:v>33.967732938022181</c:v>
                </c:pt>
                <c:pt idx="46">
                  <c:v>34.429578862896058</c:v>
                </c:pt>
                <c:pt idx="47">
                  <c:v>34.903130633136378</c:v>
                </c:pt>
                <c:pt idx="48">
                  <c:v>35.388290853882872</c:v>
                </c:pt>
                <c:pt idx="49">
                  <c:v>35.884953085663497</c:v>
                </c:pt>
                <c:pt idx="50">
                  <c:v>36.393001570301529</c:v>
                </c:pt>
                <c:pt idx="51">
                  <c:v>36.912310983904021</c:v>
                </c:pt>
                <c:pt idx="52">
                  <c:v>37.442746220162036</c:v>
                </c:pt>
                <c:pt idx="53">
                  <c:v>37.984162207178713</c:v>
                </c:pt>
                <c:pt idx="54">
                  <c:v>38.536403760988691</c:v>
                </c:pt>
                <c:pt idx="55">
                  <c:v>39.099305478853232</c:v>
                </c:pt>
                <c:pt idx="56">
                  <c:v>39.672691675280099</c:v>
                </c:pt>
                <c:pt idx="57">
                  <c:v>40.256376363558147</c:v>
                </c:pt>
                <c:pt idx="58">
                  <c:v>40.85016328538093</c:v>
                </c:pt>
                <c:pt idx="59">
                  <c:v>41.453845990881987</c:v>
                </c:pt>
                <c:pt idx="60">
                  <c:v>42.06720797110782</c:v>
                </c:pt>
                <c:pt idx="61">
                  <c:v>42.690022844617317</c:v>
                </c:pt>
                <c:pt idx="62">
                  <c:v>43.322054599511901</c:v>
                </c:pt>
                <c:pt idx="63">
                  <c:v>43.963057891790491</c:v>
                </c:pt>
                <c:pt idx="64">
                  <c:v>44.61277840046413</c:v>
                </c:pt>
                <c:pt idx="65">
                  <c:v>45.270953239393265</c:v>
                </c:pt>
                <c:pt idx="66">
                  <c:v>45.937311425292322</c:v>
                </c:pt>
                <c:pt idx="67">
                  <c:v>46.611574400838585</c:v>
                </c:pt>
                <c:pt idx="68">
                  <c:v>47.293456611271687</c:v>
                </c:pt>
                <c:pt idx="69">
                  <c:v>47.982666132340768</c:v>
                </c:pt>
                <c:pt idx="70">
                  <c:v>48.678905346917865</c:v>
                </c:pt>
                <c:pt idx="71">
                  <c:v>49.381871667076425</c:v>
                </c:pt>
                <c:pt idx="72">
                  <c:v>50.091258297924902</c:v>
                </c:pt>
                <c:pt idx="73">
                  <c:v>50.806755039026854</c:v>
                </c:pt>
                <c:pt idx="74">
                  <c:v>51.528049118784594</c:v>
                </c:pt>
                <c:pt idx="75">
                  <c:v>52.254826056791558</c:v>
                </c:pt>
                <c:pt idx="76">
                  <c:v>52.986770548810185</c:v>
                </c:pt>
                <c:pt idx="77">
                  <c:v>53.723567368749961</c:v>
                </c:pt>
                <c:pt idx="78">
                  <c:v>54.464902281811412</c:v>
                </c:pt>
                <c:pt idx="79">
                  <c:v>55.210462962801813</c:v>
                </c:pt>
                <c:pt idx="80">
                  <c:v>55.959939913556802</c:v>
                </c:pt>
                <c:pt idx="81">
                  <c:v>56.71302737338462</c:v>
                </c:pt>
                <c:pt idx="82">
                  <c:v>57.469424216516998</c:v>
                </c:pt>
                <c:pt idx="83">
                  <c:v>58.228834830681429</c:v>
                </c:pt>
                <c:pt idx="84">
                  <c:v>58.990969971108157</c:v>
                </c:pt>
                <c:pt idx="85">
                  <c:v>59.755547584543251</c:v>
                </c:pt>
                <c:pt idx="86">
                  <c:v>60.522293598170272</c:v>
                </c:pt>
                <c:pt idx="87">
                  <c:v>61.29094266870127</c:v>
                </c:pt>
                <c:pt idx="88">
                  <c:v>62.061238887329218</c:v>
                </c:pt>
                <c:pt idx="89">
                  <c:v>62.832936436674039</c:v>
                </c:pt>
                <c:pt idx="90">
                  <c:v>63.605800196356881</c:v>
                </c:pt>
                <c:pt idx="91">
                  <c:v>64.379606294324489</c:v>
                </c:pt>
                <c:pt idx="92">
                  <c:v>65.154142601573412</c:v>
                </c:pt>
                <c:pt idx="93">
                  <c:v>65.929209168449589</c:v>
                </c:pt>
                <c:pt idx="94">
                  <c:v>66.704618601206022</c:v>
                </c:pt>
                <c:pt idx="95">
                  <c:v>67.48019637801832</c:v>
                </c:pt>
                <c:pt idx="96">
                  <c:v>68.255781104146337</c:v>
                </c:pt>
                <c:pt idx="97">
                  <c:v>69.031224706393346</c:v>
                </c:pt>
                <c:pt idx="98">
                  <c:v>69.806392567450374</c:v>
                </c:pt>
                <c:pt idx="99">
                  <c:v>70.581163601119286</c:v>
                </c:pt>
                <c:pt idx="100">
                  <c:v>71.355430269769826</c:v>
                </c:pt>
                <c:pt idx="101">
                  <c:v>72.129098545708928</c:v>
                </c:pt>
                <c:pt idx="102">
                  <c:v>72.902087818433415</c:v>
                </c:pt>
                <c:pt idx="103">
                  <c:v>73.67433074996039</c:v>
                </c:pt>
                <c:pt idx="104">
                  <c:v>74.445773080647086</c:v>
                </c:pt>
                <c:pt idx="105">
                  <c:v>75.216373388050229</c:v>
                </c:pt>
                <c:pt idx="106">
                  <c:v>75.986102801506163</c:v>
                </c:pt>
                <c:pt idx="107">
                  <c:v>76.754944675171998</c:v>
                </c:pt>
                <c:pt idx="108">
                  <c:v>77.522894222328858</c:v>
                </c:pt>
                <c:pt idx="109">
                  <c:v>78.289958113737342</c:v>
                </c:pt>
                <c:pt idx="110">
                  <c:v>79.05615404282689</c:v>
                </c:pt>
                <c:pt idx="111">
                  <c:v>79.821510260443674</c:v>
                </c:pt>
                <c:pt idx="112">
                  <c:v>80.58606508181424</c:v>
                </c:pt>
                <c:pt idx="113">
                  <c:v>81.349866368291259</c:v>
                </c:pt>
                <c:pt idx="114">
                  <c:v>82.112970986336279</c:v>
                </c:pt>
                <c:pt idx="115">
                  <c:v>82.87544424608609</c:v>
                </c:pt>
                <c:pt idx="116">
                  <c:v>83.637359321713475</c:v>
                </c:pt>
                <c:pt idx="117">
                  <c:v>84.398796655665549</c:v>
                </c:pt>
                <c:pt idx="118">
                  <c:v>85.159843348731883</c:v>
                </c:pt>
                <c:pt idx="119">
                  <c:v>85.920592537752739</c:v>
                </c:pt>
                <c:pt idx="120">
                  <c:v>86.681142762666454</c:v>
                </c:pt>
                <c:pt idx="121">
                  <c:v>87.441597324452815</c:v>
                </c:pt>
                <c:pt idx="122">
                  <c:v>88.202063635429511</c:v>
                </c:pt>
                <c:pt idx="123">
                  <c:v>88.962652563254636</c:v>
                </c:pt>
                <c:pt idx="124">
                  <c:v>89.723477769886472</c:v>
                </c:pt>
                <c:pt idx="125">
                  <c:v>90.484655046691216</c:v>
                </c:pt>
                <c:pt idx="126">
                  <c:v>91.246301646814302</c:v>
                </c:pt>
                <c:pt idx="127">
                  <c:v>92.008535615889244</c:v>
                </c:pt>
                <c:pt idx="128">
                  <c:v>92.771475122127882</c:v>
                </c:pt>
                <c:pt idx="129">
                  <c:v>93.535237786828333</c:v>
                </c:pt>
                <c:pt idx="130">
                  <c:v>94.299940016328023</c:v>
                </c:pt>
                <c:pt idx="131">
                  <c:v>95.065696336468037</c:v>
                </c:pt>
                <c:pt idx="132">
                  <c:v>95.832618730657245</c:v>
                </c:pt>
                <c:pt idx="133">
                  <c:v>96.600815982692509</c:v>
                </c:pt>
                <c:pt idx="134">
                  <c:v>97.370393025550712</c:v>
                </c:pt>
                <c:pt idx="135">
                  <c:v>98.141450297460452</c:v>
                </c:pt>
                <c:pt idx="136">
                  <c:v>98.914083106654004</c:v>
                </c:pt>
                <c:pt idx="137">
                  <c:v>99.688381006310166</c:v>
                </c:pt>
                <c:pt idx="138">
                  <c:v>100.46442718131556</c:v>
                </c:pt>
                <c:pt idx="139">
                  <c:v>101.242297848606</c:v>
                </c:pt>
                <c:pt idx="140">
                  <c:v>102.0220616729609</c:v>
                </c:pt>
                <c:pt idx="141">
                  <c:v>102.803779200284</c:v>
                </c:pt>
                <c:pt idx="142">
                  <c:v>103.58750231051245</c:v>
                </c:pt>
                <c:pt idx="143">
                  <c:v>104.37327369243765</c:v>
                </c:pt>
                <c:pt idx="144">
                  <c:v>105.16112634284548</c:v>
                </c:pt>
                <c:pt idx="145">
                  <c:v>105.95108309248867</c:v>
                </c:pt>
                <c:pt idx="146">
                  <c:v>106.74315616150852</c:v>
                </c:pt>
                <c:pt idx="147">
                  <c:v>107.5373467470024</c:v>
                </c:pt>
                <c:pt idx="148">
                  <c:v>108.33364464549562</c:v>
                </c:pt>
                <c:pt idx="149">
                  <c:v>109.13202791310685</c:v>
                </c:pt>
                <c:pt idx="150">
                  <c:v>109.93246256621329</c:v>
                </c:pt>
                <c:pt idx="151">
                  <c:v>110.7349023253858</c:v>
                </c:pt>
                <c:pt idx="152">
                  <c:v>111.53928840531373</c:v>
                </c:pt>
                <c:pt idx="153">
                  <c:v>112.3455493533438</c:v>
                </c:pt>
                <c:pt idx="154">
                  <c:v>113.15360093910948</c:v>
                </c:pt>
                <c:pt idx="155">
                  <c:v>113.96334609756875</c:v>
                </c:pt>
                <c:pt idx="156">
                  <c:v>114.77467492753217</c:v>
                </c:pt>
                <c:pt idx="157">
                  <c:v>115.58746474751003</c:v>
                </c:pt>
                <c:pt idx="158">
                  <c:v>116.40158021040135</c:v>
                </c:pt>
                <c:pt idx="159">
                  <c:v>117.21687347819483</c:v>
                </c:pt>
                <c:pt idx="160">
                  <c:v>118.03318445748356</c:v>
                </c:pt>
                <c:pt idx="161">
                  <c:v>118.85034109615289</c:v>
                </c:pt>
                <c:pt idx="162">
                  <c:v>119.66815974116876</c:v>
                </c:pt>
                <c:pt idx="163">
                  <c:v>120.48644555690525</c:v>
                </c:pt>
                <c:pt idx="164">
                  <c:v>121.30499300294886</c:v>
                </c:pt>
                <c:pt idx="165">
                  <c:v>122.12358636980774</c:v>
                </c:pt>
                <c:pt idx="166">
                  <c:v>122.94200037042989</c:v>
                </c:pt>
                <c:pt idx="167">
                  <c:v>123.76000078491131</c:v>
                </c:pt>
                <c:pt idx="168">
                  <c:v>124.57734515526604</c:v>
                </c:pt>
                <c:pt idx="169">
                  <c:v>125.39378352663188</c:v>
                </c:pt>
                <c:pt idx="170">
                  <c:v>126.2090592308132</c:v>
                </c:pt>
                <c:pt idx="171">
                  <c:v>127.0229097076284</c:v>
                </c:pt>
                <c:pt idx="172">
                  <c:v>127.83506735913561</c:v>
                </c:pt>
                <c:pt idx="173">
                  <c:v>128.64526043145585</c:v>
                </c:pt>
                <c:pt idx="174">
                  <c:v>129.45321391862967</c:v>
                </c:pt>
                <c:pt idx="175">
                  <c:v>130.25865048270714</c:v>
                </c:pt>
                <c:pt idx="176">
                  <c:v>131.06129138410776</c:v>
                </c:pt>
                <c:pt idx="177">
                  <c:v>131.86085741619161</c:v>
                </c:pt>
                <c:pt idx="178">
                  <c:v>132.65706983795326</c:v>
                </c:pt>
                <c:pt idx="179">
                  <c:v>133.44965129879421</c:v>
                </c:pt>
                <c:pt idx="180">
                  <c:v>134.23832674945677</c:v>
                </c:pt>
                <c:pt idx="181">
                  <c:v>135.02282433336975</c:v>
                </c:pt>
                <c:pt idx="182">
                  <c:v>135.8028762529211</c:v>
                </c:pt>
                <c:pt idx="183">
                  <c:v>136.57821960546957</c:v>
                </c:pt>
                <c:pt idx="184">
                  <c:v>137.34859718428712</c:v>
                </c:pt>
                <c:pt idx="185">
                  <c:v>138.11375824002008</c:v>
                </c:pt>
                <c:pt idx="186">
                  <c:v>138.87345919872791</c:v>
                </c:pt>
                <c:pt idx="187">
                  <c:v>139.62746433303298</c:v>
                </c:pt>
                <c:pt idx="188">
                  <c:v>140.37554638343317</c:v>
                </c:pt>
                <c:pt idx="189">
                  <c:v>141.11748712735738</c:v>
                </c:pt>
                <c:pt idx="190">
                  <c:v>141.85307789407949</c:v>
                </c:pt>
                <c:pt idx="191">
                  <c:v>142.58212002413956</c:v>
                </c:pt>
                <c:pt idx="192">
                  <c:v>143.30442527245597</c:v>
                </c:pt>
                <c:pt idx="193">
                  <c:v>144.01981615482461</c:v>
                </c:pt>
                <c:pt idx="194">
                  <c:v>144.72812623798362</c:v>
                </c:pt>
                <c:pt idx="195">
                  <c:v>145.42920037390235</c:v>
                </c:pt>
                <c:pt idx="196">
                  <c:v>146.12289487937122</c:v>
                </c:pt>
                <c:pt idx="197">
                  <c:v>146.8090776623759</c:v>
                </c:pt>
                <c:pt idx="198">
                  <c:v>147.4876282970861</c:v>
                </c:pt>
                <c:pt idx="199">
                  <c:v>148.15843804961369</c:v>
                </c:pt>
                <c:pt idx="200">
                  <c:v>148.82140985695727</c:v>
                </c:pt>
                <c:pt idx="201">
                  <c:v>149.47645826178572</c:v>
                </c:pt>
                <c:pt idx="202">
                  <c:v>150.1235093058956</c:v>
                </c:pt>
                <c:pt idx="203">
                  <c:v>150.76250038531856</c:v>
                </c:pt>
                <c:pt idx="204">
                  <c:v>151.39338007015698</c:v>
                </c:pt>
                <c:pt idx="205">
                  <c:v>152.01610789229386</c:v>
                </c:pt>
                <c:pt idx="206">
                  <c:v>152.63065410414274</c:v>
                </c:pt>
                <c:pt idx="207">
                  <c:v>153.23699941160012</c:v>
                </c:pt>
                <c:pt idx="208">
                  <c:v>153.83513468432983</c:v>
                </c:pt>
                <c:pt idx="209">
                  <c:v>154.4250606464386</c:v>
                </c:pt>
                <c:pt idx="210">
                  <c:v>155.00678755051609</c:v>
                </c:pt>
                <c:pt idx="211">
                  <c:v>155.58033483791178</c:v>
                </c:pt>
                <c:pt idx="212">
                  <c:v>156.14573078798301</c:v>
                </c:pt>
                <c:pt idx="213">
                  <c:v>156.703012158923</c:v>
                </c:pt>
                <c:pt idx="214">
                  <c:v>157.25222382261737</c:v>
                </c:pt>
                <c:pt idx="215">
                  <c:v>157.79341839582739</c:v>
                </c:pt>
                <c:pt idx="216">
                  <c:v>158.32665586982941</c:v>
                </c:pt>
                <c:pt idx="217">
                  <c:v>158.85200324047588</c:v>
                </c:pt>
                <c:pt idx="218">
                  <c:v>159.36953414047909</c:v>
                </c:pt>
                <c:pt idx="219">
                  <c:v>159.87932847554526</c:v>
                </c:pt>
                <c:pt idx="220">
                  <c:v>160.38147206583227</c:v>
                </c:pt>
                <c:pt idx="221">
                  <c:v>160.87605629403993</c:v>
                </c:pt>
                <c:pt idx="222">
                  <c:v>161.36317776128769</c:v>
                </c:pt>
                <c:pt idx="223">
                  <c:v>161.84293795179289</c:v>
                </c:pt>
                <c:pt idx="224">
                  <c:v>162.31544290721507</c:v>
                </c:pt>
                <c:pt idx="225">
                  <c:v>162.78080291140839</c:v>
                </c:pt>
                <c:pt idx="226">
                  <c:v>163.23913218619273</c:v>
                </c:pt>
                <c:pt idx="227">
                  <c:v>163.69054859864306</c:v>
                </c:pt>
                <c:pt idx="228">
                  <c:v>164.13517338028961</c:v>
                </c:pt>
                <c:pt idx="229">
                  <c:v>164.57313085852189</c:v>
                </c:pt>
                <c:pt idx="230">
                  <c:v>165.00454820040105</c:v>
                </c:pt>
                <c:pt idx="231">
                  <c:v>165.4295551690046</c:v>
                </c:pt>
                <c:pt idx="232">
                  <c:v>165.84828389235264</c:v>
                </c:pt>
                <c:pt idx="233">
                  <c:v>166.26086864490327</c:v>
                </c:pt>
                <c:pt idx="234">
                  <c:v>166.66744564154146</c:v>
                </c:pt>
                <c:pt idx="235">
                  <c:v>167.06815284394335</c:v>
                </c:pt>
                <c:pt idx="236">
                  <c:v>167.46312977914621</c:v>
                </c:pt>
                <c:pt idx="237">
                  <c:v>167.85251737012098</c:v>
                </c:pt>
                <c:pt idx="238">
                  <c:v>168.23645777811379</c:v>
                </c:pt>
                <c:pt idx="239">
                  <c:v>168.6150942564943</c:v>
                </c:pt>
                <c:pt idx="240">
                  <c:v>168.98857101582624</c:v>
                </c:pt>
                <c:pt idx="241">
                  <c:v>169.35703309986633</c:v>
                </c:pt>
                <c:pt idx="242">
                  <c:v>169.72062627217508</c:v>
                </c:pt>
                <c:pt idx="243">
                  <c:v>170.07949691302304</c:v>
                </c:pt>
                <c:pt idx="244">
                  <c:v>170.43379192626719</c:v>
                </c:pt>
                <c:pt idx="245">
                  <c:v>170.78365865587108</c:v>
                </c:pt>
                <c:pt idx="246">
                  <c:v>171.12924481174323</c:v>
                </c:pt>
                <c:pt idx="247">
                  <c:v>171.47069840457041</c:v>
                </c:pt>
                <c:pt idx="248">
                  <c:v>171.80816768933209</c:v>
                </c:pt>
                <c:pt idx="249">
                  <c:v>172.14180111718437</c:v>
                </c:pt>
                <c:pt idx="250">
                  <c:v>172.47174729541501</c:v>
                </c:pt>
                <c:pt idx="251">
                  <c:v>172.79815495518042</c:v>
                </c:pt>
                <c:pt idx="252">
                  <c:v>173.12117292674824</c:v>
                </c:pt>
                <c:pt idx="253">
                  <c:v>173.44095012198085</c:v>
                </c:pt>
                <c:pt idx="254">
                  <c:v>173.75763552381119</c:v>
                </c:pt>
                <c:pt idx="255">
                  <c:v>174.07137818247713</c:v>
                </c:pt>
                <c:pt idx="256">
                  <c:v>174.38232721829388</c:v>
                </c:pt>
                <c:pt idx="257">
                  <c:v>174.69063183076395</c:v>
                </c:pt>
                <c:pt idx="258">
                  <c:v>174.99644131383926</c:v>
                </c:pt>
                <c:pt idx="259">
                  <c:v>175.29990507716559</c:v>
                </c:pt>
                <c:pt idx="260">
                  <c:v>175.6011726731621</c:v>
                </c:pt>
                <c:pt idx="261">
                  <c:v>175.90039382980092</c:v>
                </c:pt>
                <c:pt idx="262">
                  <c:v>176.19771848897466</c:v>
                </c:pt>
                <c:pt idx="263">
                  <c:v>176.49329685035684</c:v>
                </c:pt>
                <c:pt idx="264">
                  <c:v>176.78727942067823</c:v>
                </c:pt>
                <c:pt idx="265">
                  <c:v>177.0798170683625</c:v>
                </c:pt>
                <c:pt idx="266">
                  <c:v>177.37106108348337</c:v>
                </c:pt>
                <c:pt idx="267">
                  <c:v>177.66116324302519</c:v>
                </c:pt>
                <c:pt idx="268">
                  <c:v>177.95027588144865</c:v>
                </c:pt>
                <c:pt idx="269">
                  <c:v>178.23855196658283</c:v>
                </c:pt>
                <c:pt idx="270">
                  <c:v>178.52614518088677</c:v>
                </c:pt>
                <c:pt idx="271">
                  <c:v>178.8132100081412</c:v>
                </c:pt>
                <c:pt idx="272">
                  <c:v>179.09990182565565</c:v>
                </c:pt>
                <c:pt idx="273">
                  <c:v>179.38637700209404</c:v>
                </c:pt>
                <c:pt idx="274">
                  <c:v>179.67279300104536</c:v>
                </c:pt>
                <c:pt idx="275">
                  <c:v>179.95930849048653</c:v>
                </c:pt>
                <c:pt idx="276">
                  <c:v>-179.75391654169223</c:v>
                </c:pt>
                <c:pt idx="277">
                  <c:v>-179.46672066590816</c:v>
                </c:pt>
                <c:pt idx="278">
                  <c:v>-179.17894088263657</c:v>
                </c:pt>
                <c:pt idx="279">
                  <c:v>-178.89041248745559</c:v>
                </c:pt>
                <c:pt idx="280">
                  <c:v>-178.60096892911946</c:v>
                </c:pt>
                <c:pt idx="281">
                  <c:v>-178.31044166037924</c:v>
                </c:pt>
                <c:pt idx="282">
                  <c:v>-178.01865998123739</c:v>
                </c:pt>
                <c:pt idx="283">
                  <c:v>-177.72545087430458</c:v>
                </c:pt>
                <c:pt idx="284">
                  <c:v>-177.43063883189831</c:v>
                </c:pt>
                <c:pt idx="285">
                  <c:v>-177.13404567450033</c:v>
                </c:pt>
                <c:pt idx="286">
                  <c:v>-176.83549036016453</c:v>
                </c:pt>
                <c:pt idx="287">
                  <c:v>-176.53478878444159</c:v>
                </c:pt>
                <c:pt idx="288">
                  <c:v>-176.23175357036351</c:v>
                </c:pt>
                <c:pt idx="289">
                  <c:v>-175.92619384800614</c:v>
                </c:pt>
                <c:pt idx="290">
                  <c:v>-175.61791502312545</c:v>
                </c:pt>
                <c:pt idx="291">
                  <c:v>-175.3067185343414</c:v>
                </c:pt>
                <c:pt idx="292">
                  <c:v>-174.99240159832081</c:v>
                </c:pt>
                <c:pt idx="293">
                  <c:v>-174.67475694239604</c:v>
                </c:pt>
                <c:pt idx="294">
                  <c:v>-174.35357252403463</c:v>
                </c:pt>
                <c:pt idx="295">
                  <c:v>-174.02863123656738</c:v>
                </c:pt>
                <c:pt idx="296">
                  <c:v>-173.69971060056903</c:v>
                </c:pt>
                <c:pt idx="297">
                  <c:v>-173.36658244028328</c:v>
                </c:pt>
                <c:pt idx="298">
                  <c:v>-173.02901254448483</c:v>
                </c:pt>
                <c:pt idx="299">
                  <c:v>-172.68676031118025</c:v>
                </c:pt>
                <c:pt idx="300">
                  <c:v>-172.33957837556383</c:v>
                </c:pt>
                <c:pt idx="301">
                  <c:v>-171.98721222067667</c:v>
                </c:pt>
                <c:pt idx="302">
                  <c:v>-171.6293997702503</c:v>
                </c:pt>
                <c:pt idx="303">
                  <c:v>-171.26587096327455</c:v>
                </c:pt>
                <c:pt idx="304">
                  <c:v>-170.8963473099015</c:v>
                </c:pt>
                <c:pt idx="305">
                  <c:v>-170.5205414283802</c:v>
                </c:pt>
                <c:pt idx="306">
                  <c:v>-170.13815656284265</c:v>
                </c:pt>
                <c:pt idx="307">
                  <c:v>-169.74888608189582</c:v>
                </c:pt>
                <c:pt idx="308">
                  <c:v>-169.35241295815294</c:v>
                </c:pt>
                <c:pt idx="309">
                  <c:v>-168.94840922904962</c:v>
                </c:pt>
                <c:pt idx="310">
                  <c:v>-168.53653543954675</c:v>
                </c:pt>
                <c:pt idx="311">
                  <c:v>-168.11644006762992</c:v>
                </c:pt>
                <c:pt idx="312">
                  <c:v>-167.6877589338813</c:v>
                </c:pt>
                <c:pt idx="313">
                  <c:v>-167.25011459683569</c:v>
                </c:pt>
                <c:pt idx="314">
                  <c:v>-166.80311573634248</c:v>
                </c:pt>
                <c:pt idx="315">
                  <c:v>-166.34635652776078</c:v>
                </c:pt>
                <c:pt idx="316">
                  <c:v>-165.87941601051332</c:v>
                </c:pt>
                <c:pt idx="317">
                  <c:v>-165.40185745535621</c:v>
                </c:pt>
                <c:pt idx="318">
                  <c:v>-164.91322773566202</c:v>
                </c:pt>
                <c:pt idx="319">
                  <c:v>-164.41305670912857</c:v>
                </c:pt>
                <c:pt idx="320">
                  <c:v>-163.90085661759178</c:v>
                </c:pt>
                <c:pt idx="321">
                  <c:v>-163.37612151408553</c:v>
                </c:pt>
                <c:pt idx="322">
                  <c:v>-162.8383267279624</c:v>
                </c:pt>
                <c:pt idx="323">
                  <c:v>-162.28692838080073</c:v>
                </c:pt>
                <c:pt idx="324">
                  <c:v>-161.72136296798072</c:v>
                </c:pt>
                <c:pt idx="325">
                  <c:v>-161.14104702327199</c:v>
                </c:pt>
                <c:pt idx="326">
                  <c:v>-160.54537688651104</c:v>
                </c:pt>
                <c:pt idx="327">
                  <c:v>-159.93372859753495</c:v>
                </c:pt>
                <c:pt idx="328">
                  <c:v>-159.30545794295028</c:v>
                </c:pt>
                <c:pt idx="329">
                  <c:v>-158.65990068608528</c:v>
                </c:pt>
                <c:pt idx="330">
                  <c:v>-157.99637301461107</c:v>
                </c:pt>
                <c:pt idx="331">
                  <c:v>-157.31417224477278</c:v>
                </c:pt>
                <c:pt idx="332">
                  <c:v>-156.61257782598625</c:v>
                </c:pt>
                <c:pt idx="333">
                  <c:v>-155.89085269460196</c:v>
                </c:pt>
                <c:pt idx="334">
                  <c:v>-155.1482450309199</c:v>
                </c:pt>
                <c:pt idx="335">
                  <c:v>-154.38399047887796</c:v>
                </c:pt>
                <c:pt idx="336">
                  <c:v>-153.59731489312995</c:v>
                </c:pt>
                <c:pt idx="337">
                  <c:v>-152.7874376832269</c:v>
                </c:pt>
                <c:pt idx="338">
                  <c:v>-151.95357582909023</c:v>
                </c:pt>
                <c:pt idx="339">
                  <c:v>-151.09494864552391</c:v>
                </c:pt>
                <c:pt idx="340">
                  <c:v>-150.21078337576427</c:v>
                </c:pt>
                <c:pt idx="341">
                  <c:v>-149.30032169445792</c:v>
                </c:pt>
                <c:pt idx="342">
                  <c:v>-148.36282719840264</c:v>
                </c:pt>
                <c:pt idx="343">
                  <c:v>-147.39759395810478</c:v>
                </c:pt>
                <c:pt idx="344">
                  <c:v>-146.40395619395971</c:v>
                </c:pt>
                <c:pt idx="345">
                  <c:v>-145.38129912669922</c:v>
                </c:pt>
                <c:pt idx="346">
                  <c:v>-144.32907103177337</c:v>
                </c:pt>
                <c:pt idx="347">
                  <c:v>-143.24679650063268</c:v>
                </c:pt>
                <c:pt idx="348">
                  <c:v>-142.13409087758387</c:v>
                </c:pt>
                <c:pt idx="349">
                  <c:v>-140.99067579840491</c:v>
                </c:pt>
                <c:pt idx="350">
                  <c:v>-139.81639570582846</c:v>
                </c:pt>
                <c:pt idx="351">
                  <c:v>-138.61123515748591</c:v>
                </c:pt>
                <c:pt idx="352">
                  <c:v>-137.37533667465942</c:v>
                </c:pt>
                <c:pt idx="353">
                  <c:v>-136.1090188067609</c:v>
                </c:pt>
                <c:pt idx="354">
                  <c:v>-134.81279400929287</c:v>
                </c:pt>
                <c:pt idx="355">
                  <c:v>-133.48738585576706</c:v>
                </c:pt>
                <c:pt idx="356">
                  <c:v>-132.13374503123799</c:v>
                </c:pt>
                <c:pt idx="357">
                  <c:v>-130.75306349260475</c:v>
                </c:pt>
                <c:pt idx="358">
                  <c:v>-129.34678613508677</c:v>
                </c:pt>
                <c:pt idx="359">
                  <c:v>-127.91661928244206</c:v>
                </c:pt>
                <c:pt idx="360">
                  <c:v>-126.46453532740617</c:v>
                </c:pt>
                <c:pt idx="361">
                  <c:v>-124.99277289461256</c:v>
                </c:pt>
                <c:pt idx="362">
                  <c:v>-123.50383198520443</c:v>
                </c:pt>
                <c:pt idx="363">
                  <c:v>-122.00046369227222</c:v>
                </c:pt>
                <c:pt idx="364">
                  <c:v>-120.48565424743026</c:v>
                </c:pt>
                <c:pt idx="365">
                  <c:v>-118.96260336574184</c:v>
                </c:pt>
                <c:pt idx="366">
                  <c:v>-117.43469708904534</c:v>
                </c:pt>
                <c:pt idx="367">
                  <c:v>-115.90547557318327</c:v>
                </c:pt>
                <c:pt idx="368">
                  <c:v>-114.37859650628022</c:v>
                </c:pt>
                <c:pt idx="369">
                  <c:v>-112.85779506550679</c:v>
                </c:pt>
                <c:pt idx="370">
                  <c:v>-111.34684150123972</c:v>
                </c:pt>
                <c:pt idx="371">
                  <c:v>-109.84949756527806</c:v>
                </c:pt>
                <c:pt idx="372">
                  <c:v>-108.3694730627888</c:v>
                </c:pt>
                <c:pt idx="373">
                  <c:v>-106.91038380049577</c:v>
                </c:pt>
                <c:pt idx="374">
                  <c:v>-105.4757121268841</c:v>
                </c:pt>
                <c:pt idx="375">
                  <c:v>-104.068771120607</c:v>
                </c:pt>
                <c:pt idx="376">
                  <c:v>-102.69267329272499</c:v>
                </c:pt>
                <c:pt idx="377">
                  <c:v>-101.35030444254772</c:v>
                </c:pt>
                <c:pt idx="378">
                  <c:v>-100.04430306322246</c:v>
                </c:pt>
                <c:pt idx="379">
                  <c:v>-98.777045449376132</c:v>
                </c:pt>
                <c:pt idx="380">
                  <c:v>-97.550636430867229</c:v>
                </c:pt>
                <c:pt idx="381">
                  <c:v>-96.366905456734472</c:v>
                </c:pt>
                <c:pt idx="382">
                  <c:v>-95.227407590645612</c:v>
                </c:pt>
                <c:pt idx="383">
                  <c:v>-94.133428858281263</c:v>
                </c:pt>
                <c:pt idx="384">
                  <c:v>-93.085995309033862</c:v>
                </c:pt>
                <c:pt idx="385">
                  <c:v>-92.085885116827967</c:v>
                </c:pt>
                <c:pt idx="386">
                  <c:v>-91.133643042961566</c:v>
                </c:pt>
                <c:pt idx="387">
                  <c:v>-90.22959661135674</c:v>
                </c:pt>
                <c:pt idx="388">
                  <c:v>-89.373873396451614</c:v>
                </c:pt>
                <c:pt idx="389">
                  <c:v>-88.566418889189308</c:v>
                </c:pt>
                <c:pt idx="390">
                  <c:v>-87.807014480769908</c:v>
                </c:pt>
                <c:pt idx="391">
                  <c:v>-87.095295181426408</c:v>
                </c:pt>
                <c:pt idx="392">
                  <c:v>-86.43076676809234</c:v>
                </c:pt>
                <c:pt idx="393">
                  <c:v>-85.812822127083805</c:v>
                </c:pt>
                <c:pt idx="394">
                  <c:v>-85.24075662354285</c:v>
                </c:pt>
                <c:pt idx="395">
                  <c:v>-84.713782387026015</c:v>
                </c:pt>
                <c:pt idx="396">
                  <c:v>-84.231041451729268</c:v>
                </c:pt>
                <c:pt idx="397">
                  <c:v>-83.791617730327516</c:v>
                </c:pt>
                <c:pt idx="398">
                  <c:v>-83.394547832780916</c:v>
                </c:pt>
                <c:pt idx="399">
                  <c:v>-83.038830766349761</c:v>
                </c:pt>
                <c:pt idx="400">
                  <c:v>-82.723436571394345</c:v>
                </c:pt>
                <c:pt idx="401">
                  <c:v>-82.447313960146076</c:v>
                </c:pt>
                <c:pt idx="402">
                  <c:v>-82.209397033581723</c:v>
                </c:pt>
                <c:pt idx="403">
                  <c:v>-82.008611155548635</c:v>
                </c:pt>
                <c:pt idx="404">
                  <c:v>-81.843878064291857</c:v>
                </c:pt>
                <c:pt idx="405">
                  <c:v>-81.714120300163003</c:v>
                </c:pt>
                <c:pt idx="406">
                  <c:v>-81.61826502518386</c:v>
                </c:pt>
                <c:pt idx="407">
                  <c:v>-81.555247305800961</c:v>
                </c:pt>
                <c:pt idx="408">
                  <c:v>-81.524012925007128</c:v>
                </c:pt>
                <c:pt idx="409">
                  <c:v>-81.52352078439587</c:v>
                </c:pt>
                <c:pt idx="410">
                  <c:v>-81.552744950868373</c:v>
                </c:pt>
                <c:pt idx="411">
                  <c:v>-81.610676396882269</c:v>
                </c:pt>
                <c:pt idx="412">
                  <c:v>-81.6963244774591</c:v>
                </c:pt>
                <c:pt idx="413">
                  <c:v>-81.808718181724458</c:v>
                </c:pt>
                <c:pt idx="414">
                  <c:v>-81.946907191677511</c:v>
                </c:pt>
                <c:pt idx="415">
                  <c:v>-82.109962776192987</c:v>
                </c:pt>
                <c:pt idx="416">
                  <c:v>-82.296978543953074</c:v>
                </c:pt>
                <c:pt idx="417">
                  <c:v>-82.507071075156446</c:v>
                </c:pt>
                <c:pt idx="418">
                  <c:v>-82.739380448402116</c:v>
                </c:pt>
                <c:pt idx="419">
                  <c:v>-82.993070676110847</c:v>
                </c:pt>
                <c:pt idx="420">
                  <c:v>-83.2673300592174</c:v>
                </c:pt>
                <c:pt idx="421">
                  <c:v>-83.561371469588124</c:v>
                </c:pt>
                <c:pt idx="422">
                  <c:v>-83.87443256669934</c:v>
                </c:pt>
                <c:pt idx="423">
                  <c:v>-84.205775953513339</c:v>
                </c:pt>
                <c:pt idx="424">
                  <c:v>-84.554689275156321</c:v>
                </c:pt>
                <c:pt idx="425">
                  <c:v>-84.920485262967219</c:v>
                </c:pt>
                <c:pt idx="426">
                  <c:v>-85.302501725645655</c:v>
                </c:pt>
                <c:pt idx="427">
                  <c:v>-85.700101488619637</c:v>
                </c:pt>
                <c:pt idx="428">
                  <c:v>-86.112672282312488</c:v>
                </c:pt>
                <c:pt idx="429">
                  <c:v>-86.53962657969663</c:v>
                </c:pt>
                <c:pt idx="430">
                  <c:v>-86.980401383365688</c:v>
                </c:pt>
                <c:pt idx="431">
                  <c:v>-87.434457962314184</c:v>
                </c:pt>
                <c:pt idx="432">
                  <c:v>-87.901281538635047</c:v>
                </c:pt>
                <c:pt idx="433">
                  <c:v>-88.380380924467815</c:v>
                </c:pt>
                <c:pt idx="434">
                  <c:v>-88.87128810967927</c:v>
                </c:pt>
                <c:pt idx="435">
                  <c:v>-89.373557800949243</c:v>
                </c:pt>
                <c:pt idx="436">
                  <c:v>-89.886766913168344</c:v>
                </c:pt>
                <c:pt idx="437">
                  <c:v>-90.410514014274199</c:v>
                </c:pt>
                <c:pt idx="438">
                  <c:v>-90.944418724900331</c:v>
                </c:pt>
                <c:pt idx="439">
                  <c:v>-91.488121074441594</c:v>
                </c:pt>
                <c:pt idx="440">
                  <c:v>-92.041280815372843</c:v>
                </c:pt>
                <c:pt idx="441">
                  <c:v>-92.603576697860603</c:v>
                </c:pt>
                <c:pt idx="442">
                  <c:v>-93.174705706918346</c:v>
                </c:pt>
                <c:pt idx="443">
                  <c:v>-93.754382264513083</c:v>
                </c:pt>
                <c:pt idx="444">
                  <c:v>-94.342337399210791</c:v>
                </c:pt>
                <c:pt idx="445">
                  <c:v>-94.938317886067949</c:v>
                </c:pt>
                <c:pt idx="446">
                  <c:v>-95.542085359601202</c:v>
                </c:pt>
                <c:pt idx="447">
                  <c:v>-96.153415402769369</c:v>
                </c:pt>
                <c:pt idx="448">
                  <c:v>-96.772096614976135</c:v>
                </c:pt>
                <c:pt idx="449">
                  <c:v>-97.397929662183444</c:v>
                </c:pt>
                <c:pt idx="450">
                  <c:v>-98.030726312265102</c:v>
                </c:pt>
                <c:pt idx="451">
                  <c:v>-98.67030845879016</c:v>
                </c:pt>
                <c:pt idx="452">
                  <c:v>-99.316507136448806</c:v>
                </c:pt>
                <c:pt idx="453">
                  <c:v>-99.96916153137883</c:v>
                </c:pt>
                <c:pt idx="454">
                  <c:v>-100.62811798966341</c:v>
                </c:pt>
                <c:pt idx="455">
                  <c:v>-101.29322902730125</c:v>
                </c:pt>
                <c:pt idx="456">
                  <c:v>-101.96435234496988</c:v>
                </c:pt>
                <c:pt idx="457">
                  <c:v>-102.64134985092745</c:v>
                </c:pt>
                <c:pt idx="458">
                  <c:v>-103.32408669540989</c:v>
                </c:pt>
                <c:pt idx="459">
                  <c:v>-104.01243031991018</c:v>
                </c:pt>
                <c:pt idx="460">
                  <c:v>-104.70624952473639</c:v>
                </c:pt>
                <c:pt idx="461">
                  <c:v>-105.40541355826711</c:v>
                </c:pt>
                <c:pt idx="462">
                  <c:v>-106.10979123133718</c:v>
                </c:pt>
                <c:pt idx="463">
                  <c:v>-106.81925006018322</c:v>
                </c:pt>
                <c:pt idx="464">
                  <c:v>-107.53365544139898</c:v>
                </c:pt>
                <c:pt idx="465">
                  <c:v>-108.25286986231883</c:v>
                </c:pt>
                <c:pt idx="466">
                  <c:v>-108.9767521502459</c:v>
                </c:pt>
                <c:pt idx="467">
                  <c:v>-109.70515676388494</c:v>
                </c:pt>
                <c:pt idx="468">
                  <c:v>-110.43793313029906</c:v>
                </c:pt>
                <c:pt idx="469">
                  <c:v>-111.17492503062023</c:v>
                </c:pt>
                <c:pt idx="470">
                  <c:v>-111.91597003764532</c:v>
                </c:pt>
                <c:pt idx="471">
                  <c:v>-112.66089900831369</c:v>
                </c:pt>
                <c:pt idx="472">
                  <c:v>-113.40953563390033</c:v>
                </c:pt>
                <c:pt idx="473">
                  <c:v>-114.16169605056689</c:v>
                </c:pt>
                <c:pt idx="474">
                  <c:v>-114.91718851267481</c:v>
                </c:pt>
                <c:pt idx="475">
                  <c:v>-115.67581313099917</c:v>
                </c:pt>
                <c:pt idx="476">
                  <c:v>-116.4373616776836</c:v>
                </c:pt>
                <c:pt idx="477">
                  <c:v>-117.20161745942194</c:v>
                </c:pt>
                <c:pt idx="478">
                  <c:v>-117.96835525999073</c:v>
                </c:pt>
                <c:pt idx="479">
                  <c:v>-118.73734135282507</c:v>
                </c:pt>
                <c:pt idx="480">
                  <c:v>-119.50833358390815</c:v>
                </c:pt>
                <c:pt idx="481">
                  <c:v>-120.28108152474987</c:v>
                </c:pt>
                <c:pt idx="482">
                  <c:v>-121.05532669475207</c:v>
                </c:pt>
                <c:pt idx="483">
                  <c:v>-121.83080285173281</c:v>
                </c:pt>
                <c:pt idx="484">
                  <c:v>-122.60723634886168</c:v>
                </c:pt>
                <c:pt idx="485">
                  <c:v>-123.38434655572243</c:v>
                </c:pt>
                <c:pt idx="486">
                  <c:v>-124.16184634068682</c:v>
                </c:pt>
                <c:pt idx="487">
                  <c:v>-124.93944261127493</c:v>
                </c:pt>
                <c:pt idx="488">
                  <c:v>-125.71683690865778</c:v>
                </c:pt>
                <c:pt idx="489">
                  <c:v>-126.49372605199758</c:v>
                </c:pt>
                <c:pt idx="490">
                  <c:v>-127.26980282786926</c:v>
                </c:pt>
                <c:pt idx="491">
                  <c:v>-128.04475671961129</c:v>
                </c:pt>
                <c:pt idx="492">
                  <c:v>-128.81827467109767</c:v>
                </c:pt>
                <c:pt idx="493">
                  <c:v>-129.59004187913672</c:v>
                </c:pt>
                <c:pt idx="494">
                  <c:v>-130.35974260845336</c:v>
                </c:pt>
                <c:pt idx="495">
                  <c:v>-131.12706102305927</c:v>
                </c:pt>
                <c:pt idx="496">
                  <c:v>-131.89168202769929</c:v>
                </c:pt>
                <c:pt idx="497">
                  <c:v>-132.65329211304319</c:v>
                </c:pt>
                <c:pt idx="498">
                  <c:v>-133.41158019833514</c:v>
                </c:pt>
                <c:pt idx="499">
                  <c:v>-134.1662384653163</c:v>
                </c:pt>
                <c:pt idx="500">
                  <c:v>-134.9169631774343</c:v>
                </c:pt>
                <c:pt idx="501">
                  <c:v>-135.66345547858708</c:v>
                </c:pt>
                <c:pt idx="502">
                  <c:v>-136.40542216596947</c:v>
                </c:pt>
                <c:pt idx="503">
                  <c:v>-137.1425764319518</c:v>
                </c:pt>
                <c:pt idx="504">
                  <c:v>-137.87463857033472</c:v>
                </c:pt>
                <c:pt idx="505">
                  <c:v>-138.6013366427816</c:v>
                </c:pt>
                <c:pt idx="506">
                  <c:v>-139.32240710172459</c:v>
                </c:pt>
                <c:pt idx="507">
                  <c:v>-140.03759536655019</c:v>
                </c:pt>
                <c:pt idx="508">
                  <c:v>-140.74665635041052</c:v>
                </c:pt>
                <c:pt idx="509">
                  <c:v>-141.44935493554993</c:v>
                </c:pt>
                <c:pt idx="510">
                  <c:v>-142.14546639557182</c:v>
                </c:pt>
                <c:pt idx="511">
                  <c:v>-142.83477676362133</c:v>
                </c:pt>
                <c:pt idx="512">
                  <c:v>-143.51708314596942</c:v>
                </c:pt>
                <c:pt idx="513">
                  <c:v>-144.19219398099591</c:v>
                </c:pt>
                <c:pt idx="514">
                  <c:v>-144.85992924403263</c:v>
                </c:pt>
                <c:pt idx="515">
                  <c:v>-145.52012059898507</c:v>
                </c:pt>
                <c:pt idx="516">
                  <c:v>-146.17261149804182</c:v>
                </c:pt>
                <c:pt idx="517">
                  <c:v>-146.81725723116267</c:v>
                </c:pt>
                <c:pt idx="518">
                  <c:v>-147.45392492735294</c:v>
                </c:pt>
                <c:pt idx="519">
                  <c:v>-148.08249351001677</c:v>
                </c:pt>
                <c:pt idx="520">
                  <c:v>-148.70285360892387</c:v>
                </c:pt>
                <c:pt idx="521">
                  <c:v>-149.31490743151591</c:v>
                </c:pt>
                <c:pt idx="522">
                  <c:v>-149.91856859643158</c:v>
                </c:pt>
                <c:pt idx="523">
                  <c:v>-150.51376193224368</c:v>
                </c:pt>
                <c:pt idx="524">
                  <c:v>-151.10042324447292</c:v>
                </c:pt>
                <c:pt idx="525">
                  <c:v>-151.67849905397063</c:v>
                </c:pt>
                <c:pt idx="526">
                  <c:v>-152.24794630978008</c:v>
                </c:pt>
                <c:pt idx="527">
                  <c:v>-152.80873207953962</c:v>
                </c:pt>
                <c:pt idx="528">
                  <c:v>-153.36083322044368</c:v>
                </c:pt>
                <c:pt idx="529">
                  <c:v>-153.90423603369283</c:v>
                </c:pt>
                <c:pt idx="530">
                  <c:v>-154.43893590526255</c:v>
                </c:pt>
                <c:pt idx="531">
                  <c:v>-154.96493693569732</c:v>
                </c:pt>
                <c:pt idx="532">
                  <c:v>-155.48225156150315</c:v>
                </c:pt>
                <c:pt idx="533">
                  <c:v>-155.99090017056798</c:v>
                </c:pt>
                <c:pt idx="534">
                  <c:v>-156.4909107138804</c:v>
                </c:pt>
                <c:pt idx="535">
                  <c:v>-156.98231831565602</c:v>
                </c:pt>
                <c:pt idx="536">
                  <c:v>-157.46516488381971</c:v>
                </c:pt>
                <c:pt idx="537">
                  <c:v>-157.93949872262434</c:v>
                </c:pt>
                <c:pt idx="538">
                  <c:v>-158.40537414902269</c:v>
                </c:pt>
                <c:pt idx="539">
                  <c:v>-158.86285111424283</c:v>
                </c:pt>
                <c:pt idx="540">
                  <c:v>-159.31199483186543</c:v>
                </c:pt>
                <c:pt idx="541">
                  <c:v>-159.75287541354254</c:v>
                </c:pt>
              </c:numCache>
            </c:numRef>
          </c:yVal>
          <c:smooth val="1"/>
          <c:extLst>
            <c:ext xmlns:c16="http://schemas.microsoft.com/office/drawing/2014/chart" uri="{C3380CC4-5D6E-409C-BE32-E72D297353CC}">
              <c16:uniqueId val="{0000000B-2470-421C-8EF3-DF4BAC2DF802}"/>
            </c:ext>
          </c:extLst>
        </c:ser>
        <c:dLbls>
          <c:showLegendKey val="0"/>
          <c:showVal val="0"/>
          <c:showCatName val="0"/>
          <c:showSerName val="0"/>
          <c:showPercent val="0"/>
          <c:showBubbleSize val="0"/>
        </c:dLbls>
        <c:axId val="144838016"/>
        <c:axId val="144836096"/>
      </c:scatterChart>
      <c:valAx>
        <c:axId val="144369152"/>
        <c:scaling>
          <c:logBase val="10"/>
          <c:orientation val="minMax"/>
          <c:max val="2000000"/>
          <c:min val="1"/>
        </c:scaling>
        <c:delete val="0"/>
        <c:axPos val="b"/>
        <c:majorGridlines/>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txPr>
          <a:bodyPr/>
          <a:lstStyle/>
          <a:p>
            <a:pPr>
              <a:defRPr b="1"/>
            </a:pPr>
            <a:endParaRPr lang="en-US"/>
          </a:p>
        </c:txPr>
        <c:crossAx val="144371072"/>
        <c:crosses val="autoZero"/>
        <c:crossBetween val="midCat"/>
      </c:valAx>
      <c:valAx>
        <c:axId val="144371072"/>
        <c:scaling>
          <c:orientation val="minMax"/>
          <c:max val="60"/>
          <c:min val="-6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b="1">
                <a:solidFill>
                  <a:srgbClr val="FF0000"/>
                </a:solidFill>
              </a:defRPr>
            </a:pPr>
            <a:endParaRPr lang="en-US"/>
          </a:p>
        </c:txPr>
        <c:crossAx val="144369152"/>
        <c:crosses val="autoZero"/>
        <c:crossBetween val="midCat"/>
        <c:majorUnit val="20"/>
        <c:minorUnit val="10"/>
      </c:valAx>
      <c:valAx>
        <c:axId val="144836096"/>
        <c:scaling>
          <c:orientation val="minMax"/>
          <c:max val="180"/>
          <c:min val="-180"/>
        </c:scaling>
        <c:delete val="0"/>
        <c:axPos val="r"/>
        <c:title>
          <c:tx>
            <c:rich>
              <a:bodyPr rot="-5400000" vert="horz"/>
              <a:lstStyle/>
              <a:p>
                <a:pPr>
                  <a:defRPr/>
                </a:pPr>
                <a:r>
                  <a:rPr lang="en-US"/>
                  <a:t>Phase (deg)</a:t>
                </a:r>
              </a:p>
            </c:rich>
          </c:tx>
          <c:overlay val="0"/>
        </c:title>
        <c:numFmt formatCode="General" sourceLinked="1"/>
        <c:majorTickMark val="out"/>
        <c:minorTickMark val="none"/>
        <c:tickLblPos val="nextTo"/>
        <c:txPr>
          <a:bodyPr/>
          <a:lstStyle/>
          <a:p>
            <a:pPr>
              <a:defRPr b="1">
                <a:solidFill>
                  <a:schemeClr val="tx1">
                    <a:lumMod val="95000"/>
                    <a:lumOff val="5000"/>
                  </a:schemeClr>
                </a:solidFill>
              </a:defRPr>
            </a:pPr>
            <a:endParaRPr lang="en-US"/>
          </a:p>
        </c:txPr>
        <c:crossAx val="144838016"/>
        <c:crosses val="max"/>
        <c:crossBetween val="midCat"/>
        <c:majorUnit val="90"/>
        <c:minorUnit val="45"/>
      </c:valAx>
      <c:valAx>
        <c:axId val="144838016"/>
        <c:scaling>
          <c:logBase val="10"/>
          <c:orientation val="minMax"/>
        </c:scaling>
        <c:delete val="1"/>
        <c:axPos val="b"/>
        <c:numFmt formatCode="0.00" sourceLinked="1"/>
        <c:majorTickMark val="out"/>
        <c:minorTickMark val="none"/>
        <c:tickLblPos val="nextTo"/>
        <c:crossAx val="144836096"/>
        <c:crosses val="autoZero"/>
        <c:crossBetween val="midCat"/>
      </c:valAx>
    </c:plotArea>
    <c:legend>
      <c:legendPos val="r"/>
      <c:legendEntry>
        <c:idx val="1"/>
        <c:delete val="1"/>
      </c:legendEntry>
      <c:legendEntry>
        <c:idx val="2"/>
        <c:delete val="1"/>
      </c:legendEntry>
      <c:legendEntry>
        <c:idx val="3"/>
        <c:delete val="1"/>
      </c:legendEntry>
      <c:legendEntry>
        <c:idx val="4"/>
        <c:delete val="1"/>
      </c:legendEntry>
      <c:legendEntry>
        <c:idx val="5"/>
        <c:delete val="1"/>
      </c:legendEntry>
      <c:layout>
        <c:manualLayout>
          <c:xMode val="edge"/>
          <c:yMode val="edge"/>
          <c:x val="0.61392536510371165"/>
          <c:y val="7.0381012799940294E-3"/>
          <c:w val="0.28497500584606611"/>
          <c:h val="7.9643865606846526E-2"/>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Eff_vs_IOUT!$AT$7:$AT$157</c:f>
              <c:numCache>
                <c:formatCode>General</c:formatCode>
                <c:ptCount val="151"/>
                <c:pt idx="0">
                  <c:v>0</c:v>
                </c:pt>
                <c:pt idx="1">
                  <c:v>4.947489794056616</c:v>
                </c:pt>
                <c:pt idx="2">
                  <c:v>9.4182881630669009</c:v>
                </c:pt>
                <c:pt idx="3">
                  <c:v>13.477534222742602</c:v>
                </c:pt>
                <c:pt idx="4">
                  <c:v>17.179154107833437</c:v>
                </c:pt>
                <c:pt idx="5">
                  <c:v>20.568106866488524</c:v>
                </c:pt>
                <c:pt idx="6">
                  <c:v>23.682153219887478</c:v>
                </c:pt>
                <c:pt idx="7">
                  <c:v>26.553231279140029</c:v>
                </c:pt>
                <c:pt idx="8">
                  <c:v>29.20853203596424</c:v>
                </c:pt>
                <c:pt idx="9">
                  <c:v>31.671346659174709</c:v>
                </c:pt>
                <c:pt idx="10">
                  <c:v>33.961739460692236</c:v>
                </c:pt>
                <c:pt idx="11">
                  <c:v>36.097086666683978</c:v>
                </c:pt>
                <c:pt idx="12">
                  <c:v>38.092511042364592</c:v>
                </c:pt>
                <c:pt idx="13">
                  <c:v>39.961235031845646</c:v>
                </c:pt>
                <c:pt idx="14">
                  <c:v>41.714869641597765</c:v>
                </c:pt>
                <c:pt idx="15">
                  <c:v>43.363652272847951</c:v>
                </c:pt>
                <c:pt idx="16">
                  <c:v>44.916643705376593</c:v>
                </c:pt>
                <c:pt idx="17">
                  <c:v>46.381892175755482</c:v>
                </c:pt>
                <c:pt idx="18">
                  <c:v>47.766570779409776</c:v>
                </c:pt>
                <c:pt idx="19">
                  <c:v>49.07709311606466</c:v>
                </c:pt>
                <c:pt idx="20">
                  <c:v>50.31921108950975</c:v>
                </c:pt>
                <c:pt idx="21">
                  <c:v>51.498097990370262</c:v>
                </c:pt>
                <c:pt idx="22">
                  <c:v>52.618419379770565</c:v>
                </c:pt>
                <c:pt idx="23">
                  <c:v>53.684393811737188</c:v>
                </c:pt>
                <c:pt idx="24">
                  <c:v>54.699845052588422</c:v>
                </c:pt>
                <c:pt idx="25">
                  <c:v>55.668247153607751</c:v>
                </c:pt>
                <c:pt idx="26">
                  <c:v>56.592763491767109</c:v>
                </c:pt>
                <c:pt idx="27">
                  <c:v>57.476280699026006</c:v>
                </c:pt>
                <c:pt idx="28">
                  <c:v>58.321438243725801</c:v>
                </c:pt>
                <c:pt idx="29">
                  <c:v>59.130654300066745</c:v>
                </c:pt>
                <c:pt idx="30">
                  <c:v>59.906148437581876</c:v>
                </c:pt>
                <c:pt idx="31">
                  <c:v>60.649961577210895</c:v>
                </c:pt>
                <c:pt idx="32">
                  <c:v>61.363973590347356</c:v>
                </c:pt>
                <c:pt idx="33">
                  <c:v>62.049918859180572</c:v>
                </c:pt>
                <c:pt idx="34">
                  <c:v>62.709400068478715</c:v>
                </c:pt>
                <c:pt idx="35">
                  <c:v>63.343900458830063</c:v>
                </c:pt>
                <c:pt idx="36">
                  <c:v>63.95479473781139</c:v>
                </c:pt>
                <c:pt idx="37">
                  <c:v>64.543358817406627</c:v>
                </c:pt>
                <c:pt idx="38">
                  <c:v>65.110778522308692</c:v>
                </c:pt>
                <c:pt idx="39">
                  <c:v>65.658157393730889</c:v>
                </c:pt>
                <c:pt idx="40">
                  <c:v>66.186523696406866</c:v>
                </c:pt>
                <c:pt idx="41">
                  <c:v>66.696836722059444</c:v>
                </c:pt>
                <c:pt idx="42">
                  <c:v>67.189992470349395</c:v>
                </c:pt>
                <c:pt idx="43">
                  <c:v>67.666828777830702</c:v>
                </c:pt>
                <c:pt idx="44">
                  <c:v>68.128129956457599</c:v>
                </c:pt>
                <c:pt idx="45">
                  <c:v>68.574630995471466</c:v>
                </c:pt>
                <c:pt idx="46">
                  <c:v>69.007021373851572</c:v>
                </c:pt>
                <c:pt idx="47">
                  <c:v>69.425948524776942</c:v>
                </c:pt>
                <c:pt idx="48">
                  <c:v>69.832020988582542</c:v>
                </c:pt>
                <c:pt idx="49">
                  <c:v>70.225811286388478</c:v>
                </c:pt>
                <c:pt idx="50">
                  <c:v>70.607858542837803</c:v>
                </c:pt>
                <c:pt idx="51">
                  <c:v>70.978670883120074</c:v>
                </c:pt>
                <c:pt idx="52">
                  <c:v>71.338727626610805</c:v>
                </c:pt>
                <c:pt idx="53">
                  <c:v>71.688481296969869</c:v>
                </c:pt>
                <c:pt idx="54">
                  <c:v>72.028359466359589</c:v>
                </c:pt>
                <c:pt idx="55">
                  <c:v>72.358766449528304</c:v>
                </c:pt>
                <c:pt idx="56">
                  <c:v>72.680084861821115</c:v>
                </c:pt>
                <c:pt idx="57">
                  <c:v>72.992677053694138</c:v>
                </c:pt>
                <c:pt idx="58">
                  <c:v>73.296886432998349</c:v>
                </c:pt>
                <c:pt idx="59">
                  <c:v>73.593038685139803</c:v>
                </c:pt>
                <c:pt idx="60">
                  <c:v>73.881442900196845</c:v>
                </c:pt>
                <c:pt idx="61">
                  <c:v>74.16239261516354</c:v>
                </c:pt>
                <c:pt idx="62">
                  <c:v>74.436166778679677</c:v>
                </c:pt>
                <c:pt idx="63">
                  <c:v>74.703030644887207</c:v>
                </c:pt>
                <c:pt idx="64">
                  <c:v>74.963236602411257</c:v>
                </c:pt>
                <c:pt idx="65">
                  <c:v>75.217024943890308</c:v>
                </c:pt>
                <c:pt idx="66">
                  <c:v>75.464624580968987</c:v>
                </c:pt>
                <c:pt idx="67">
                  <c:v>75.706253709207317</c:v>
                </c:pt>
                <c:pt idx="68">
                  <c:v>75.942120426950595</c:v>
                </c:pt>
                <c:pt idx="69">
                  <c:v>76.172423311834208</c:v>
                </c:pt>
                <c:pt idx="70">
                  <c:v>76.397351958267379</c:v>
                </c:pt>
                <c:pt idx="71">
                  <c:v>76.617087478941144</c:v>
                </c:pt>
                <c:pt idx="72">
                  <c:v>76.831802973137371</c:v>
                </c:pt>
                <c:pt idx="73">
                  <c:v>77.041663964373441</c:v>
                </c:pt>
                <c:pt idx="74">
                  <c:v>77.24682880969911</c:v>
                </c:pt>
                <c:pt idx="75">
                  <c:v>77.447449082762944</c:v>
                </c:pt>
                <c:pt idx="76">
                  <c:v>77.643669932588622</c:v>
                </c:pt>
                <c:pt idx="77">
                  <c:v>77.835630419837614</c:v>
                </c:pt>
                <c:pt idx="78">
                  <c:v>78.023463832189151</c:v>
                </c:pt>
                <c:pt idx="79">
                  <c:v>78.207297980333465</c:v>
                </c:pt>
                <c:pt idx="80">
                  <c:v>78.387255475954703</c:v>
                </c:pt>
                <c:pt idx="81">
                  <c:v>78.563453992967553</c:v>
                </c:pt>
                <c:pt idx="82">
                  <c:v>78.736006513173024</c:v>
                </c:pt>
                <c:pt idx="83">
                  <c:v>78.905021557405831</c:v>
                </c:pt>
                <c:pt idx="84">
                  <c:v>79.070603403162892</c:v>
                </c:pt>
                <c:pt idx="85">
                  <c:v>79.232852289626052</c:v>
                </c:pt>
                <c:pt idx="86">
                  <c:v>79.391864610922156</c:v>
                </c:pt>
                <c:pt idx="87">
                  <c:v>79.547733098399945</c:v>
                </c:pt>
                <c:pt idx="88">
                  <c:v>79.700546992644888</c:v>
                </c:pt>
                <c:pt idx="89">
                  <c:v>79.850392205899141</c:v>
                </c:pt>
                <c:pt idx="90">
                  <c:v>79.997351475504928</c:v>
                </c:pt>
                <c:pt idx="91">
                  <c:v>80.141504508944905</c:v>
                </c:pt>
                <c:pt idx="92">
                  <c:v>80.282928121010698</c:v>
                </c:pt>
                <c:pt idx="93">
                  <c:v>80.421696363593554</c:v>
                </c:pt>
                <c:pt idx="94">
                  <c:v>80.557880648555852</c:v>
                </c:pt>
                <c:pt idx="95">
                  <c:v>80.691549864109376</c:v>
                </c:pt>
                <c:pt idx="96">
                  <c:v>80.822770485097337</c:v>
                </c:pt>
                <c:pt idx="97">
                  <c:v>80.951606677549108</c:v>
                </c:pt>
                <c:pt idx="98">
                  <c:v>81.078120397851379</c:v>
                </c:pt>
                <c:pt idx="99">
                  <c:v>81.202371486856364</c:v>
                </c:pt>
                <c:pt idx="100">
                  <c:v>81.324417759225966</c:v>
                </c:pt>
                <c:pt idx="101">
                  <c:v>81.444315088290395</c:v>
                </c:pt>
                <c:pt idx="102">
                  <c:v>81.562117486682027</c:v>
                </c:pt>
                <c:pt idx="103">
                  <c:v>81.67787718298743</c:v>
                </c:pt>
                <c:pt idx="104">
                  <c:v>81.7916446946452</c:v>
                </c:pt>
                <c:pt idx="105">
                  <c:v>81.903468897301892</c:v>
                </c:pt>
                <c:pt idx="106">
                  <c:v>82.013397090825663</c:v>
                </c:pt>
                <c:pt idx="107">
                  <c:v>82.121475062163199</c:v>
                </c:pt>
                <c:pt idx="108">
                  <c:v>82.227747145215091</c:v>
                </c:pt>
                <c:pt idx="109">
                  <c:v>82.332256277893094</c:v>
                </c:pt>
                <c:pt idx="110">
                  <c:v>82.435044056512581</c:v>
                </c:pt>
                <c:pt idx="111">
                  <c:v>82.536150787664383</c:v>
                </c:pt>
                <c:pt idx="112">
                  <c:v>82.635615537700986</c:v>
                </c:pt>
                <c:pt idx="113">
                  <c:v>82.733476179964171</c:v>
                </c:pt>
                <c:pt idx="114">
                  <c:v>82.829769439873274</c:v>
                </c:pt>
                <c:pt idx="115">
                  <c:v>82.924530937986262</c:v>
                </c:pt>
                <c:pt idx="116">
                  <c:v>83.017795231139075</c:v>
                </c:pt>
                <c:pt idx="117">
                  <c:v>83.109595851762492</c:v>
                </c:pt>
                <c:pt idx="118">
                  <c:v>83.199965345469934</c:v>
                </c:pt>
                <c:pt idx="119">
                  <c:v>83.288935307004337</c:v>
                </c:pt>
                <c:pt idx="120">
                  <c:v>83.376536414626784</c:v>
                </c:pt>
                <c:pt idx="121">
                  <c:v>83.46279846302528</c:v>
                </c:pt>
                <c:pt idx="122">
                  <c:v>83.547750394817314</c:v>
                </c:pt>
                <c:pt idx="123">
                  <c:v>83.631420330715756</c:v>
                </c:pt>
                <c:pt idx="124">
                  <c:v>83.713835598423813</c:v>
                </c:pt>
                <c:pt idx="125">
                  <c:v>83.79502276032089</c:v>
                </c:pt>
                <c:pt idx="126">
                  <c:v>83.875007639998103</c:v>
                </c:pt>
                <c:pt idx="127">
                  <c:v>83.953815347698651</c:v>
                </c:pt>
                <c:pt idx="128">
                  <c:v>84.031470304715597</c:v>
                </c:pt>
                <c:pt idx="129">
                  <c:v>84.107996266796022</c:v>
                </c:pt>
                <c:pt idx="130">
                  <c:v>84.183416346599245</c:v>
                </c:pt>
                <c:pt idx="131">
                  <c:v>84.257753035252421</c:v>
                </c:pt>
                <c:pt idx="132">
                  <c:v>84.331028223046388</c:v>
                </c:pt>
                <c:pt idx="133">
                  <c:v>84.403263219310801</c:v>
                </c:pt>
                <c:pt idx="134">
                  <c:v>84.474478771506796</c:v>
                </c:pt>
                <c:pt idx="135">
                  <c:v>84.544695083572392</c:v>
                </c:pt>
                <c:pt idx="136">
                  <c:v>84.613931833554815</c:v>
                </c:pt>
                <c:pt idx="137">
                  <c:v>84.682208190561809</c:v>
                </c:pt>
                <c:pt idx="138">
                  <c:v>84.749542831062215</c:v>
                </c:pt>
                <c:pt idx="139">
                  <c:v>84.815953954564989</c:v>
                </c:pt>
                <c:pt idx="140">
                  <c:v>84.881459298704016</c:v>
                </c:pt>
                <c:pt idx="141">
                  <c:v>84.946076153754618</c:v>
                </c:pt>
                <c:pt idx="142">
                  <c:v>85.009821376607078</c:v>
                </c:pt>
                <c:pt idx="143">
                  <c:v>85.072711404220016</c:v>
                </c:pt>
                <c:pt idx="144">
                  <c:v>85.134762266576672</c:v>
                </c:pt>
                <c:pt idx="145">
                  <c:v>85.19598959916496</c:v>
                </c:pt>
                <c:pt idx="146">
                  <c:v>85.256408655001863</c:v>
                </c:pt>
                <c:pt idx="147">
                  <c:v>85.316034316221092</c:v>
                </c:pt>
                <c:pt idx="148">
                  <c:v>85.374881105242864</c:v>
                </c:pt>
                <c:pt idx="149">
                  <c:v>85.432963195542797</c:v>
                </c:pt>
                <c:pt idx="150">
                  <c:v>85.490294422036968</c:v>
                </c:pt>
              </c:numCache>
            </c:numRef>
          </c:yVal>
          <c:smooth val="0"/>
          <c:extLst>
            <c:ext xmlns:c16="http://schemas.microsoft.com/office/drawing/2014/chart" uri="{C3380CC4-5D6E-409C-BE32-E72D297353CC}">
              <c16:uniqueId val="{00000000-EBB2-49C9-A014-1F538461E4EA}"/>
            </c:ext>
          </c:extLst>
        </c:ser>
        <c:dLbls>
          <c:showLegendKey val="0"/>
          <c:showVal val="0"/>
          <c:showCatName val="0"/>
          <c:showSerName val="0"/>
          <c:showPercent val="0"/>
          <c:showBubbleSize val="0"/>
        </c:dLbls>
        <c:axId val="144893056"/>
        <c:axId val="144894592"/>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Eff_vs_IOUT!$AI$7:$AI$157</c:f>
              <c:numCache>
                <c:formatCode>General</c:formatCode>
                <c:ptCount val="151"/>
                <c:pt idx="0">
                  <c:v>0</c:v>
                </c:pt>
                <c:pt idx="1">
                  <c:v>2.3632356010522566E-4</c:v>
                </c:pt>
                <c:pt idx="2">
                  <c:v>4.8940064382793375E-4</c:v>
                </c:pt>
                <c:pt idx="3">
                  <c:v>7.5338411196505632E-4</c:v>
                </c:pt>
                <c:pt idx="4">
                  <c:v>1.0261874082906307E-3</c:v>
                </c:pt>
                <c:pt idx="5">
                  <c:v>1.3066046185289852E-3</c:v>
                </c:pt>
                <c:pt idx="6">
                  <c:v>1.5938220862639666E-3</c:v>
                </c:pt>
                <c:pt idx="7">
                  <c:v>1.8872424856226824E-3</c:v>
                </c:pt>
                <c:pt idx="8">
                  <c:v>2.1864030055211208E-3</c:v>
                </c:pt>
                <c:pt idx="9">
                  <c:v>2.4909312963608075E-3</c:v>
                </c:pt>
                <c:pt idx="10">
                  <c:v>2.8005193254146644E-3</c:v>
                </c:pt>
                <c:pt idx="11">
                  <c:v>3.1149067358153121E-3</c:v>
                </c:pt>
                <c:pt idx="12">
                  <c:v>3.4338696780669272E-3</c:v>
                </c:pt>
                <c:pt idx="13">
                  <c:v>3.7572129957056341E-3</c:v>
                </c:pt>
                <c:pt idx="14">
                  <c:v>4.0847645707767048E-3</c:v>
                </c:pt>
                <c:pt idx="15">
                  <c:v>4.4163711169972197E-3</c:v>
                </c:pt>
                <c:pt idx="16">
                  <c:v>4.7518949761203473E-3</c:v>
                </c:pt>
                <c:pt idx="17">
                  <c:v>5.0912116292927568E-3</c:v>
                </c:pt>
                <c:pt idx="18">
                  <c:v>5.4342077303936396E-3</c:v>
                </c:pt>
                <c:pt idx="19">
                  <c:v>5.7807795284614029E-3</c:v>
                </c:pt>
                <c:pt idx="20">
                  <c:v>6.1308315854760095E-3</c:v>
                </c:pt>
                <c:pt idx="21">
                  <c:v>6.484275721974608E-3</c:v>
                </c:pt>
                <c:pt idx="22">
                  <c:v>6.84103014094164E-3</c:v>
                </c:pt>
                <c:pt idx="23">
                  <c:v>7.2010186929883022E-3</c:v>
                </c:pt>
                <c:pt idx="24">
                  <c:v>7.5641702548046863E-3</c:v>
                </c:pt>
                <c:pt idx="25">
                  <c:v>7.9304181993738419E-3</c:v>
                </c:pt>
                <c:pt idx="26">
                  <c:v>8.299699941229156E-3</c:v>
                </c:pt>
                <c:pt idx="27">
                  <c:v>8.6719565436156627E-3</c:v>
                </c:pt>
                <c:pt idx="28">
                  <c:v>9.0471323771232365E-3</c:v>
                </c:pt>
                <c:pt idx="29">
                  <c:v>9.4251748214312162E-3</c:v>
                </c:pt>
                <c:pt idx="30">
                  <c:v>9.8060340034064712E-3</c:v>
                </c:pt>
                <c:pt idx="31">
                  <c:v>1.0189662566048217E-2</c:v>
                </c:pt>
                <c:pt idx="32">
                  <c:v>1.0576015463759572E-2</c:v>
                </c:pt>
                <c:pt idx="33">
                  <c:v>1.0965049780209894E-2</c:v>
                </c:pt>
                <c:pt idx="34">
                  <c:v>1.1356724565680237E-2</c:v>
                </c:pt>
                <c:pt idx="35">
                  <c:v>1.1751000691291365E-2</c:v>
                </c:pt>
                <c:pt idx="36">
                  <c:v>1.2147840717925887E-2</c:v>
                </c:pt>
                <c:pt idx="37">
                  <c:v>1.2547208777993091E-2</c:v>
                </c:pt>
                <c:pt idx="38">
                  <c:v>1.2949070468462536E-2</c:v>
                </c:pt>
                <c:pt idx="39">
                  <c:v>1.3353392753821886E-2</c:v>
                </c:pt>
                <c:pt idx="40">
                  <c:v>1.3760143877805574E-2</c:v>
                </c:pt>
                <c:pt idx="41">
                  <c:v>1.4169293282900678E-2</c:v>
                </c:pt>
                <c:pt idx="42">
                  <c:v>1.4580811536770433E-2</c:v>
                </c:pt>
                <c:pt idx="43">
                  <c:v>1.49946702648493E-2</c:v>
                </c:pt>
                <c:pt idx="44">
                  <c:v>1.5410842088459581E-2</c:v>
                </c:pt>
                <c:pt idx="45">
                  <c:v>1.5829300567881184E-2</c:v>
                </c:pt>
                <c:pt idx="46">
                  <c:v>1.6250020149876192E-2</c:v>
                </c:pt>
                <c:pt idx="47">
                  <c:v>1.6672976119229899E-2</c:v>
                </c:pt>
                <c:pt idx="48">
                  <c:v>1.7098144553921321E-2</c:v>
                </c:pt>
                <c:pt idx="49">
                  <c:v>1.7525502283581067E-2</c:v>
                </c:pt>
                <c:pt idx="50">
                  <c:v>1.7955026850932986E-2</c:v>
                </c:pt>
                <c:pt idx="51">
                  <c:v>1.8386696475949482E-2</c:v>
                </c:pt>
                <c:pt idx="52">
                  <c:v>1.8820490022479805E-2</c:v>
                </c:pt>
                <c:pt idx="53">
                  <c:v>1.9256386967136239E-2</c:v>
                </c:pt>
                <c:pt idx="54">
                  <c:v>1.9694367370245387E-2</c:v>
                </c:pt>
                <c:pt idx="55">
                  <c:v>2.0134411848691622E-2</c:v>
                </c:pt>
                <c:pt idx="56">
                  <c:v>2.0576501550497193E-2</c:v>
                </c:pt>
                <c:pt idx="57">
                  <c:v>2.1020618130998626E-2</c:v>
                </c:pt>
                <c:pt idx="58">
                  <c:v>2.1466743730492961E-2</c:v>
                </c:pt>
                <c:pt idx="59">
                  <c:v>2.1914860953239024E-2</c:v>
                </c:pt>
                <c:pt idx="60">
                  <c:v>2.2364952847710146E-2</c:v>
                </c:pt>
                <c:pt idx="61">
                  <c:v>2.2817002888003902E-2</c:v>
                </c:pt>
                <c:pt idx="62">
                  <c:v>2.3270994956323177E-2</c:v>
                </c:pt>
                <c:pt idx="63">
                  <c:v>2.3726913326450421E-2</c:v>
                </c:pt>
                <c:pt idx="64">
                  <c:v>2.4184742648143989E-2</c:v>
                </c:pt>
                <c:pt idx="65">
                  <c:v>2.4644467932391209E-2</c:v>
                </c:pt>
                <c:pt idx="66">
                  <c:v>2.5106074537458896E-2</c:v>
                </c:pt>
                <c:pt idx="67">
                  <c:v>2.5569548155686541E-2</c:v>
                </c:pt>
                <c:pt idx="68">
                  <c:v>2.6034874800972087E-2</c:v>
                </c:pt>
                <c:pt idx="69">
                  <c:v>2.6502040796904436E-2</c:v>
                </c:pt>
                <c:pt idx="70">
                  <c:v>2.6971032765500176E-2</c:v>
                </c:pt>
                <c:pt idx="71">
                  <c:v>2.7441837616505559E-2</c:v>
                </c:pt>
                <c:pt idx="72">
                  <c:v>2.7914442537227975E-2</c:v>
                </c:pt>
                <c:pt idx="73">
                  <c:v>2.8388834982863341E-2</c:v>
                </c:pt>
                <c:pt idx="74">
                  <c:v>2.8865002667289051E-2</c:v>
                </c:pt>
                <c:pt idx="75">
                  <c:v>2.9342933554293946E-2</c:v>
                </c:pt>
                <c:pt idx="76">
                  <c:v>2.9822615849218914E-2</c:v>
                </c:pt>
                <c:pt idx="77">
                  <c:v>3.0304037990983891E-2</c:v>
                </c:pt>
                <c:pt idx="78">
                  <c:v>3.0787188644478387E-2</c:v>
                </c:pt>
                <c:pt idx="79">
                  <c:v>3.127205669329481E-2</c:v>
                </c:pt>
                <c:pt idx="80">
                  <c:v>3.1758631232784586E-2</c:v>
                </c:pt>
                <c:pt idx="81">
                  <c:v>3.2246901563419209E-2</c:v>
                </c:pt>
                <c:pt idx="82">
                  <c:v>3.2736857184439069E-2</c:v>
                </c:pt>
                <c:pt idx="83">
                  <c:v>3.3228487787774215E-2</c:v>
                </c:pt>
                <c:pt idx="84">
                  <c:v>3.37217832522222E-2</c:v>
                </c:pt>
                <c:pt idx="85">
                  <c:v>3.4216733637869506E-2</c:v>
                </c:pt>
                <c:pt idx="86">
                  <c:v>3.4713329180743144E-2</c:v>
                </c:pt>
                <c:pt idx="87">
                  <c:v>3.5211560287680688E-2</c:v>
                </c:pt>
                <c:pt idx="88">
                  <c:v>3.5711417531407288E-2</c:v>
                </c:pt>
                <c:pt idx="89">
                  <c:v>3.6212891645809105E-2</c:v>
                </c:pt>
                <c:pt idx="90">
                  <c:v>3.6715973521393108E-2</c:v>
                </c:pt>
                <c:pt idx="91">
                  <c:v>3.7220654200924005E-2</c:v>
                </c:pt>
                <c:pt idx="92">
                  <c:v>3.7726924875229412E-2</c:v>
                </c:pt>
                <c:pt idx="93">
                  <c:v>3.8234776879165093E-2</c:v>
                </c:pt>
                <c:pt idx="94">
                  <c:v>3.8744201687732488E-2</c:v>
                </c:pt>
                <c:pt idx="95">
                  <c:v>3.9255190912341142E-2</c:v>
                </c:pt>
                <c:pt idx="96">
                  <c:v>3.9767736297209297E-2</c:v>
                </c:pt>
                <c:pt idx="97">
                  <c:v>4.0281829715895973E-2</c:v>
                </c:pt>
                <c:pt idx="98">
                  <c:v>4.0797463167958611E-2</c:v>
                </c:pt>
                <c:pt idx="99">
                  <c:v>4.1314628775730305E-2</c:v>
                </c:pt>
                <c:pt idx="100">
                  <c:v>4.1833318781211368E-2</c:v>
                </c:pt>
                <c:pt idx="101">
                  <c:v>4.2353525543069953E-2</c:v>
                </c:pt>
                <c:pt idx="102">
                  <c:v>4.2875241533746757E-2</c:v>
                </c:pt>
                <c:pt idx="103">
                  <c:v>4.3398459336659548E-2</c:v>
                </c:pt>
                <c:pt idx="104">
                  <c:v>4.3923171643502706E-2</c:v>
                </c:pt>
                <c:pt idx="105">
                  <c:v>4.4449371251638038E-2</c:v>
                </c:pt>
                <c:pt idx="106">
                  <c:v>4.4977051061572682E-2</c:v>
                </c:pt>
                <c:pt idx="107">
                  <c:v>4.5506204074520537E-2</c:v>
                </c:pt>
                <c:pt idx="108">
                  <c:v>4.6036823390043585E-2</c:v>
                </c:pt>
                <c:pt idx="109">
                  <c:v>4.6568902203769996E-2</c:v>
                </c:pt>
                <c:pt idx="110">
                  <c:v>4.7102433805185459E-2</c:v>
                </c:pt>
                <c:pt idx="111">
                  <c:v>4.7637411575495087E-2</c:v>
                </c:pt>
                <c:pt idx="112">
                  <c:v>4.8173828985553002E-2</c:v>
                </c:pt>
                <c:pt idx="113">
                  <c:v>4.8711679593856437E-2</c:v>
                </c:pt>
                <c:pt idx="114">
                  <c:v>4.9250957044602521E-2</c:v>
                </c:pt>
                <c:pt idx="115">
                  <c:v>4.9791655065804512E-2</c:v>
                </c:pt>
                <c:pt idx="116">
                  <c:v>5.0333767467465679E-2</c:v>
                </c:pt>
                <c:pt idx="117">
                  <c:v>5.0877288139808408E-2</c:v>
                </c:pt>
                <c:pt idx="118">
                  <c:v>5.1422211051556282E-2</c:v>
                </c:pt>
                <c:pt idx="119">
                  <c:v>5.1968530248267378E-2</c:v>
                </c:pt>
                <c:pt idx="120">
                  <c:v>5.2516239850716531E-2</c:v>
                </c:pt>
                <c:pt idx="121">
                  <c:v>5.3065334053325038E-2</c:v>
                </c:pt>
                <c:pt idx="122">
                  <c:v>5.3615807122635736E-2</c:v>
                </c:pt>
                <c:pt idx="123">
                  <c:v>5.4167653395832085E-2</c:v>
                </c:pt>
                <c:pt idx="124">
                  <c:v>5.4720867279299312E-2</c:v>
                </c:pt>
                <c:pt idx="125">
                  <c:v>5.5275443247226358E-2</c:v>
                </c:pt>
                <c:pt idx="126">
                  <c:v>5.583137584024702E-2</c:v>
                </c:pt>
                <c:pt idx="127">
                  <c:v>5.6388659664118941E-2</c:v>
                </c:pt>
                <c:pt idx="128">
                  <c:v>5.6947289388438981E-2</c:v>
                </c:pt>
                <c:pt idx="129">
                  <c:v>5.7507259745393946E-2</c:v>
                </c:pt>
                <c:pt idx="130">
                  <c:v>5.8068565528545182E-2</c:v>
                </c:pt>
                <c:pt idx="131">
                  <c:v>5.8631201591645921E-2</c:v>
                </c:pt>
                <c:pt idx="132">
                  <c:v>5.9195162847490393E-2</c:v>
                </c:pt>
                <c:pt idx="133">
                  <c:v>5.9760444266793361E-2</c:v>
                </c:pt>
                <c:pt idx="134">
                  <c:v>6.0327040877099447E-2</c:v>
                </c:pt>
                <c:pt idx="135">
                  <c:v>6.0894947761720671E-2</c:v>
                </c:pt>
                <c:pt idx="136">
                  <c:v>6.146416005870195E-2</c:v>
                </c:pt>
                <c:pt idx="137">
                  <c:v>6.2034672959812916E-2</c:v>
                </c:pt>
                <c:pt idx="138">
                  <c:v>6.26064817095658E-2</c:v>
                </c:pt>
                <c:pt idx="139">
                  <c:v>6.3179581604258184E-2</c:v>
                </c:pt>
                <c:pt idx="140">
                  <c:v>6.3753967991039828E-2</c:v>
                </c:pt>
                <c:pt idx="141">
                  <c:v>6.4329636267002971E-2</c:v>
                </c:pt>
                <c:pt idx="142">
                  <c:v>6.4906581878295275E-2</c:v>
                </c:pt>
                <c:pt idx="143">
                  <c:v>6.5484800319254549E-2</c:v>
                </c:pt>
                <c:pt idx="144">
                  <c:v>6.6064287131564814E-2</c:v>
                </c:pt>
                <c:pt idx="145">
                  <c:v>6.6645037903432736E-2</c:v>
                </c:pt>
                <c:pt idx="146">
                  <c:v>6.7227048268784256E-2</c:v>
                </c:pt>
                <c:pt idx="147">
                  <c:v>6.7810313906480346E-2</c:v>
                </c:pt>
                <c:pt idx="148">
                  <c:v>6.8394830539551268E-2</c:v>
                </c:pt>
                <c:pt idx="149">
                  <c:v>6.8980593934449497E-2</c:v>
                </c:pt>
                <c:pt idx="150">
                  <c:v>6.956759990031966E-2</c:v>
                </c:pt>
              </c:numCache>
            </c:numRef>
          </c:yVal>
          <c:smooth val="1"/>
          <c:extLst>
            <c:ext xmlns:c16="http://schemas.microsoft.com/office/drawing/2014/chart" uri="{C3380CC4-5D6E-409C-BE32-E72D297353CC}">
              <c16:uniqueId val="{00000001-EBB2-49C9-A014-1F538461E4EA}"/>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Eff_vs_IOUT!$AN$7:$AN$157</c:f>
              <c:numCache>
                <c:formatCode>General</c:formatCode>
                <c:ptCount val="151"/>
                <c:pt idx="0">
                  <c:v>0.29622500000000002</c:v>
                </c:pt>
                <c:pt idx="1">
                  <c:v>0.29635</c:v>
                </c:pt>
                <c:pt idx="2">
                  <c:v>0.29647499999999999</c:v>
                </c:pt>
                <c:pt idx="3">
                  <c:v>0.29660000000000003</c:v>
                </c:pt>
                <c:pt idx="4">
                  <c:v>0.29672500000000002</c:v>
                </c:pt>
                <c:pt idx="5">
                  <c:v>0.29685</c:v>
                </c:pt>
                <c:pt idx="6">
                  <c:v>0.29697499999999999</c:v>
                </c:pt>
                <c:pt idx="7">
                  <c:v>0.29710000000000003</c:v>
                </c:pt>
                <c:pt idx="8">
                  <c:v>0.29722500000000002</c:v>
                </c:pt>
                <c:pt idx="9">
                  <c:v>0.29735</c:v>
                </c:pt>
                <c:pt idx="10">
                  <c:v>0.29747499999999999</c:v>
                </c:pt>
                <c:pt idx="11">
                  <c:v>0.29760000000000003</c:v>
                </c:pt>
                <c:pt idx="12">
                  <c:v>0.29772500000000002</c:v>
                </c:pt>
                <c:pt idx="13">
                  <c:v>0.29785</c:v>
                </c:pt>
                <c:pt idx="14">
                  <c:v>0.29797499999999999</c:v>
                </c:pt>
                <c:pt idx="15">
                  <c:v>0.29810000000000003</c:v>
                </c:pt>
                <c:pt idx="16">
                  <c:v>0.29822500000000002</c:v>
                </c:pt>
                <c:pt idx="17">
                  <c:v>0.29835</c:v>
                </c:pt>
                <c:pt idx="18">
                  <c:v>0.29847499999999999</c:v>
                </c:pt>
                <c:pt idx="19">
                  <c:v>0.29860000000000003</c:v>
                </c:pt>
                <c:pt idx="20">
                  <c:v>0.29872500000000002</c:v>
                </c:pt>
                <c:pt idx="21">
                  <c:v>0.29885</c:v>
                </c:pt>
                <c:pt idx="22">
                  <c:v>0.29897499999999999</c:v>
                </c:pt>
                <c:pt idx="23">
                  <c:v>0.29910000000000003</c:v>
                </c:pt>
                <c:pt idx="24">
                  <c:v>0.29922500000000002</c:v>
                </c:pt>
                <c:pt idx="25">
                  <c:v>0.29935</c:v>
                </c:pt>
                <c:pt idx="26">
                  <c:v>0.29947499999999999</c:v>
                </c:pt>
                <c:pt idx="27">
                  <c:v>0.29960000000000003</c:v>
                </c:pt>
                <c:pt idx="28">
                  <c:v>0.29972500000000002</c:v>
                </c:pt>
                <c:pt idx="29">
                  <c:v>0.29985000000000001</c:v>
                </c:pt>
                <c:pt idx="30">
                  <c:v>0.29997499999999999</c:v>
                </c:pt>
                <c:pt idx="31">
                  <c:v>0.30010000000000003</c:v>
                </c:pt>
                <c:pt idx="32">
                  <c:v>0.30022500000000002</c:v>
                </c:pt>
                <c:pt idx="33">
                  <c:v>0.30035000000000001</c:v>
                </c:pt>
                <c:pt idx="34">
                  <c:v>0.30047499999999999</c:v>
                </c:pt>
                <c:pt idx="35">
                  <c:v>0.30060000000000003</c:v>
                </c:pt>
                <c:pt idx="36">
                  <c:v>0.30072500000000002</c:v>
                </c:pt>
                <c:pt idx="37">
                  <c:v>0.30085000000000001</c:v>
                </c:pt>
                <c:pt idx="38">
                  <c:v>0.30097499999999999</c:v>
                </c:pt>
                <c:pt idx="39">
                  <c:v>0.30110000000000003</c:v>
                </c:pt>
                <c:pt idx="40">
                  <c:v>0.30122500000000002</c:v>
                </c:pt>
                <c:pt idx="41">
                  <c:v>0.30135000000000001</c:v>
                </c:pt>
                <c:pt idx="42">
                  <c:v>0.30147499999999999</c:v>
                </c:pt>
                <c:pt idx="43">
                  <c:v>0.30160000000000003</c:v>
                </c:pt>
                <c:pt idx="44">
                  <c:v>0.30172500000000002</c:v>
                </c:pt>
                <c:pt idx="45">
                  <c:v>0.30185000000000001</c:v>
                </c:pt>
                <c:pt idx="46">
                  <c:v>0.30197499999999999</c:v>
                </c:pt>
                <c:pt idx="47">
                  <c:v>0.30210000000000004</c:v>
                </c:pt>
                <c:pt idx="48">
                  <c:v>0.30222500000000002</c:v>
                </c:pt>
                <c:pt idx="49">
                  <c:v>0.30235000000000001</c:v>
                </c:pt>
                <c:pt idx="50">
                  <c:v>0.30247499999999999</c:v>
                </c:pt>
                <c:pt idx="51">
                  <c:v>0.30260000000000004</c:v>
                </c:pt>
                <c:pt idx="52">
                  <c:v>0.30272500000000002</c:v>
                </c:pt>
                <c:pt idx="53">
                  <c:v>0.30285000000000001</c:v>
                </c:pt>
                <c:pt idx="54">
                  <c:v>0.30297499999999999</c:v>
                </c:pt>
                <c:pt idx="55">
                  <c:v>0.30310000000000004</c:v>
                </c:pt>
                <c:pt idx="56">
                  <c:v>0.30322500000000002</c:v>
                </c:pt>
                <c:pt idx="57">
                  <c:v>0.30335000000000001</c:v>
                </c:pt>
                <c:pt idx="58">
                  <c:v>0.30347499999999999</c:v>
                </c:pt>
                <c:pt idx="59">
                  <c:v>0.30360000000000004</c:v>
                </c:pt>
                <c:pt idx="60">
                  <c:v>0.30372500000000002</c:v>
                </c:pt>
                <c:pt idx="61">
                  <c:v>0.30385000000000001</c:v>
                </c:pt>
                <c:pt idx="62">
                  <c:v>0.303975</c:v>
                </c:pt>
                <c:pt idx="63">
                  <c:v>0.30410000000000004</c:v>
                </c:pt>
                <c:pt idx="64">
                  <c:v>0.30422500000000002</c:v>
                </c:pt>
                <c:pt idx="65">
                  <c:v>0.30435000000000001</c:v>
                </c:pt>
                <c:pt idx="66">
                  <c:v>0.304475</c:v>
                </c:pt>
                <c:pt idx="67">
                  <c:v>0.30460000000000004</c:v>
                </c:pt>
                <c:pt idx="68">
                  <c:v>0.30472500000000002</c:v>
                </c:pt>
                <c:pt idx="69">
                  <c:v>0.30485000000000001</c:v>
                </c:pt>
                <c:pt idx="70">
                  <c:v>0.304975</c:v>
                </c:pt>
                <c:pt idx="71">
                  <c:v>0.30510000000000004</c:v>
                </c:pt>
                <c:pt idx="72">
                  <c:v>0.30522500000000002</c:v>
                </c:pt>
                <c:pt idx="73">
                  <c:v>0.30535000000000001</c:v>
                </c:pt>
                <c:pt idx="74">
                  <c:v>0.305475</c:v>
                </c:pt>
                <c:pt idx="75">
                  <c:v>0.30560000000000004</c:v>
                </c:pt>
                <c:pt idx="76">
                  <c:v>0.30572500000000002</c:v>
                </c:pt>
                <c:pt idx="77">
                  <c:v>0.30585000000000001</c:v>
                </c:pt>
                <c:pt idx="78">
                  <c:v>0.305975</c:v>
                </c:pt>
                <c:pt idx="79">
                  <c:v>0.30610000000000004</c:v>
                </c:pt>
                <c:pt idx="80">
                  <c:v>0.30622500000000002</c:v>
                </c:pt>
                <c:pt idx="81">
                  <c:v>0.30635000000000001</c:v>
                </c:pt>
                <c:pt idx="82">
                  <c:v>0.306475</c:v>
                </c:pt>
                <c:pt idx="83">
                  <c:v>0.30660000000000004</c:v>
                </c:pt>
                <c:pt idx="84">
                  <c:v>0.30672500000000003</c:v>
                </c:pt>
                <c:pt idx="85">
                  <c:v>0.30685000000000001</c:v>
                </c:pt>
                <c:pt idx="86">
                  <c:v>0.306975</c:v>
                </c:pt>
                <c:pt idx="87">
                  <c:v>0.30710000000000004</c:v>
                </c:pt>
                <c:pt idx="88">
                  <c:v>0.30722500000000003</c:v>
                </c:pt>
                <c:pt idx="89">
                  <c:v>0.30735000000000001</c:v>
                </c:pt>
                <c:pt idx="90">
                  <c:v>0.307475</c:v>
                </c:pt>
                <c:pt idx="91">
                  <c:v>0.30760000000000004</c:v>
                </c:pt>
                <c:pt idx="92">
                  <c:v>0.30772500000000003</c:v>
                </c:pt>
                <c:pt idx="93">
                  <c:v>0.30785000000000001</c:v>
                </c:pt>
                <c:pt idx="94">
                  <c:v>0.307975</c:v>
                </c:pt>
                <c:pt idx="95">
                  <c:v>0.30810000000000004</c:v>
                </c:pt>
                <c:pt idx="96">
                  <c:v>0.30822500000000003</c:v>
                </c:pt>
                <c:pt idx="97">
                  <c:v>0.30835000000000001</c:v>
                </c:pt>
                <c:pt idx="98">
                  <c:v>0.308475</c:v>
                </c:pt>
                <c:pt idx="99">
                  <c:v>0.30860000000000004</c:v>
                </c:pt>
                <c:pt idx="100">
                  <c:v>0.30872500000000003</c:v>
                </c:pt>
                <c:pt idx="101">
                  <c:v>0.30885000000000001</c:v>
                </c:pt>
                <c:pt idx="102">
                  <c:v>0.308975</c:v>
                </c:pt>
                <c:pt idx="103">
                  <c:v>0.30910000000000004</c:v>
                </c:pt>
                <c:pt idx="104">
                  <c:v>0.30922500000000003</c:v>
                </c:pt>
                <c:pt idx="105">
                  <c:v>0.30935000000000001</c:v>
                </c:pt>
                <c:pt idx="106">
                  <c:v>0.309475</c:v>
                </c:pt>
                <c:pt idx="107">
                  <c:v>0.30960000000000004</c:v>
                </c:pt>
                <c:pt idx="108">
                  <c:v>0.30972500000000003</c:v>
                </c:pt>
                <c:pt idx="109">
                  <c:v>0.30985000000000001</c:v>
                </c:pt>
                <c:pt idx="110">
                  <c:v>0.309975</c:v>
                </c:pt>
                <c:pt idx="111">
                  <c:v>0.31010000000000004</c:v>
                </c:pt>
                <c:pt idx="112">
                  <c:v>0.31022500000000003</c:v>
                </c:pt>
                <c:pt idx="113">
                  <c:v>0.31035000000000001</c:v>
                </c:pt>
                <c:pt idx="114">
                  <c:v>0.310475</c:v>
                </c:pt>
                <c:pt idx="115">
                  <c:v>0.31059999999999999</c:v>
                </c:pt>
                <c:pt idx="116">
                  <c:v>0.31072500000000003</c:v>
                </c:pt>
                <c:pt idx="117">
                  <c:v>0.31085000000000002</c:v>
                </c:pt>
                <c:pt idx="118">
                  <c:v>0.310975</c:v>
                </c:pt>
                <c:pt idx="119">
                  <c:v>0.31110000000000004</c:v>
                </c:pt>
                <c:pt idx="120">
                  <c:v>0.31122500000000003</c:v>
                </c:pt>
                <c:pt idx="121">
                  <c:v>0.31135000000000002</c:v>
                </c:pt>
                <c:pt idx="122">
                  <c:v>0.311475</c:v>
                </c:pt>
                <c:pt idx="123">
                  <c:v>0.31159999999999999</c:v>
                </c:pt>
                <c:pt idx="124">
                  <c:v>0.31172500000000003</c:v>
                </c:pt>
                <c:pt idx="125">
                  <c:v>0.31185000000000002</c:v>
                </c:pt>
                <c:pt idx="126">
                  <c:v>0.311975</c:v>
                </c:pt>
                <c:pt idx="127">
                  <c:v>0.31210000000000004</c:v>
                </c:pt>
                <c:pt idx="128">
                  <c:v>0.31222500000000003</c:v>
                </c:pt>
                <c:pt idx="129">
                  <c:v>0.31235000000000002</c:v>
                </c:pt>
                <c:pt idx="130">
                  <c:v>0.312475</c:v>
                </c:pt>
                <c:pt idx="131">
                  <c:v>0.31259999999999999</c:v>
                </c:pt>
                <c:pt idx="132">
                  <c:v>0.31272500000000003</c:v>
                </c:pt>
                <c:pt idx="133">
                  <c:v>0.31285000000000002</c:v>
                </c:pt>
                <c:pt idx="134">
                  <c:v>0.312975</c:v>
                </c:pt>
                <c:pt idx="135">
                  <c:v>0.31309999999999999</c:v>
                </c:pt>
                <c:pt idx="136">
                  <c:v>0.31322500000000003</c:v>
                </c:pt>
                <c:pt idx="137">
                  <c:v>0.31335000000000002</c:v>
                </c:pt>
                <c:pt idx="138">
                  <c:v>0.313475</c:v>
                </c:pt>
                <c:pt idx="139">
                  <c:v>0.31359999999999999</c:v>
                </c:pt>
                <c:pt idx="140">
                  <c:v>0.31372500000000003</c:v>
                </c:pt>
                <c:pt idx="141">
                  <c:v>0.31385000000000002</c:v>
                </c:pt>
                <c:pt idx="142">
                  <c:v>0.313975</c:v>
                </c:pt>
                <c:pt idx="143">
                  <c:v>0.31409999999999999</c:v>
                </c:pt>
                <c:pt idx="144">
                  <c:v>0.31422500000000003</c:v>
                </c:pt>
                <c:pt idx="145">
                  <c:v>0.31435000000000002</c:v>
                </c:pt>
                <c:pt idx="146">
                  <c:v>0.314475</c:v>
                </c:pt>
                <c:pt idx="147">
                  <c:v>0.31459999999999999</c:v>
                </c:pt>
                <c:pt idx="148">
                  <c:v>0.31472500000000003</c:v>
                </c:pt>
                <c:pt idx="149">
                  <c:v>0.31485000000000002</c:v>
                </c:pt>
                <c:pt idx="150">
                  <c:v>0.314975</c:v>
                </c:pt>
              </c:numCache>
            </c:numRef>
          </c:yVal>
          <c:smooth val="1"/>
          <c:extLst>
            <c:ext xmlns:c16="http://schemas.microsoft.com/office/drawing/2014/chart" uri="{C3380CC4-5D6E-409C-BE32-E72D297353CC}">
              <c16:uniqueId val="{00000002-EBB2-49C9-A014-1F538461E4EA}"/>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Eff_vs_IOUT!$AO$7:$AO$157</c:f>
              <c:numCache>
                <c:formatCode>General</c:formatCode>
                <c:ptCount val="151"/>
                <c:pt idx="0">
                  <c:v>0</c:v>
                </c:pt>
                <c:pt idx="1">
                  <c:v>5.2965764676607676E-6</c:v>
                </c:pt>
                <c:pt idx="2">
                  <c:v>1.498098054942408E-5</c:v>
                </c:pt>
                <c:pt idx="3">
                  <c:v>2.7521818644486425E-5</c:v>
                </c:pt>
                <c:pt idx="4">
                  <c:v>4.237261174128614E-5</c:v>
                </c:pt>
                <c:pt idx="5">
                  <c:v>5.9217525148575917E-5</c:v>
                </c:pt>
                <c:pt idx="6">
                  <c:v>7.7843458376410782E-5</c:v>
                </c:pt>
                <c:pt idx="7">
                  <c:v>9.8093968934271302E-5</c:v>
                </c:pt>
                <c:pt idx="8">
                  <c:v>1.1984784439539262E-4</c:v>
                </c:pt>
                <c:pt idx="9">
                  <c:v>1.4300756462684071E-4</c:v>
                </c:pt>
                <c:pt idx="10">
                  <c:v>1.6749245439057173E-4</c:v>
                </c:pt>
                <c:pt idx="11">
                  <c:v>1.9323432498322403E-4</c:v>
                </c:pt>
                <c:pt idx="12">
                  <c:v>2.2017454915589142E-4</c:v>
                </c:pt>
                <c:pt idx="13">
                  <c:v>2.4826201450136865E-4</c:v>
                </c:pt>
                <c:pt idx="14">
                  <c:v>2.7745164250770303E-4</c:v>
                </c:pt>
                <c:pt idx="15">
                  <c:v>3.0770328676746377E-4</c:v>
                </c:pt>
                <c:pt idx="16">
                  <c:v>3.3898089393028912E-4</c:v>
                </c:pt>
                <c:pt idx="17">
                  <c:v>3.7125185191554561E-4</c:v>
                </c:pt>
                <c:pt idx="18">
                  <c:v>4.0448647483444977E-4</c:v>
                </c:pt>
                <c:pt idx="19">
                  <c:v>4.38657589816109E-4</c:v>
                </c:pt>
                <c:pt idx="20">
                  <c:v>4.7374020118860739E-4</c:v>
                </c:pt>
                <c:pt idx="21">
                  <c:v>5.0971121433072281E-4</c:v>
                </c:pt>
                <c:pt idx="22">
                  <c:v>5.4654920621457137E-4</c:v>
                </c:pt>
                <c:pt idx="23">
                  <c:v>5.8423423295260826E-4</c:v>
                </c:pt>
                <c:pt idx="24">
                  <c:v>6.2274766701128647E-4</c:v>
                </c:pt>
                <c:pt idx="25">
                  <c:v>6.6207205845759552E-4</c:v>
                </c:pt>
                <c:pt idx="26">
                  <c:v>7.0219101585980318E-4</c:v>
                </c:pt>
                <c:pt idx="27">
                  <c:v>7.4308910340113287E-4</c:v>
                </c:pt>
                <c:pt idx="28">
                  <c:v>7.8475175147417042E-4</c:v>
                </c:pt>
                <c:pt idx="29">
                  <c:v>8.2716517856636258E-4</c:v>
                </c:pt>
                <c:pt idx="30">
                  <c:v>8.7031632266664979E-4</c:v>
                </c:pt>
                <c:pt idx="31">
                  <c:v>9.1419278075101763E-4</c:v>
                </c:pt>
                <c:pt idx="32">
                  <c:v>9.5878275516314115E-4</c:v>
                </c:pt>
                <c:pt idx="33">
                  <c:v>1.0040750059116602E-3</c:v>
                </c:pt>
                <c:pt idx="34">
                  <c:v>1.0500588080701854E-3</c:v>
                </c:pt>
                <c:pt idx="35">
                  <c:v>1.0967239135989161E-3</c:v>
                </c:pt>
                <c:pt idx="36">
                  <c:v>1.1440605170147256E-3</c:v>
                </c:pt>
                <c:pt idx="37">
                  <c:v>1.1920592244248093E-3</c:v>
                </c:pt>
                <c:pt idx="38">
                  <c:v>1.2407110255116711E-3</c:v>
                </c:pt>
                <c:pt idx="39">
                  <c:v>1.290007268117316E-3</c:v>
                </c:pt>
                <c:pt idx="40">
                  <c:v>1.3399396351245741E-3</c:v>
                </c:pt>
                <c:pt idx="41">
                  <c:v>1.3905001233752992E-3</c:v>
                </c:pt>
                <c:pt idx="42">
                  <c:v>1.4416810244003353E-3</c:v>
                </c:pt>
                <c:pt idx="43">
                  <c:v>1.4934749067658554E-3</c:v>
                </c:pt>
                <c:pt idx="44">
                  <c:v>1.5458745998657929E-3</c:v>
                </c:pt>
                <c:pt idx="45">
                  <c:v>1.5988731790115506E-3</c:v>
                </c:pt>
                <c:pt idx="46">
                  <c:v>1.6524639516884414E-3</c:v>
                </c:pt>
                <c:pt idx="47">
                  <c:v>1.7066404448640383E-3</c:v>
                </c:pt>
                <c:pt idx="48">
                  <c:v>1.7613963932471312E-3</c:v>
                </c:pt>
                <c:pt idx="49">
                  <c:v>1.8167257284076421E-3</c:v>
                </c:pt>
                <c:pt idx="50">
                  <c:v>1.8726225686780085E-3</c:v>
                </c:pt>
                <c:pt idx="51">
                  <c:v>1.9290812097652872E-3</c:v>
                </c:pt>
                <c:pt idx="52">
                  <c:v>1.9860961160109497E-3</c:v>
                </c:pt>
                <c:pt idx="53">
                  <c:v>2.0436619122420228E-3</c:v>
                </c:pt>
                <c:pt idx="54">
                  <c:v>2.1017733761630915E-3</c:v>
                </c:pt>
                <c:pt idx="55">
                  <c:v>2.1604254312438736E-3</c:v>
                </c:pt>
                <c:pt idx="56">
                  <c:v>2.2196131400616247E-3</c:v>
                </c:pt>
                <c:pt idx="57">
                  <c:v>2.2793316980616262E-3</c:v>
                </c:pt>
                <c:pt idx="58">
                  <c:v>2.3395764277026254E-3</c:v>
                </c:pt>
                <c:pt idx="59">
                  <c:v>2.4003427729571715E-3</c:v>
                </c:pt>
                <c:pt idx="60">
                  <c:v>2.4616262941397102E-3</c:v>
                </c:pt>
                <c:pt idx="61">
                  <c:v>2.5234226630376998E-3</c:v>
                </c:pt>
                <c:pt idx="62">
                  <c:v>2.5857276583233246E-3</c:v>
                </c:pt>
                <c:pt idx="63">
                  <c:v>2.6485371612253246E-3</c:v>
                </c:pt>
                <c:pt idx="64">
                  <c:v>2.711847151442313E-3</c:v>
                </c:pt>
                <c:pt idx="65">
                  <c:v>2.7756537032804949E-3</c:v>
                </c:pt>
                <c:pt idx="66">
                  <c:v>2.8399529820002305E-3</c:v>
                </c:pt>
                <c:pt idx="67">
                  <c:v>2.9047412403570964E-3</c:v>
                </c:pt>
                <c:pt idx="68">
                  <c:v>2.9700148153243653E-3</c:v>
                </c:pt>
                <c:pt idx="69">
                  <c:v>3.0357701249848447E-3</c:v>
                </c:pt>
                <c:pt idx="70">
                  <c:v>3.102003665580973E-3</c:v>
                </c:pt>
                <c:pt idx="71">
                  <c:v>3.1687120087129602E-3</c:v>
                </c:pt>
                <c:pt idx="72">
                  <c:v>3.2358917986755986E-3</c:v>
                </c:pt>
                <c:pt idx="73">
                  <c:v>3.3035397499249631E-3</c:v>
                </c:pt>
                <c:pt idx="74">
                  <c:v>3.3716526446670374E-3</c:v>
                </c:pt>
                <c:pt idx="75">
                  <c:v>3.440227330560802E-3</c:v>
                </c:pt>
                <c:pt idx="76">
                  <c:v>3.5092607185288724E-3</c:v>
                </c:pt>
                <c:pt idx="77">
                  <c:v>3.5787497806693234E-3</c:v>
                </c:pt>
                <c:pt idx="78">
                  <c:v>3.6486915482627463E-3</c:v>
                </c:pt>
                <c:pt idx="79">
                  <c:v>3.7190831098690542E-3</c:v>
                </c:pt>
                <c:pt idx="80">
                  <c:v>3.7899216095088587E-3</c:v>
                </c:pt>
                <c:pt idx="81">
                  <c:v>3.861204244924696E-3</c:v>
                </c:pt>
                <c:pt idx="82">
                  <c:v>3.9329282659176191E-3</c:v>
                </c:pt>
                <c:pt idx="83">
                  <c:v>4.0050909727550174E-3</c:v>
                </c:pt>
                <c:pt idx="84">
                  <c:v>4.0776897146457824E-3</c:v>
                </c:pt>
                <c:pt idx="85">
                  <c:v>4.1507218882792275E-3</c:v>
                </c:pt>
                <c:pt idx="86">
                  <c:v>4.2241849364243302E-3</c:v>
                </c:pt>
                <c:pt idx="87">
                  <c:v>4.2980763465861674E-3</c:v>
                </c:pt>
                <c:pt idx="88">
                  <c:v>4.3723936497165718E-3</c:v>
                </c:pt>
                <c:pt idx="89">
                  <c:v>4.4471344189761933E-3</c:v>
                </c:pt>
                <c:pt idx="90">
                  <c:v>4.5222962685454397E-3</c:v>
                </c:pt>
                <c:pt idx="91">
                  <c:v>4.5978768524817292E-3</c:v>
                </c:pt>
                <c:pt idx="92">
                  <c:v>4.6738738636208661E-3</c:v>
                </c:pt>
                <c:pt idx="93">
                  <c:v>4.7502850325203145E-3</c:v>
                </c:pt>
                <c:pt idx="94">
                  <c:v>4.8271081264423523E-3</c:v>
                </c:pt>
                <c:pt idx="95">
                  <c:v>4.9043409483751953E-3</c:v>
                </c:pt>
                <c:pt idx="96">
                  <c:v>4.9819813360902901E-3</c:v>
                </c:pt>
                <c:pt idx="97">
                  <c:v>5.060027161234046E-3</c:v>
                </c:pt>
                <c:pt idx="98">
                  <c:v>5.1384763284524557E-3</c:v>
                </c:pt>
                <c:pt idx="99">
                  <c:v>5.2173267745470493E-3</c:v>
                </c:pt>
                <c:pt idx="100">
                  <c:v>5.2965764676607633E-3</c:v>
                </c:pt>
                <c:pt idx="101">
                  <c:v>5.3762234064923991E-3</c:v>
                </c:pt>
                <c:pt idx="102">
                  <c:v>5.4562656195383304E-3</c:v>
                </c:pt>
                <c:pt idx="103">
                  <c:v>5.5367011643603524E-3</c:v>
                </c:pt>
                <c:pt idx="104">
                  <c:v>5.6175281268784245E-3</c:v>
                </c:pt>
                <c:pt idx="105">
                  <c:v>5.6987446206873058E-3</c:v>
                </c:pt>
                <c:pt idx="106">
                  <c:v>5.780348786396005E-3</c:v>
                </c:pt>
                <c:pt idx="107">
                  <c:v>5.8623387909891144E-3</c:v>
                </c:pt>
                <c:pt idx="108">
                  <c:v>5.944712827209063E-3</c:v>
                </c:pt>
                <c:pt idx="109">
                  <c:v>6.0274691129584617E-3</c:v>
                </c:pt>
                <c:pt idx="110">
                  <c:v>6.1106058907216603E-3</c:v>
                </c:pt>
                <c:pt idx="111">
                  <c:v>6.19412142700476E-3</c:v>
                </c:pt>
                <c:pt idx="112">
                  <c:v>6.2780140117933633E-3</c:v>
                </c:pt>
                <c:pt idx="113">
                  <c:v>6.3622819580272227E-3</c:v>
                </c:pt>
                <c:pt idx="114">
                  <c:v>6.4469236010912985E-3</c:v>
                </c:pt>
                <c:pt idx="115">
                  <c:v>6.531937298322397E-3</c:v>
                </c:pt>
                <c:pt idx="116">
                  <c:v>6.6173214285309007E-3</c:v>
                </c:pt>
                <c:pt idx="117">
                  <c:v>6.7030743915369546E-3</c:v>
                </c:pt>
                <c:pt idx="118">
                  <c:v>6.7891946077205494E-3</c:v>
                </c:pt>
                <c:pt idx="119">
                  <c:v>6.8756805175849822E-3</c:v>
                </c:pt>
                <c:pt idx="120">
                  <c:v>6.9625305813331975E-3</c:v>
                </c:pt>
                <c:pt idx="121">
                  <c:v>7.0497432784564773E-3</c:v>
                </c:pt>
                <c:pt idx="122">
                  <c:v>7.1373171073350955E-3</c:v>
                </c:pt>
                <c:pt idx="123">
                  <c:v>7.2252505848504327E-3</c:v>
                </c:pt>
                <c:pt idx="124">
                  <c:v>7.3135422460081402E-3</c:v>
                </c:pt>
                <c:pt idx="125">
                  <c:v>7.4021906435719938E-3</c:v>
                </c:pt>
                <c:pt idx="126">
                  <c:v>7.4911943477079818E-3</c:v>
                </c:pt>
                <c:pt idx="127">
                  <c:v>7.5805519456383485E-3</c:v>
                </c:pt>
                <c:pt idx="128">
                  <c:v>7.6702620413051275E-3</c:v>
                </c:pt>
                <c:pt idx="129">
                  <c:v>7.7603232550429594E-3</c:v>
                </c:pt>
                <c:pt idx="130">
                  <c:v>7.8507342232607639E-3</c:v>
                </c:pt>
                <c:pt idx="131">
                  <c:v>7.9414935981320118E-3</c:v>
                </c:pt>
                <c:pt idx="132">
                  <c:v>8.032600047293283E-3</c:v>
                </c:pt>
                <c:pt idx="133">
                  <c:v>8.1240522535508293E-3</c:v>
                </c:pt>
                <c:pt idx="134">
                  <c:v>8.2158489145949063E-3</c:v>
                </c:pt>
                <c:pt idx="135">
                  <c:v>8.3079887427215202E-3</c:v>
                </c:pt>
                <c:pt idx="136">
                  <c:v>8.4004704645614815E-3</c:v>
                </c:pt>
                <c:pt idx="137">
                  <c:v>8.4932928208163588E-3</c:v>
                </c:pt>
                <c:pt idx="138">
                  <c:v>8.5864545660012653E-3</c:v>
                </c:pt>
                <c:pt idx="139">
                  <c:v>8.6799544681941312E-3</c:v>
                </c:pt>
                <c:pt idx="140">
                  <c:v>8.7737913087913288E-3</c:v>
                </c:pt>
                <c:pt idx="141">
                  <c:v>8.8679638822693994E-3</c:v>
                </c:pt>
                <c:pt idx="142">
                  <c:v>8.9624709959527232E-3</c:v>
                </c:pt>
                <c:pt idx="143">
                  <c:v>9.0573114697869214E-3</c:v>
                </c:pt>
                <c:pt idx="144">
                  <c:v>9.1524841361178052E-3</c:v>
                </c:pt>
                <c:pt idx="145">
                  <c:v>9.2479878394756982E-3</c:v>
                </c:pt>
                <c:pt idx="146">
                  <c:v>9.343821436365007E-3</c:v>
                </c:pt>
                <c:pt idx="147">
                  <c:v>9.4399837950588442E-3</c:v>
                </c:pt>
                <c:pt idx="148">
                  <c:v>9.5364737953984747E-3</c:v>
                </c:pt>
                <c:pt idx="149">
                  <c:v>9.6332903285976362E-3</c:v>
                </c:pt>
                <c:pt idx="150">
                  <c:v>9.7304322970513529E-3</c:v>
                </c:pt>
              </c:numCache>
            </c:numRef>
          </c:yVal>
          <c:smooth val="1"/>
          <c:extLst>
            <c:ext xmlns:c16="http://schemas.microsoft.com/office/drawing/2014/chart" uri="{C3380CC4-5D6E-409C-BE32-E72D297353CC}">
              <c16:uniqueId val="{00000003-EBB2-49C9-A014-1F538461E4EA}"/>
            </c:ext>
          </c:extLst>
        </c:ser>
        <c:dLbls>
          <c:showLegendKey val="0"/>
          <c:showVal val="0"/>
          <c:showCatName val="0"/>
          <c:showSerName val="0"/>
          <c:showPercent val="0"/>
          <c:showBubbleSize val="0"/>
        </c:dLbls>
        <c:axId val="157162112"/>
        <c:axId val="157160192"/>
      </c:scatterChart>
      <c:valAx>
        <c:axId val="144893056"/>
        <c:scaling>
          <c:orientation val="minMax"/>
        </c:scaling>
        <c:delete val="0"/>
        <c:axPos val="b"/>
        <c:majorGridlines/>
        <c:numFmt formatCode="General" sourceLinked="1"/>
        <c:majorTickMark val="out"/>
        <c:minorTickMark val="none"/>
        <c:tickLblPos val="nextTo"/>
        <c:crossAx val="144894592"/>
        <c:crosses val="autoZero"/>
        <c:crossBetween val="midCat"/>
      </c:valAx>
      <c:valAx>
        <c:axId val="144894592"/>
        <c:scaling>
          <c:orientation val="minMax"/>
          <c:max val="100"/>
          <c:min val="7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144893056"/>
        <c:crosses val="autoZero"/>
        <c:crossBetween val="midCat"/>
      </c:valAx>
      <c:valAx>
        <c:axId val="157160192"/>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157162112"/>
        <c:crosses val="max"/>
        <c:crossBetween val="midCat"/>
      </c:valAx>
      <c:valAx>
        <c:axId val="157162112"/>
        <c:scaling>
          <c:orientation val="minMax"/>
        </c:scaling>
        <c:delete val="1"/>
        <c:axPos val="b"/>
        <c:title>
          <c:tx>
            <c:rich>
              <a:bodyPr/>
              <a:lstStyle/>
              <a:p>
                <a:pPr>
                  <a:defRPr/>
                </a:pPr>
                <a:r>
                  <a:rPr lang="en-US"/>
                  <a:t>Load</a:t>
                </a:r>
                <a:r>
                  <a:rPr lang="en-US" baseline="0"/>
                  <a:t> Current (A)</a:t>
                </a:r>
                <a:endParaRPr lang="en-US"/>
              </a:p>
            </c:rich>
          </c:tx>
          <c:overlay val="0"/>
        </c:title>
        <c:numFmt formatCode="General" sourceLinked="1"/>
        <c:majorTickMark val="out"/>
        <c:minorTickMark val="none"/>
        <c:tickLblPos val="nextTo"/>
        <c:crossAx val="157160192"/>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Efficiency</a:t>
            </a:r>
          </a:p>
        </c:rich>
      </c:tx>
      <c:overlay val="0"/>
    </c:title>
    <c:autoTitleDeleted val="0"/>
    <c:plotArea>
      <c:layout/>
      <c:scatterChart>
        <c:scatterStyle val="smoothMarker"/>
        <c:varyColors val="0"/>
        <c:ser>
          <c:idx val="0"/>
          <c:order val="0"/>
          <c:tx>
            <c:v>Eff</c:v>
          </c:tx>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Eff_vs_IOUT!$AT$7:$AT$157</c:f>
              <c:numCache>
                <c:formatCode>General</c:formatCode>
                <c:ptCount val="151"/>
                <c:pt idx="0">
                  <c:v>0</c:v>
                </c:pt>
                <c:pt idx="1">
                  <c:v>4.947489794056616</c:v>
                </c:pt>
                <c:pt idx="2">
                  <c:v>9.4182881630669009</c:v>
                </c:pt>
                <c:pt idx="3">
                  <c:v>13.477534222742602</c:v>
                </c:pt>
                <c:pt idx="4">
                  <c:v>17.179154107833437</c:v>
                </c:pt>
                <c:pt idx="5">
                  <c:v>20.568106866488524</c:v>
                </c:pt>
                <c:pt idx="6">
                  <c:v>23.682153219887478</c:v>
                </c:pt>
                <c:pt idx="7">
                  <c:v>26.553231279140029</c:v>
                </c:pt>
                <c:pt idx="8">
                  <c:v>29.20853203596424</c:v>
                </c:pt>
                <c:pt idx="9">
                  <c:v>31.671346659174709</c:v>
                </c:pt>
                <c:pt idx="10">
                  <c:v>33.961739460692236</c:v>
                </c:pt>
                <c:pt idx="11">
                  <c:v>36.097086666683978</c:v>
                </c:pt>
                <c:pt idx="12">
                  <c:v>38.092511042364592</c:v>
                </c:pt>
                <c:pt idx="13">
                  <c:v>39.961235031845646</c:v>
                </c:pt>
                <c:pt idx="14">
                  <c:v>41.714869641597765</c:v>
                </c:pt>
                <c:pt idx="15">
                  <c:v>43.363652272847951</c:v>
                </c:pt>
                <c:pt idx="16">
                  <c:v>44.916643705376593</c:v>
                </c:pt>
                <c:pt idx="17">
                  <c:v>46.381892175755482</c:v>
                </c:pt>
                <c:pt idx="18">
                  <c:v>47.766570779409776</c:v>
                </c:pt>
                <c:pt idx="19">
                  <c:v>49.07709311606466</c:v>
                </c:pt>
                <c:pt idx="20">
                  <c:v>50.31921108950975</c:v>
                </c:pt>
                <c:pt idx="21">
                  <c:v>51.498097990370262</c:v>
                </c:pt>
                <c:pt idx="22">
                  <c:v>52.618419379770565</c:v>
                </c:pt>
                <c:pt idx="23">
                  <c:v>53.684393811737188</c:v>
                </c:pt>
                <c:pt idx="24">
                  <c:v>54.699845052588422</c:v>
                </c:pt>
                <c:pt idx="25">
                  <c:v>55.668247153607751</c:v>
                </c:pt>
                <c:pt idx="26">
                  <c:v>56.592763491767109</c:v>
                </c:pt>
                <c:pt idx="27">
                  <c:v>57.476280699026006</c:v>
                </c:pt>
                <c:pt idx="28">
                  <c:v>58.321438243725801</c:v>
                </c:pt>
                <c:pt idx="29">
                  <c:v>59.130654300066745</c:v>
                </c:pt>
                <c:pt idx="30">
                  <c:v>59.906148437581876</c:v>
                </c:pt>
                <c:pt idx="31">
                  <c:v>60.649961577210895</c:v>
                </c:pt>
                <c:pt idx="32">
                  <c:v>61.363973590347356</c:v>
                </c:pt>
                <c:pt idx="33">
                  <c:v>62.049918859180572</c:v>
                </c:pt>
                <c:pt idx="34">
                  <c:v>62.709400068478715</c:v>
                </c:pt>
                <c:pt idx="35">
                  <c:v>63.343900458830063</c:v>
                </c:pt>
                <c:pt idx="36">
                  <c:v>63.95479473781139</c:v>
                </c:pt>
                <c:pt idx="37">
                  <c:v>64.543358817406627</c:v>
                </c:pt>
                <c:pt idx="38">
                  <c:v>65.110778522308692</c:v>
                </c:pt>
                <c:pt idx="39">
                  <c:v>65.658157393730889</c:v>
                </c:pt>
                <c:pt idx="40">
                  <c:v>66.186523696406866</c:v>
                </c:pt>
                <c:pt idx="41">
                  <c:v>66.696836722059444</c:v>
                </c:pt>
                <c:pt idx="42">
                  <c:v>67.189992470349395</c:v>
                </c:pt>
                <c:pt idx="43">
                  <c:v>67.666828777830702</c:v>
                </c:pt>
                <c:pt idx="44">
                  <c:v>68.128129956457599</c:v>
                </c:pt>
                <c:pt idx="45">
                  <c:v>68.574630995471466</c:v>
                </c:pt>
                <c:pt idx="46">
                  <c:v>69.007021373851572</c:v>
                </c:pt>
                <c:pt idx="47">
                  <c:v>69.425948524776942</c:v>
                </c:pt>
                <c:pt idx="48">
                  <c:v>69.832020988582542</c:v>
                </c:pt>
                <c:pt idx="49">
                  <c:v>70.225811286388478</c:v>
                </c:pt>
                <c:pt idx="50">
                  <c:v>70.607858542837803</c:v>
                </c:pt>
                <c:pt idx="51">
                  <c:v>70.978670883120074</c:v>
                </c:pt>
                <c:pt idx="52">
                  <c:v>71.338727626610805</c:v>
                </c:pt>
                <c:pt idx="53">
                  <c:v>71.688481296969869</c:v>
                </c:pt>
                <c:pt idx="54">
                  <c:v>72.028359466359589</c:v>
                </c:pt>
                <c:pt idx="55">
                  <c:v>72.358766449528304</c:v>
                </c:pt>
                <c:pt idx="56">
                  <c:v>72.680084861821115</c:v>
                </c:pt>
                <c:pt idx="57">
                  <c:v>72.992677053694138</c:v>
                </c:pt>
                <c:pt idx="58">
                  <c:v>73.296886432998349</c:v>
                </c:pt>
                <c:pt idx="59">
                  <c:v>73.593038685139803</c:v>
                </c:pt>
                <c:pt idx="60">
                  <c:v>73.881442900196845</c:v>
                </c:pt>
                <c:pt idx="61">
                  <c:v>74.16239261516354</c:v>
                </c:pt>
                <c:pt idx="62">
                  <c:v>74.436166778679677</c:v>
                </c:pt>
                <c:pt idx="63">
                  <c:v>74.703030644887207</c:v>
                </c:pt>
                <c:pt idx="64">
                  <c:v>74.963236602411257</c:v>
                </c:pt>
                <c:pt idx="65">
                  <c:v>75.217024943890308</c:v>
                </c:pt>
                <c:pt idx="66">
                  <c:v>75.464624580968987</c:v>
                </c:pt>
                <c:pt idx="67">
                  <c:v>75.706253709207317</c:v>
                </c:pt>
                <c:pt idx="68">
                  <c:v>75.942120426950595</c:v>
                </c:pt>
                <c:pt idx="69">
                  <c:v>76.172423311834208</c:v>
                </c:pt>
                <c:pt idx="70">
                  <c:v>76.397351958267379</c:v>
                </c:pt>
                <c:pt idx="71">
                  <c:v>76.617087478941144</c:v>
                </c:pt>
                <c:pt idx="72">
                  <c:v>76.831802973137371</c:v>
                </c:pt>
                <c:pt idx="73">
                  <c:v>77.041663964373441</c:v>
                </c:pt>
                <c:pt idx="74">
                  <c:v>77.24682880969911</c:v>
                </c:pt>
                <c:pt idx="75">
                  <c:v>77.447449082762944</c:v>
                </c:pt>
                <c:pt idx="76">
                  <c:v>77.643669932588622</c:v>
                </c:pt>
                <c:pt idx="77">
                  <c:v>77.835630419837614</c:v>
                </c:pt>
                <c:pt idx="78">
                  <c:v>78.023463832189151</c:v>
                </c:pt>
                <c:pt idx="79">
                  <c:v>78.207297980333465</c:v>
                </c:pt>
                <c:pt idx="80">
                  <c:v>78.387255475954703</c:v>
                </c:pt>
                <c:pt idx="81">
                  <c:v>78.563453992967553</c:v>
                </c:pt>
                <c:pt idx="82">
                  <c:v>78.736006513173024</c:v>
                </c:pt>
                <c:pt idx="83">
                  <c:v>78.905021557405831</c:v>
                </c:pt>
                <c:pt idx="84">
                  <c:v>79.070603403162892</c:v>
                </c:pt>
                <c:pt idx="85">
                  <c:v>79.232852289626052</c:v>
                </c:pt>
                <c:pt idx="86">
                  <c:v>79.391864610922156</c:v>
                </c:pt>
                <c:pt idx="87">
                  <c:v>79.547733098399945</c:v>
                </c:pt>
                <c:pt idx="88">
                  <c:v>79.700546992644888</c:v>
                </c:pt>
                <c:pt idx="89">
                  <c:v>79.850392205899141</c:v>
                </c:pt>
                <c:pt idx="90">
                  <c:v>79.997351475504928</c:v>
                </c:pt>
                <c:pt idx="91">
                  <c:v>80.141504508944905</c:v>
                </c:pt>
                <c:pt idx="92">
                  <c:v>80.282928121010698</c:v>
                </c:pt>
                <c:pt idx="93">
                  <c:v>80.421696363593554</c:v>
                </c:pt>
                <c:pt idx="94">
                  <c:v>80.557880648555852</c:v>
                </c:pt>
                <c:pt idx="95">
                  <c:v>80.691549864109376</c:v>
                </c:pt>
                <c:pt idx="96">
                  <c:v>80.822770485097337</c:v>
                </c:pt>
                <c:pt idx="97">
                  <c:v>80.951606677549108</c:v>
                </c:pt>
                <c:pt idx="98">
                  <c:v>81.078120397851379</c:v>
                </c:pt>
                <c:pt idx="99">
                  <c:v>81.202371486856364</c:v>
                </c:pt>
                <c:pt idx="100">
                  <c:v>81.324417759225966</c:v>
                </c:pt>
                <c:pt idx="101">
                  <c:v>81.444315088290395</c:v>
                </c:pt>
                <c:pt idx="102">
                  <c:v>81.562117486682027</c:v>
                </c:pt>
                <c:pt idx="103">
                  <c:v>81.67787718298743</c:v>
                </c:pt>
                <c:pt idx="104">
                  <c:v>81.7916446946452</c:v>
                </c:pt>
                <c:pt idx="105">
                  <c:v>81.903468897301892</c:v>
                </c:pt>
                <c:pt idx="106">
                  <c:v>82.013397090825663</c:v>
                </c:pt>
                <c:pt idx="107">
                  <c:v>82.121475062163199</c:v>
                </c:pt>
                <c:pt idx="108">
                  <c:v>82.227747145215091</c:v>
                </c:pt>
                <c:pt idx="109">
                  <c:v>82.332256277893094</c:v>
                </c:pt>
                <c:pt idx="110">
                  <c:v>82.435044056512581</c:v>
                </c:pt>
                <c:pt idx="111">
                  <c:v>82.536150787664383</c:v>
                </c:pt>
                <c:pt idx="112">
                  <c:v>82.635615537700986</c:v>
                </c:pt>
                <c:pt idx="113">
                  <c:v>82.733476179964171</c:v>
                </c:pt>
                <c:pt idx="114">
                  <c:v>82.829769439873274</c:v>
                </c:pt>
                <c:pt idx="115">
                  <c:v>82.924530937986262</c:v>
                </c:pt>
                <c:pt idx="116">
                  <c:v>83.017795231139075</c:v>
                </c:pt>
                <c:pt idx="117">
                  <c:v>83.109595851762492</c:v>
                </c:pt>
                <c:pt idx="118">
                  <c:v>83.199965345469934</c:v>
                </c:pt>
                <c:pt idx="119">
                  <c:v>83.288935307004337</c:v>
                </c:pt>
                <c:pt idx="120">
                  <c:v>83.376536414626784</c:v>
                </c:pt>
                <c:pt idx="121">
                  <c:v>83.46279846302528</c:v>
                </c:pt>
                <c:pt idx="122">
                  <c:v>83.547750394817314</c:v>
                </c:pt>
                <c:pt idx="123">
                  <c:v>83.631420330715756</c:v>
                </c:pt>
                <c:pt idx="124">
                  <c:v>83.713835598423813</c:v>
                </c:pt>
                <c:pt idx="125">
                  <c:v>83.79502276032089</c:v>
                </c:pt>
                <c:pt idx="126">
                  <c:v>83.875007639998103</c:v>
                </c:pt>
                <c:pt idx="127">
                  <c:v>83.953815347698651</c:v>
                </c:pt>
                <c:pt idx="128">
                  <c:v>84.031470304715597</c:v>
                </c:pt>
                <c:pt idx="129">
                  <c:v>84.107996266796022</c:v>
                </c:pt>
                <c:pt idx="130">
                  <c:v>84.183416346599245</c:v>
                </c:pt>
                <c:pt idx="131">
                  <c:v>84.257753035252421</c:v>
                </c:pt>
                <c:pt idx="132">
                  <c:v>84.331028223046388</c:v>
                </c:pt>
                <c:pt idx="133">
                  <c:v>84.403263219310801</c:v>
                </c:pt>
                <c:pt idx="134">
                  <c:v>84.474478771506796</c:v>
                </c:pt>
                <c:pt idx="135">
                  <c:v>84.544695083572392</c:v>
                </c:pt>
                <c:pt idx="136">
                  <c:v>84.613931833554815</c:v>
                </c:pt>
                <c:pt idx="137">
                  <c:v>84.682208190561809</c:v>
                </c:pt>
                <c:pt idx="138">
                  <c:v>84.749542831062215</c:v>
                </c:pt>
                <c:pt idx="139">
                  <c:v>84.815953954564989</c:v>
                </c:pt>
                <c:pt idx="140">
                  <c:v>84.881459298704016</c:v>
                </c:pt>
                <c:pt idx="141">
                  <c:v>84.946076153754618</c:v>
                </c:pt>
                <c:pt idx="142">
                  <c:v>85.009821376607078</c:v>
                </c:pt>
                <c:pt idx="143">
                  <c:v>85.072711404220016</c:v>
                </c:pt>
                <c:pt idx="144">
                  <c:v>85.134762266576672</c:v>
                </c:pt>
                <c:pt idx="145">
                  <c:v>85.19598959916496</c:v>
                </c:pt>
                <c:pt idx="146">
                  <c:v>85.256408655001863</c:v>
                </c:pt>
                <c:pt idx="147">
                  <c:v>85.316034316221092</c:v>
                </c:pt>
                <c:pt idx="148">
                  <c:v>85.374881105242864</c:v>
                </c:pt>
                <c:pt idx="149">
                  <c:v>85.432963195542797</c:v>
                </c:pt>
                <c:pt idx="150">
                  <c:v>85.490294422036968</c:v>
                </c:pt>
              </c:numCache>
            </c:numRef>
          </c:yVal>
          <c:smooth val="0"/>
          <c:extLst>
            <c:ext xmlns:c16="http://schemas.microsoft.com/office/drawing/2014/chart" uri="{C3380CC4-5D6E-409C-BE32-E72D297353CC}">
              <c16:uniqueId val="{00000000-8AEF-4CD2-9E91-5056CF00EB36}"/>
            </c:ext>
          </c:extLst>
        </c:ser>
        <c:dLbls>
          <c:showLegendKey val="0"/>
          <c:showVal val="0"/>
          <c:showCatName val="0"/>
          <c:showSerName val="0"/>
          <c:showPercent val="0"/>
          <c:showBubbleSize val="0"/>
        </c:dLbls>
        <c:axId val="145036800"/>
        <c:axId val="145038336"/>
      </c:scatterChart>
      <c:scatterChart>
        <c:scatterStyle val="smoothMarker"/>
        <c:varyColors val="0"/>
        <c:ser>
          <c:idx val="1"/>
          <c:order val="1"/>
          <c:tx>
            <c:v>MOSFET</c:v>
          </c:tx>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Eff_vs_IOUT!$AI$7:$AI$157</c:f>
              <c:numCache>
                <c:formatCode>General</c:formatCode>
                <c:ptCount val="151"/>
                <c:pt idx="0">
                  <c:v>0</c:v>
                </c:pt>
                <c:pt idx="1">
                  <c:v>2.3632356010522566E-4</c:v>
                </c:pt>
                <c:pt idx="2">
                  <c:v>4.8940064382793375E-4</c:v>
                </c:pt>
                <c:pt idx="3">
                  <c:v>7.5338411196505632E-4</c:v>
                </c:pt>
                <c:pt idx="4">
                  <c:v>1.0261874082906307E-3</c:v>
                </c:pt>
                <c:pt idx="5">
                  <c:v>1.3066046185289852E-3</c:v>
                </c:pt>
                <c:pt idx="6">
                  <c:v>1.5938220862639666E-3</c:v>
                </c:pt>
                <c:pt idx="7">
                  <c:v>1.8872424856226824E-3</c:v>
                </c:pt>
                <c:pt idx="8">
                  <c:v>2.1864030055211208E-3</c:v>
                </c:pt>
                <c:pt idx="9">
                  <c:v>2.4909312963608075E-3</c:v>
                </c:pt>
                <c:pt idx="10">
                  <c:v>2.8005193254146644E-3</c:v>
                </c:pt>
                <c:pt idx="11">
                  <c:v>3.1149067358153121E-3</c:v>
                </c:pt>
                <c:pt idx="12">
                  <c:v>3.4338696780669272E-3</c:v>
                </c:pt>
                <c:pt idx="13">
                  <c:v>3.7572129957056341E-3</c:v>
                </c:pt>
                <c:pt idx="14">
                  <c:v>4.0847645707767048E-3</c:v>
                </c:pt>
                <c:pt idx="15">
                  <c:v>4.4163711169972197E-3</c:v>
                </c:pt>
                <c:pt idx="16">
                  <c:v>4.7518949761203473E-3</c:v>
                </c:pt>
                <c:pt idx="17">
                  <c:v>5.0912116292927568E-3</c:v>
                </c:pt>
                <c:pt idx="18">
                  <c:v>5.4342077303936396E-3</c:v>
                </c:pt>
                <c:pt idx="19">
                  <c:v>5.7807795284614029E-3</c:v>
                </c:pt>
                <c:pt idx="20">
                  <c:v>6.1308315854760095E-3</c:v>
                </c:pt>
                <c:pt idx="21">
                  <c:v>6.484275721974608E-3</c:v>
                </c:pt>
                <c:pt idx="22">
                  <c:v>6.84103014094164E-3</c:v>
                </c:pt>
                <c:pt idx="23">
                  <c:v>7.2010186929883022E-3</c:v>
                </c:pt>
                <c:pt idx="24">
                  <c:v>7.5641702548046863E-3</c:v>
                </c:pt>
                <c:pt idx="25">
                  <c:v>7.9304181993738419E-3</c:v>
                </c:pt>
                <c:pt idx="26">
                  <c:v>8.299699941229156E-3</c:v>
                </c:pt>
                <c:pt idx="27">
                  <c:v>8.6719565436156627E-3</c:v>
                </c:pt>
                <c:pt idx="28">
                  <c:v>9.0471323771232365E-3</c:v>
                </c:pt>
                <c:pt idx="29">
                  <c:v>9.4251748214312162E-3</c:v>
                </c:pt>
                <c:pt idx="30">
                  <c:v>9.8060340034064712E-3</c:v>
                </c:pt>
                <c:pt idx="31">
                  <c:v>1.0189662566048217E-2</c:v>
                </c:pt>
                <c:pt idx="32">
                  <c:v>1.0576015463759572E-2</c:v>
                </c:pt>
                <c:pt idx="33">
                  <c:v>1.0965049780209894E-2</c:v>
                </c:pt>
                <c:pt idx="34">
                  <c:v>1.1356724565680237E-2</c:v>
                </c:pt>
                <c:pt idx="35">
                  <c:v>1.1751000691291365E-2</c:v>
                </c:pt>
                <c:pt idx="36">
                  <c:v>1.2147840717925887E-2</c:v>
                </c:pt>
                <c:pt idx="37">
                  <c:v>1.2547208777993091E-2</c:v>
                </c:pt>
                <c:pt idx="38">
                  <c:v>1.2949070468462536E-2</c:v>
                </c:pt>
                <c:pt idx="39">
                  <c:v>1.3353392753821886E-2</c:v>
                </c:pt>
                <c:pt idx="40">
                  <c:v>1.3760143877805574E-2</c:v>
                </c:pt>
                <c:pt idx="41">
                  <c:v>1.4169293282900678E-2</c:v>
                </c:pt>
                <c:pt idx="42">
                  <c:v>1.4580811536770433E-2</c:v>
                </c:pt>
                <c:pt idx="43">
                  <c:v>1.49946702648493E-2</c:v>
                </c:pt>
                <c:pt idx="44">
                  <c:v>1.5410842088459581E-2</c:v>
                </c:pt>
                <c:pt idx="45">
                  <c:v>1.5829300567881184E-2</c:v>
                </c:pt>
                <c:pt idx="46">
                  <c:v>1.6250020149876192E-2</c:v>
                </c:pt>
                <c:pt idx="47">
                  <c:v>1.6672976119229899E-2</c:v>
                </c:pt>
                <c:pt idx="48">
                  <c:v>1.7098144553921321E-2</c:v>
                </c:pt>
                <c:pt idx="49">
                  <c:v>1.7525502283581067E-2</c:v>
                </c:pt>
                <c:pt idx="50">
                  <c:v>1.7955026850932986E-2</c:v>
                </c:pt>
                <c:pt idx="51">
                  <c:v>1.8386696475949482E-2</c:v>
                </c:pt>
                <c:pt idx="52">
                  <c:v>1.8820490022479805E-2</c:v>
                </c:pt>
                <c:pt idx="53">
                  <c:v>1.9256386967136239E-2</c:v>
                </c:pt>
                <c:pt idx="54">
                  <c:v>1.9694367370245387E-2</c:v>
                </c:pt>
                <c:pt idx="55">
                  <c:v>2.0134411848691622E-2</c:v>
                </c:pt>
                <c:pt idx="56">
                  <c:v>2.0576501550497193E-2</c:v>
                </c:pt>
                <c:pt idx="57">
                  <c:v>2.1020618130998626E-2</c:v>
                </c:pt>
                <c:pt idx="58">
                  <c:v>2.1466743730492961E-2</c:v>
                </c:pt>
                <c:pt idx="59">
                  <c:v>2.1914860953239024E-2</c:v>
                </c:pt>
                <c:pt idx="60">
                  <c:v>2.2364952847710146E-2</c:v>
                </c:pt>
                <c:pt idx="61">
                  <c:v>2.2817002888003902E-2</c:v>
                </c:pt>
                <c:pt idx="62">
                  <c:v>2.3270994956323177E-2</c:v>
                </c:pt>
                <c:pt idx="63">
                  <c:v>2.3726913326450421E-2</c:v>
                </c:pt>
                <c:pt idx="64">
                  <c:v>2.4184742648143989E-2</c:v>
                </c:pt>
                <c:pt idx="65">
                  <c:v>2.4644467932391209E-2</c:v>
                </c:pt>
                <c:pt idx="66">
                  <c:v>2.5106074537458896E-2</c:v>
                </c:pt>
                <c:pt idx="67">
                  <c:v>2.5569548155686541E-2</c:v>
                </c:pt>
                <c:pt idx="68">
                  <c:v>2.6034874800972087E-2</c:v>
                </c:pt>
                <c:pt idx="69">
                  <c:v>2.6502040796904436E-2</c:v>
                </c:pt>
                <c:pt idx="70">
                  <c:v>2.6971032765500176E-2</c:v>
                </c:pt>
                <c:pt idx="71">
                  <c:v>2.7441837616505559E-2</c:v>
                </c:pt>
                <c:pt idx="72">
                  <c:v>2.7914442537227975E-2</c:v>
                </c:pt>
                <c:pt idx="73">
                  <c:v>2.8388834982863341E-2</c:v>
                </c:pt>
                <c:pt idx="74">
                  <c:v>2.8865002667289051E-2</c:v>
                </c:pt>
                <c:pt idx="75">
                  <c:v>2.9342933554293946E-2</c:v>
                </c:pt>
                <c:pt idx="76">
                  <c:v>2.9822615849218914E-2</c:v>
                </c:pt>
                <c:pt idx="77">
                  <c:v>3.0304037990983891E-2</c:v>
                </c:pt>
                <c:pt idx="78">
                  <c:v>3.0787188644478387E-2</c:v>
                </c:pt>
                <c:pt idx="79">
                  <c:v>3.127205669329481E-2</c:v>
                </c:pt>
                <c:pt idx="80">
                  <c:v>3.1758631232784586E-2</c:v>
                </c:pt>
                <c:pt idx="81">
                  <c:v>3.2246901563419209E-2</c:v>
                </c:pt>
                <c:pt idx="82">
                  <c:v>3.2736857184439069E-2</c:v>
                </c:pt>
                <c:pt idx="83">
                  <c:v>3.3228487787774215E-2</c:v>
                </c:pt>
                <c:pt idx="84">
                  <c:v>3.37217832522222E-2</c:v>
                </c:pt>
                <c:pt idx="85">
                  <c:v>3.4216733637869506E-2</c:v>
                </c:pt>
                <c:pt idx="86">
                  <c:v>3.4713329180743144E-2</c:v>
                </c:pt>
                <c:pt idx="87">
                  <c:v>3.5211560287680688E-2</c:v>
                </c:pt>
                <c:pt idx="88">
                  <c:v>3.5711417531407288E-2</c:v>
                </c:pt>
                <c:pt idx="89">
                  <c:v>3.6212891645809105E-2</c:v>
                </c:pt>
                <c:pt idx="90">
                  <c:v>3.6715973521393108E-2</c:v>
                </c:pt>
                <c:pt idx="91">
                  <c:v>3.7220654200924005E-2</c:v>
                </c:pt>
                <c:pt idx="92">
                  <c:v>3.7726924875229412E-2</c:v>
                </c:pt>
                <c:pt idx="93">
                  <c:v>3.8234776879165093E-2</c:v>
                </c:pt>
                <c:pt idx="94">
                  <c:v>3.8744201687732488E-2</c:v>
                </c:pt>
                <c:pt idx="95">
                  <c:v>3.9255190912341142E-2</c:v>
                </c:pt>
                <c:pt idx="96">
                  <c:v>3.9767736297209297E-2</c:v>
                </c:pt>
                <c:pt idx="97">
                  <c:v>4.0281829715895973E-2</c:v>
                </c:pt>
                <c:pt idx="98">
                  <c:v>4.0797463167958611E-2</c:v>
                </c:pt>
                <c:pt idx="99">
                  <c:v>4.1314628775730305E-2</c:v>
                </c:pt>
                <c:pt idx="100">
                  <c:v>4.1833318781211368E-2</c:v>
                </c:pt>
                <c:pt idx="101">
                  <c:v>4.2353525543069953E-2</c:v>
                </c:pt>
                <c:pt idx="102">
                  <c:v>4.2875241533746757E-2</c:v>
                </c:pt>
                <c:pt idx="103">
                  <c:v>4.3398459336659548E-2</c:v>
                </c:pt>
                <c:pt idx="104">
                  <c:v>4.3923171643502706E-2</c:v>
                </c:pt>
                <c:pt idx="105">
                  <c:v>4.4449371251638038E-2</c:v>
                </c:pt>
                <c:pt idx="106">
                  <c:v>4.4977051061572682E-2</c:v>
                </c:pt>
                <c:pt idx="107">
                  <c:v>4.5506204074520537E-2</c:v>
                </c:pt>
                <c:pt idx="108">
                  <c:v>4.6036823390043585E-2</c:v>
                </c:pt>
                <c:pt idx="109">
                  <c:v>4.6568902203769996E-2</c:v>
                </c:pt>
                <c:pt idx="110">
                  <c:v>4.7102433805185459E-2</c:v>
                </c:pt>
                <c:pt idx="111">
                  <c:v>4.7637411575495087E-2</c:v>
                </c:pt>
                <c:pt idx="112">
                  <c:v>4.8173828985553002E-2</c:v>
                </c:pt>
                <c:pt idx="113">
                  <c:v>4.8711679593856437E-2</c:v>
                </c:pt>
                <c:pt idx="114">
                  <c:v>4.9250957044602521E-2</c:v>
                </c:pt>
                <c:pt idx="115">
                  <c:v>4.9791655065804512E-2</c:v>
                </c:pt>
                <c:pt idx="116">
                  <c:v>5.0333767467465679E-2</c:v>
                </c:pt>
                <c:pt idx="117">
                  <c:v>5.0877288139808408E-2</c:v>
                </c:pt>
                <c:pt idx="118">
                  <c:v>5.1422211051556282E-2</c:v>
                </c:pt>
                <c:pt idx="119">
                  <c:v>5.1968530248267378E-2</c:v>
                </c:pt>
                <c:pt idx="120">
                  <c:v>5.2516239850716531E-2</c:v>
                </c:pt>
                <c:pt idx="121">
                  <c:v>5.3065334053325038E-2</c:v>
                </c:pt>
                <c:pt idx="122">
                  <c:v>5.3615807122635736E-2</c:v>
                </c:pt>
                <c:pt idx="123">
                  <c:v>5.4167653395832085E-2</c:v>
                </c:pt>
                <c:pt idx="124">
                  <c:v>5.4720867279299312E-2</c:v>
                </c:pt>
                <c:pt idx="125">
                  <c:v>5.5275443247226358E-2</c:v>
                </c:pt>
                <c:pt idx="126">
                  <c:v>5.583137584024702E-2</c:v>
                </c:pt>
                <c:pt idx="127">
                  <c:v>5.6388659664118941E-2</c:v>
                </c:pt>
                <c:pt idx="128">
                  <c:v>5.6947289388438981E-2</c:v>
                </c:pt>
                <c:pt idx="129">
                  <c:v>5.7507259745393946E-2</c:v>
                </c:pt>
                <c:pt idx="130">
                  <c:v>5.8068565528545182E-2</c:v>
                </c:pt>
                <c:pt idx="131">
                  <c:v>5.8631201591645921E-2</c:v>
                </c:pt>
                <c:pt idx="132">
                  <c:v>5.9195162847490393E-2</c:v>
                </c:pt>
                <c:pt idx="133">
                  <c:v>5.9760444266793361E-2</c:v>
                </c:pt>
                <c:pt idx="134">
                  <c:v>6.0327040877099447E-2</c:v>
                </c:pt>
                <c:pt idx="135">
                  <c:v>6.0894947761720671E-2</c:v>
                </c:pt>
                <c:pt idx="136">
                  <c:v>6.146416005870195E-2</c:v>
                </c:pt>
                <c:pt idx="137">
                  <c:v>6.2034672959812916E-2</c:v>
                </c:pt>
                <c:pt idx="138">
                  <c:v>6.26064817095658E-2</c:v>
                </c:pt>
                <c:pt idx="139">
                  <c:v>6.3179581604258184E-2</c:v>
                </c:pt>
                <c:pt idx="140">
                  <c:v>6.3753967991039828E-2</c:v>
                </c:pt>
                <c:pt idx="141">
                  <c:v>6.4329636267002971E-2</c:v>
                </c:pt>
                <c:pt idx="142">
                  <c:v>6.4906581878295275E-2</c:v>
                </c:pt>
                <c:pt idx="143">
                  <c:v>6.5484800319254549E-2</c:v>
                </c:pt>
                <c:pt idx="144">
                  <c:v>6.6064287131564814E-2</c:v>
                </c:pt>
                <c:pt idx="145">
                  <c:v>6.6645037903432736E-2</c:v>
                </c:pt>
                <c:pt idx="146">
                  <c:v>6.7227048268784256E-2</c:v>
                </c:pt>
                <c:pt idx="147">
                  <c:v>6.7810313906480346E-2</c:v>
                </c:pt>
                <c:pt idx="148">
                  <c:v>6.8394830539551268E-2</c:v>
                </c:pt>
                <c:pt idx="149">
                  <c:v>6.8980593934449497E-2</c:v>
                </c:pt>
                <c:pt idx="150">
                  <c:v>6.956759990031966E-2</c:v>
                </c:pt>
              </c:numCache>
            </c:numRef>
          </c:yVal>
          <c:smooth val="1"/>
          <c:extLst>
            <c:ext xmlns:c16="http://schemas.microsoft.com/office/drawing/2014/chart" uri="{C3380CC4-5D6E-409C-BE32-E72D297353CC}">
              <c16:uniqueId val="{00000001-8AEF-4CD2-9E91-5056CF00EB36}"/>
            </c:ext>
          </c:extLst>
        </c:ser>
        <c:ser>
          <c:idx val="2"/>
          <c:order val="2"/>
          <c:tx>
            <c:v>Diode</c:v>
          </c:tx>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Eff_vs_IOUT!$AN$7:$AN$157</c:f>
              <c:numCache>
                <c:formatCode>General</c:formatCode>
                <c:ptCount val="151"/>
                <c:pt idx="0">
                  <c:v>0.29622500000000002</c:v>
                </c:pt>
                <c:pt idx="1">
                  <c:v>0.29635</c:v>
                </c:pt>
                <c:pt idx="2">
                  <c:v>0.29647499999999999</c:v>
                </c:pt>
                <c:pt idx="3">
                  <c:v>0.29660000000000003</c:v>
                </c:pt>
                <c:pt idx="4">
                  <c:v>0.29672500000000002</c:v>
                </c:pt>
                <c:pt idx="5">
                  <c:v>0.29685</c:v>
                </c:pt>
                <c:pt idx="6">
                  <c:v>0.29697499999999999</c:v>
                </c:pt>
                <c:pt idx="7">
                  <c:v>0.29710000000000003</c:v>
                </c:pt>
                <c:pt idx="8">
                  <c:v>0.29722500000000002</c:v>
                </c:pt>
                <c:pt idx="9">
                  <c:v>0.29735</c:v>
                </c:pt>
                <c:pt idx="10">
                  <c:v>0.29747499999999999</c:v>
                </c:pt>
                <c:pt idx="11">
                  <c:v>0.29760000000000003</c:v>
                </c:pt>
                <c:pt idx="12">
                  <c:v>0.29772500000000002</c:v>
                </c:pt>
                <c:pt idx="13">
                  <c:v>0.29785</c:v>
                </c:pt>
                <c:pt idx="14">
                  <c:v>0.29797499999999999</c:v>
                </c:pt>
                <c:pt idx="15">
                  <c:v>0.29810000000000003</c:v>
                </c:pt>
                <c:pt idx="16">
                  <c:v>0.29822500000000002</c:v>
                </c:pt>
                <c:pt idx="17">
                  <c:v>0.29835</c:v>
                </c:pt>
                <c:pt idx="18">
                  <c:v>0.29847499999999999</c:v>
                </c:pt>
                <c:pt idx="19">
                  <c:v>0.29860000000000003</c:v>
                </c:pt>
                <c:pt idx="20">
                  <c:v>0.29872500000000002</c:v>
                </c:pt>
                <c:pt idx="21">
                  <c:v>0.29885</c:v>
                </c:pt>
                <c:pt idx="22">
                  <c:v>0.29897499999999999</c:v>
                </c:pt>
                <c:pt idx="23">
                  <c:v>0.29910000000000003</c:v>
                </c:pt>
                <c:pt idx="24">
                  <c:v>0.29922500000000002</c:v>
                </c:pt>
                <c:pt idx="25">
                  <c:v>0.29935</c:v>
                </c:pt>
                <c:pt idx="26">
                  <c:v>0.29947499999999999</c:v>
                </c:pt>
                <c:pt idx="27">
                  <c:v>0.29960000000000003</c:v>
                </c:pt>
                <c:pt idx="28">
                  <c:v>0.29972500000000002</c:v>
                </c:pt>
                <c:pt idx="29">
                  <c:v>0.29985000000000001</c:v>
                </c:pt>
                <c:pt idx="30">
                  <c:v>0.29997499999999999</c:v>
                </c:pt>
                <c:pt idx="31">
                  <c:v>0.30010000000000003</c:v>
                </c:pt>
                <c:pt idx="32">
                  <c:v>0.30022500000000002</c:v>
                </c:pt>
                <c:pt idx="33">
                  <c:v>0.30035000000000001</c:v>
                </c:pt>
                <c:pt idx="34">
                  <c:v>0.30047499999999999</c:v>
                </c:pt>
                <c:pt idx="35">
                  <c:v>0.30060000000000003</c:v>
                </c:pt>
                <c:pt idx="36">
                  <c:v>0.30072500000000002</c:v>
                </c:pt>
                <c:pt idx="37">
                  <c:v>0.30085000000000001</c:v>
                </c:pt>
                <c:pt idx="38">
                  <c:v>0.30097499999999999</c:v>
                </c:pt>
                <c:pt idx="39">
                  <c:v>0.30110000000000003</c:v>
                </c:pt>
                <c:pt idx="40">
                  <c:v>0.30122500000000002</c:v>
                </c:pt>
                <c:pt idx="41">
                  <c:v>0.30135000000000001</c:v>
                </c:pt>
                <c:pt idx="42">
                  <c:v>0.30147499999999999</c:v>
                </c:pt>
                <c:pt idx="43">
                  <c:v>0.30160000000000003</c:v>
                </c:pt>
                <c:pt idx="44">
                  <c:v>0.30172500000000002</c:v>
                </c:pt>
                <c:pt idx="45">
                  <c:v>0.30185000000000001</c:v>
                </c:pt>
                <c:pt idx="46">
                  <c:v>0.30197499999999999</c:v>
                </c:pt>
                <c:pt idx="47">
                  <c:v>0.30210000000000004</c:v>
                </c:pt>
                <c:pt idx="48">
                  <c:v>0.30222500000000002</c:v>
                </c:pt>
                <c:pt idx="49">
                  <c:v>0.30235000000000001</c:v>
                </c:pt>
                <c:pt idx="50">
                  <c:v>0.30247499999999999</c:v>
                </c:pt>
                <c:pt idx="51">
                  <c:v>0.30260000000000004</c:v>
                </c:pt>
                <c:pt idx="52">
                  <c:v>0.30272500000000002</c:v>
                </c:pt>
                <c:pt idx="53">
                  <c:v>0.30285000000000001</c:v>
                </c:pt>
                <c:pt idx="54">
                  <c:v>0.30297499999999999</c:v>
                </c:pt>
                <c:pt idx="55">
                  <c:v>0.30310000000000004</c:v>
                </c:pt>
                <c:pt idx="56">
                  <c:v>0.30322500000000002</c:v>
                </c:pt>
                <c:pt idx="57">
                  <c:v>0.30335000000000001</c:v>
                </c:pt>
                <c:pt idx="58">
                  <c:v>0.30347499999999999</c:v>
                </c:pt>
                <c:pt idx="59">
                  <c:v>0.30360000000000004</c:v>
                </c:pt>
                <c:pt idx="60">
                  <c:v>0.30372500000000002</c:v>
                </c:pt>
                <c:pt idx="61">
                  <c:v>0.30385000000000001</c:v>
                </c:pt>
                <c:pt idx="62">
                  <c:v>0.303975</c:v>
                </c:pt>
                <c:pt idx="63">
                  <c:v>0.30410000000000004</c:v>
                </c:pt>
                <c:pt idx="64">
                  <c:v>0.30422500000000002</c:v>
                </c:pt>
                <c:pt idx="65">
                  <c:v>0.30435000000000001</c:v>
                </c:pt>
                <c:pt idx="66">
                  <c:v>0.304475</c:v>
                </c:pt>
                <c:pt idx="67">
                  <c:v>0.30460000000000004</c:v>
                </c:pt>
                <c:pt idx="68">
                  <c:v>0.30472500000000002</c:v>
                </c:pt>
                <c:pt idx="69">
                  <c:v>0.30485000000000001</c:v>
                </c:pt>
                <c:pt idx="70">
                  <c:v>0.304975</c:v>
                </c:pt>
                <c:pt idx="71">
                  <c:v>0.30510000000000004</c:v>
                </c:pt>
                <c:pt idx="72">
                  <c:v>0.30522500000000002</c:v>
                </c:pt>
                <c:pt idx="73">
                  <c:v>0.30535000000000001</c:v>
                </c:pt>
                <c:pt idx="74">
                  <c:v>0.305475</c:v>
                </c:pt>
                <c:pt idx="75">
                  <c:v>0.30560000000000004</c:v>
                </c:pt>
                <c:pt idx="76">
                  <c:v>0.30572500000000002</c:v>
                </c:pt>
                <c:pt idx="77">
                  <c:v>0.30585000000000001</c:v>
                </c:pt>
                <c:pt idx="78">
                  <c:v>0.305975</c:v>
                </c:pt>
                <c:pt idx="79">
                  <c:v>0.30610000000000004</c:v>
                </c:pt>
                <c:pt idx="80">
                  <c:v>0.30622500000000002</c:v>
                </c:pt>
                <c:pt idx="81">
                  <c:v>0.30635000000000001</c:v>
                </c:pt>
                <c:pt idx="82">
                  <c:v>0.306475</c:v>
                </c:pt>
                <c:pt idx="83">
                  <c:v>0.30660000000000004</c:v>
                </c:pt>
                <c:pt idx="84">
                  <c:v>0.30672500000000003</c:v>
                </c:pt>
                <c:pt idx="85">
                  <c:v>0.30685000000000001</c:v>
                </c:pt>
                <c:pt idx="86">
                  <c:v>0.306975</c:v>
                </c:pt>
                <c:pt idx="87">
                  <c:v>0.30710000000000004</c:v>
                </c:pt>
                <c:pt idx="88">
                  <c:v>0.30722500000000003</c:v>
                </c:pt>
                <c:pt idx="89">
                  <c:v>0.30735000000000001</c:v>
                </c:pt>
                <c:pt idx="90">
                  <c:v>0.307475</c:v>
                </c:pt>
                <c:pt idx="91">
                  <c:v>0.30760000000000004</c:v>
                </c:pt>
                <c:pt idx="92">
                  <c:v>0.30772500000000003</c:v>
                </c:pt>
                <c:pt idx="93">
                  <c:v>0.30785000000000001</c:v>
                </c:pt>
                <c:pt idx="94">
                  <c:v>0.307975</c:v>
                </c:pt>
                <c:pt idx="95">
                  <c:v>0.30810000000000004</c:v>
                </c:pt>
                <c:pt idx="96">
                  <c:v>0.30822500000000003</c:v>
                </c:pt>
                <c:pt idx="97">
                  <c:v>0.30835000000000001</c:v>
                </c:pt>
                <c:pt idx="98">
                  <c:v>0.308475</c:v>
                </c:pt>
                <c:pt idx="99">
                  <c:v>0.30860000000000004</c:v>
                </c:pt>
                <c:pt idx="100">
                  <c:v>0.30872500000000003</c:v>
                </c:pt>
                <c:pt idx="101">
                  <c:v>0.30885000000000001</c:v>
                </c:pt>
                <c:pt idx="102">
                  <c:v>0.308975</c:v>
                </c:pt>
                <c:pt idx="103">
                  <c:v>0.30910000000000004</c:v>
                </c:pt>
                <c:pt idx="104">
                  <c:v>0.30922500000000003</c:v>
                </c:pt>
                <c:pt idx="105">
                  <c:v>0.30935000000000001</c:v>
                </c:pt>
                <c:pt idx="106">
                  <c:v>0.309475</c:v>
                </c:pt>
                <c:pt idx="107">
                  <c:v>0.30960000000000004</c:v>
                </c:pt>
                <c:pt idx="108">
                  <c:v>0.30972500000000003</c:v>
                </c:pt>
                <c:pt idx="109">
                  <c:v>0.30985000000000001</c:v>
                </c:pt>
                <c:pt idx="110">
                  <c:v>0.309975</c:v>
                </c:pt>
                <c:pt idx="111">
                  <c:v>0.31010000000000004</c:v>
                </c:pt>
                <c:pt idx="112">
                  <c:v>0.31022500000000003</c:v>
                </c:pt>
                <c:pt idx="113">
                  <c:v>0.31035000000000001</c:v>
                </c:pt>
                <c:pt idx="114">
                  <c:v>0.310475</c:v>
                </c:pt>
                <c:pt idx="115">
                  <c:v>0.31059999999999999</c:v>
                </c:pt>
                <c:pt idx="116">
                  <c:v>0.31072500000000003</c:v>
                </c:pt>
                <c:pt idx="117">
                  <c:v>0.31085000000000002</c:v>
                </c:pt>
                <c:pt idx="118">
                  <c:v>0.310975</c:v>
                </c:pt>
                <c:pt idx="119">
                  <c:v>0.31110000000000004</c:v>
                </c:pt>
                <c:pt idx="120">
                  <c:v>0.31122500000000003</c:v>
                </c:pt>
                <c:pt idx="121">
                  <c:v>0.31135000000000002</c:v>
                </c:pt>
                <c:pt idx="122">
                  <c:v>0.311475</c:v>
                </c:pt>
                <c:pt idx="123">
                  <c:v>0.31159999999999999</c:v>
                </c:pt>
                <c:pt idx="124">
                  <c:v>0.31172500000000003</c:v>
                </c:pt>
                <c:pt idx="125">
                  <c:v>0.31185000000000002</c:v>
                </c:pt>
                <c:pt idx="126">
                  <c:v>0.311975</c:v>
                </c:pt>
                <c:pt idx="127">
                  <c:v>0.31210000000000004</c:v>
                </c:pt>
                <c:pt idx="128">
                  <c:v>0.31222500000000003</c:v>
                </c:pt>
                <c:pt idx="129">
                  <c:v>0.31235000000000002</c:v>
                </c:pt>
                <c:pt idx="130">
                  <c:v>0.312475</c:v>
                </c:pt>
                <c:pt idx="131">
                  <c:v>0.31259999999999999</c:v>
                </c:pt>
                <c:pt idx="132">
                  <c:v>0.31272500000000003</c:v>
                </c:pt>
                <c:pt idx="133">
                  <c:v>0.31285000000000002</c:v>
                </c:pt>
                <c:pt idx="134">
                  <c:v>0.312975</c:v>
                </c:pt>
                <c:pt idx="135">
                  <c:v>0.31309999999999999</c:v>
                </c:pt>
                <c:pt idx="136">
                  <c:v>0.31322500000000003</c:v>
                </c:pt>
                <c:pt idx="137">
                  <c:v>0.31335000000000002</c:v>
                </c:pt>
                <c:pt idx="138">
                  <c:v>0.313475</c:v>
                </c:pt>
                <c:pt idx="139">
                  <c:v>0.31359999999999999</c:v>
                </c:pt>
                <c:pt idx="140">
                  <c:v>0.31372500000000003</c:v>
                </c:pt>
                <c:pt idx="141">
                  <c:v>0.31385000000000002</c:v>
                </c:pt>
                <c:pt idx="142">
                  <c:v>0.313975</c:v>
                </c:pt>
                <c:pt idx="143">
                  <c:v>0.31409999999999999</c:v>
                </c:pt>
                <c:pt idx="144">
                  <c:v>0.31422500000000003</c:v>
                </c:pt>
                <c:pt idx="145">
                  <c:v>0.31435000000000002</c:v>
                </c:pt>
                <c:pt idx="146">
                  <c:v>0.314475</c:v>
                </c:pt>
                <c:pt idx="147">
                  <c:v>0.31459999999999999</c:v>
                </c:pt>
                <c:pt idx="148">
                  <c:v>0.31472500000000003</c:v>
                </c:pt>
                <c:pt idx="149">
                  <c:v>0.31485000000000002</c:v>
                </c:pt>
                <c:pt idx="150">
                  <c:v>0.314975</c:v>
                </c:pt>
              </c:numCache>
            </c:numRef>
          </c:yVal>
          <c:smooth val="1"/>
          <c:extLst>
            <c:ext xmlns:c16="http://schemas.microsoft.com/office/drawing/2014/chart" uri="{C3380CC4-5D6E-409C-BE32-E72D297353CC}">
              <c16:uniqueId val="{00000002-8AEF-4CD2-9E91-5056CF00EB36}"/>
            </c:ext>
          </c:extLst>
        </c:ser>
        <c:ser>
          <c:idx val="3"/>
          <c:order val="3"/>
          <c:tx>
            <c:v>RCS</c:v>
          </c:tx>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Eff_vs_IOUT!$AO$7:$AO$157</c:f>
              <c:numCache>
                <c:formatCode>General</c:formatCode>
                <c:ptCount val="151"/>
                <c:pt idx="0">
                  <c:v>0</c:v>
                </c:pt>
                <c:pt idx="1">
                  <c:v>5.2965764676607676E-6</c:v>
                </c:pt>
                <c:pt idx="2">
                  <c:v>1.498098054942408E-5</c:v>
                </c:pt>
                <c:pt idx="3">
                  <c:v>2.7521818644486425E-5</c:v>
                </c:pt>
                <c:pt idx="4">
                  <c:v>4.237261174128614E-5</c:v>
                </c:pt>
                <c:pt idx="5">
                  <c:v>5.9217525148575917E-5</c:v>
                </c:pt>
                <c:pt idx="6">
                  <c:v>7.7843458376410782E-5</c:v>
                </c:pt>
                <c:pt idx="7">
                  <c:v>9.8093968934271302E-5</c:v>
                </c:pt>
                <c:pt idx="8">
                  <c:v>1.1984784439539262E-4</c:v>
                </c:pt>
                <c:pt idx="9">
                  <c:v>1.4300756462684071E-4</c:v>
                </c:pt>
                <c:pt idx="10">
                  <c:v>1.6749245439057173E-4</c:v>
                </c:pt>
                <c:pt idx="11">
                  <c:v>1.9323432498322403E-4</c:v>
                </c:pt>
                <c:pt idx="12">
                  <c:v>2.2017454915589142E-4</c:v>
                </c:pt>
                <c:pt idx="13">
                  <c:v>2.4826201450136865E-4</c:v>
                </c:pt>
                <c:pt idx="14">
                  <c:v>2.7745164250770303E-4</c:v>
                </c:pt>
                <c:pt idx="15">
                  <c:v>3.0770328676746377E-4</c:v>
                </c:pt>
                <c:pt idx="16">
                  <c:v>3.3898089393028912E-4</c:v>
                </c:pt>
                <c:pt idx="17">
                  <c:v>3.7125185191554561E-4</c:v>
                </c:pt>
                <c:pt idx="18">
                  <c:v>4.0448647483444977E-4</c:v>
                </c:pt>
                <c:pt idx="19">
                  <c:v>4.38657589816109E-4</c:v>
                </c:pt>
                <c:pt idx="20">
                  <c:v>4.7374020118860739E-4</c:v>
                </c:pt>
                <c:pt idx="21">
                  <c:v>5.0971121433072281E-4</c:v>
                </c:pt>
                <c:pt idx="22">
                  <c:v>5.4654920621457137E-4</c:v>
                </c:pt>
                <c:pt idx="23">
                  <c:v>5.8423423295260826E-4</c:v>
                </c:pt>
                <c:pt idx="24">
                  <c:v>6.2274766701128647E-4</c:v>
                </c:pt>
                <c:pt idx="25">
                  <c:v>6.6207205845759552E-4</c:v>
                </c:pt>
                <c:pt idx="26">
                  <c:v>7.0219101585980318E-4</c:v>
                </c:pt>
                <c:pt idx="27">
                  <c:v>7.4308910340113287E-4</c:v>
                </c:pt>
                <c:pt idx="28">
                  <c:v>7.8475175147417042E-4</c:v>
                </c:pt>
                <c:pt idx="29">
                  <c:v>8.2716517856636258E-4</c:v>
                </c:pt>
                <c:pt idx="30">
                  <c:v>8.7031632266664979E-4</c:v>
                </c:pt>
                <c:pt idx="31">
                  <c:v>9.1419278075101763E-4</c:v>
                </c:pt>
                <c:pt idx="32">
                  <c:v>9.5878275516314115E-4</c:v>
                </c:pt>
                <c:pt idx="33">
                  <c:v>1.0040750059116602E-3</c:v>
                </c:pt>
                <c:pt idx="34">
                  <c:v>1.0500588080701854E-3</c:v>
                </c:pt>
                <c:pt idx="35">
                  <c:v>1.0967239135989161E-3</c:v>
                </c:pt>
                <c:pt idx="36">
                  <c:v>1.1440605170147256E-3</c:v>
                </c:pt>
                <c:pt idx="37">
                  <c:v>1.1920592244248093E-3</c:v>
                </c:pt>
                <c:pt idx="38">
                  <c:v>1.2407110255116711E-3</c:v>
                </c:pt>
                <c:pt idx="39">
                  <c:v>1.290007268117316E-3</c:v>
                </c:pt>
                <c:pt idx="40">
                  <c:v>1.3399396351245741E-3</c:v>
                </c:pt>
                <c:pt idx="41">
                  <c:v>1.3905001233752992E-3</c:v>
                </c:pt>
                <c:pt idx="42">
                  <c:v>1.4416810244003353E-3</c:v>
                </c:pt>
                <c:pt idx="43">
                  <c:v>1.4934749067658554E-3</c:v>
                </c:pt>
                <c:pt idx="44">
                  <c:v>1.5458745998657929E-3</c:v>
                </c:pt>
                <c:pt idx="45">
                  <c:v>1.5988731790115506E-3</c:v>
                </c:pt>
                <c:pt idx="46">
                  <c:v>1.6524639516884414E-3</c:v>
                </c:pt>
                <c:pt idx="47">
                  <c:v>1.7066404448640383E-3</c:v>
                </c:pt>
                <c:pt idx="48">
                  <c:v>1.7613963932471312E-3</c:v>
                </c:pt>
                <c:pt idx="49">
                  <c:v>1.8167257284076421E-3</c:v>
                </c:pt>
                <c:pt idx="50">
                  <c:v>1.8726225686780085E-3</c:v>
                </c:pt>
                <c:pt idx="51">
                  <c:v>1.9290812097652872E-3</c:v>
                </c:pt>
                <c:pt idx="52">
                  <c:v>1.9860961160109497E-3</c:v>
                </c:pt>
                <c:pt idx="53">
                  <c:v>2.0436619122420228E-3</c:v>
                </c:pt>
                <c:pt idx="54">
                  <c:v>2.1017733761630915E-3</c:v>
                </c:pt>
                <c:pt idx="55">
                  <c:v>2.1604254312438736E-3</c:v>
                </c:pt>
                <c:pt idx="56">
                  <c:v>2.2196131400616247E-3</c:v>
                </c:pt>
                <c:pt idx="57">
                  <c:v>2.2793316980616262E-3</c:v>
                </c:pt>
                <c:pt idx="58">
                  <c:v>2.3395764277026254E-3</c:v>
                </c:pt>
                <c:pt idx="59">
                  <c:v>2.4003427729571715E-3</c:v>
                </c:pt>
                <c:pt idx="60">
                  <c:v>2.4616262941397102E-3</c:v>
                </c:pt>
                <c:pt idx="61">
                  <c:v>2.5234226630376998E-3</c:v>
                </c:pt>
                <c:pt idx="62">
                  <c:v>2.5857276583233246E-3</c:v>
                </c:pt>
                <c:pt idx="63">
                  <c:v>2.6485371612253246E-3</c:v>
                </c:pt>
                <c:pt idx="64">
                  <c:v>2.711847151442313E-3</c:v>
                </c:pt>
                <c:pt idx="65">
                  <c:v>2.7756537032804949E-3</c:v>
                </c:pt>
                <c:pt idx="66">
                  <c:v>2.8399529820002305E-3</c:v>
                </c:pt>
                <c:pt idx="67">
                  <c:v>2.9047412403570964E-3</c:v>
                </c:pt>
                <c:pt idx="68">
                  <c:v>2.9700148153243653E-3</c:v>
                </c:pt>
                <c:pt idx="69">
                  <c:v>3.0357701249848447E-3</c:v>
                </c:pt>
                <c:pt idx="70">
                  <c:v>3.102003665580973E-3</c:v>
                </c:pt>
                <c:pt idx="71">
                  <c:v>3.1687120087129602E-3</c:v>
                </c:pt>
                <c:pt idx="72">
                  <c:v>3.2358917986755986E-3</c:v>
                </c:pt>
                <c:pt idx="73">
                  <c:v>3.3035397499249631E-3</c:v>
                </c:pt>
                <c:pt idx="74">
                  <c:v>3.3716526446670374E-3</c:v>
                </c:pt>
                <c:pt idx="75">
                  <c:v>3.440227330560802E-3</c:v>
                </c:pt>
                <c:pt idx="76">
                  <c:v>3.5092607185288724E-3</c:v>
                </c:pt>
                <c:pt idx="77">
                  <c:v>3.5787497806693234E-3</c:v>
                </c:pt>
                <c:pt idx="78">
                  <c:v>3.6486915482627463E-3</c:v>
                </c:pt>
                <c:pt idx="79">
                  <c:v>3.7190831098690542E-3</c:v>
                </c:pt>
                <c:pt idx="80">
                  <c:v>3.7899216095088587E-3</c:v>
                </c:pt>
                <c:pt idx="81">
                  <c:v>3.861204244924696E-3</c:v>
                </c:pt>
                <c:pt idx="82">
                  <c:v>3.9329282659176191E-3</c:v>
                </c:pt>
                <c:pt idx="83">
                  <c:v>4.0050909727550174E-3</c:v>
                </c:pt>
                <c:pt idx="84">
                  <c:v>4.0776897146457824E-3</c:v>
                </c:pt>
                <c:pt idx="85">
                  <c:v>4.1507218882792275E-3</c:v>
                </c:pt>
                <c:pt idx="86">
                  <c:v>4.2241849364243302E-3</c:v>
                </c:pt>
                <c:pt idx="87">
                  <c:v>4.2980763465861674E-3</c:v>
                </c:pt>
                <c:pt idx="88">
                  <c:v>4.3723936497165718E-3</c:v>
                </c:pt>
                <c:pt idx="89">
                  <c:v>4.4471344189761933E-3</c:v>
                </c:pt>
                <c:pt idx="90">
                  <c:v>4.5222962685454397E-3</c:v>
                </c:pt>
                <c:pt idx="91">
                  <c:v>4.5978768524817292E-3</c:v>
                </c:pt>
                <c:pt idx="92">
                  <c:v>4.6738738636208661E-3</c:v>
                </c:pt>
                <c:pt idx="93">
                  <c:v>4.7502850325203145E-3</c:v>
                </c:pt>
                <c:pt idx="94">
                  <c:v>4.8271081264423523E-3</c:v>
                </c:pt>
                <c:pt idx="95">
                  <c:v>4.9043409483751953E-3</c:v>
                </c:pt>
                <c:pt idx="96">
                  <c:v>4.9819813360902901E-3</c:v>
                </c:pt>
                <c:pt idx="97">
                  <c:v>5.060027161234046E-3</c:v>
                </c:pt>
                <c:pt idx="98">
                  <c:v>5.1384763284524557E-3</c:v>
                </c:pt>
                <c:pt idx="99">
                  <c:v>5.2173267745470493E-3</c:v>
                </c:pt>
                <c:pt idx="100">
                  <c:v>5.2965764676607633E-3</c:v>
                </c:pt>
                <c:pt idx="101">
                  <c:v>5.3762234064923991E-3</c:v>
                </c:pt>
                <c:pt idx="102">
                  <c:v>5.4562656195383304E-3</c:v>
                </c:pt>
                <c:pt idx="103">
                  <c:v>5.5367011643603524E-3</c:v>
                </c:pt>
                <c:pt idx="104">
                  <c:v>5.6175281268784245E-3</c:v>
                </c:pt>
                <c:pt idx="105">
                  <c:v>5.6987446206873058E-3</c:v>
                </c:pt>
                <c:pt idx="106">
                  <c:v>5.780348786396005E-3</c:v>
                </c:pt>
                <c:pt idx="107">
                  <c:v>5.8623387909891144E-3</c:v>
                </c:pt>
                <c:pt idx="108">
                  <c:v>5.944712827209063E-3</c:v>
                </c:pt>
                <c:pt idx="109">
                  <c:v>6.0274691129584617E-3</c:v>
                </c:pt>
                <c:pt idx="110">
                  <c:v>6.1106058907216603E-3</c:v>
                </c:pt>
                <c:pt idx="111">
                  <c:v>6.19412142700476E-3</c:v>
                </c:pt>
                <c:pt idx="112">
                  <c:v>6.2780140117933633E-3</c:v>
                </c:pt>
                <c:pt idx="113">
                  <c:v>6.3622819580272227E-3</c:v>
                </c:pt>
                <c:pt idx="114">
                  <c:v>6.4469236010912985E-3</c:v>
                </c:pt>
                <c:pt idx="115">
                  <c:v>6.531937298322397E-3</c:v>
                </c:pt>
                <c:pt idx="116">
                  <c:v>6.6173214285309007E-3</c:v>
                </c:pt>
                <c:pt idx="117">
                  <c:v>6.7030743915369546E-3</c:v>
                </c:pt>
                <c:pt idx="118">
                  <c:v>6.7891946077205494E-3</c:v>
                </c:pt>
                <c:pt idx="119">
                  <c:v>6.8756805175849822E-3</c:v>
                </c:pt>
                <c:pt idx="120">
                  <c:v>6.9625305813331975E-3</c:v>
                </c:pt>
                <c:pt idx="121">
                  <c:v>7.0497432784564773E-3</c:v>
                </c:pt>
                <c:pt idx="122">
                  <c:v>7.1373171073350955E-3</c:v>
                </c:pt>
                <c:pt idx="123">
                  <c:v>7.2252505848504327E-3</c:v>
                </c:pt>
                <c:pt idx="124">
                  <c:v>7.3135422460081402E-3</c:v>
                </c:pt>
                <c:pt idx="125">
                  <c:v>7.4021906435719938E-3</c:v>
                </c:pt>
                <c:pt idx="126">
                  <c:v>7.4911943477079818E-3</c:v>
                </c:pt>
                <c:pt idx="127">
                  <c:v>7.5805519456383485E-3</c:v>
                </c:pt>
                <c:pt idx="128">
                  <c:v>7.6702620413051275E-3</c:v>
                </c:pt>
                <c:pt idx="129">
                  <c:v>7.7603232550429594E-3</c:v>
                </c:pt>
                <c:pt idx="130">
                  <c:v>7.8507342232607639E-3</c:v>
                </c:pt>
                <c:pt idx="131">
                  <c:v>7.9414935981320118E-3</c:v>
                </c:pt>
                <c:pt idx="132">
                  <c:v>8.032600047293283E-3</c:v>
                </c:pt>
                <c:pt idx="133">
                  <c:v>8.1240522535508293E-3</c:v>
                </c:pt>
                <c:pt idx="134">
                  <c:v>8.2158489145949063E-3</c:v>
                </c:pt>
                <c:pt idx="135">
                  <c:v>8.3079887427215202E-3</c:v>
                </c:pt>
                <c:pt idx="136">
                  <c:v>8.4004704645614815E-3</c:v>
                </c:pt>
                <c:pt idx="137">
                  <c:v>8.4932928208163588E-3</c:v>
                </c:pt>
                <c:pt idx="138">
                  <c:v>8.5864545660012653E-3</c:v>
                </c:pt>
                <c:pt idx="139">
                  <c:v>8.6799544681941312E-3</c:v>
                </c:pt>
                <c:pt idx="140">
                  <c:v>8.7737913087913288E-3</c:v>
                </c:pt>
                <c:pt idx="141">
                  <c:v>8.8679638822693994E-3</c:v>
                </c:pt>
                <c:pt idx="142">
                  <c:v>8.9624709959527232E-3</c:v>
                </c:pt>
                <c:pt idx="143">
                  <c:v>9.0573114697869214E-3</c:v>
                </c:pt>
                <c:pt idx="144">
                  <c:v>9.1524841361178052E-3</c:v>
                </c:pt>
                <c:pt idx="145">
                  <c:v>9.2479878394756982E-3</c:v>
                </c:pt>
                <c:pt idx="146">
                  <c:v>9.343821436365007E-3</c:v>
                </c:pt>
                <c:pt idx="147">
                  <c:v>9.4399837950588442E-3</c:v>
                </c:pt>
                <c:pt idx="148">
                  <c:v>9.5364737953984747E-3</c:v>
                </c:pt>
                <c:pt idx="149">
                  <c:v>9.6332903285976362E-3</c:v>
                </c:pt>
                <c:pt idx="150">
                  <c:v>9.7304322970513529E-3</c:v>
                </c:pt>
              </c:numCache>
            </c:numRef>
          </c:yVal>
          <c:smooth val="1"/>
          <c:extLst>
            <c:ext xmlns:c16="http://schemas.microsoft.com/office/drawing/2014/chart" uri="{C3380CC4-5D6E-409C-BE32-E72D297353CC}">
              <c16:uniqueId val="{00000003-8AEF-4CD2-9E91-5056CF00EB36}"/>
            </c:ext>
          </c:extLst>
        </c:ser>
        <c:dLbls>
          <c:showLegendKey val="0"/>
          <c:showVal val="0"/>
          <c:showCatName val="0"/>
          <c:showSerName val="0"/>
          <c:showPercent val="0"/>
          <c:showBubbleSize val="0"/>
        </c:dLbls>
        <c:axId val="145058432"/>
        <c:axId val="145056896"/>
      </c:scatterChart>
      <c:valAx>
        <c:axId val="145036800"/>
        <c:scaling>
          <c:orientation val="minMax"/>
        </c:scaling>
        <c:delete val="0"/>
        <c:axPos val="b"/>
        <c:majorGridlines/>
        <c:numFmt formatCode="General" sourceLinked="1"/>
        <c:majorTickMark val="out"/>
        <c:minorTickMark val="none"/>
        <c:tickLblPos val="nextTo"/>
        <c:crossAx val="145038336"/>
        <c:crosses val="autoZero"/>
        <c:crossBetween val="midCat"/>
      </c:valAx>
      <c:valAx>
        <c:axId val="145038336"/>
        <c:scaling>
          <c:orientation val="minMax"/>
          <c:max val="100"/>
        </c:scaling>
        <c:delete val="0"/>
        <c:axPos val="l"/>
        <c:majorGridlines/>
        <c:title>
          <c:overlay val="0"/>
          <c:txPr>
            <a:bodyPr rot="-5400000" vert="horz"/>
            <a:lstStyle/>
            <a:p>
              <a:pPr>
                <a:defRPr/>
              </a:pPr>
              <a:endParaRPr lang="en-US"/>
            </a:p>
          </c:txPr>
        </c:title>
        <c:numFmt formatCode="General" sourceLinked="1"/>
        <c:majorTickMark val="out"/>
        <c:minorTickMark val="none"/>
        <c:tickLblPos val="nextTo"/>
        <c:crossAx val="145036800"/>
        <c:crosses val="autoZero"/>
        <c:crossBetween val="midCat"/>
      </c:valAx>
      <c:valAx>
        <c:axId val="145056896"/>
        <c:scaling>
          <c:orientation val="minMax"/>
        </c:scaling>
        <c:delete val="0"/>
        <c:axPos val="r"/>
        <c:numFmt formatCode="General" sourceLinked="1"/>
        <c:majorTickMark val="out"/>
        <c:minorTickMark val="none"/>
        <c:tickLblPos val="nextTo"/>
        <c:crossAx val="145058432"/>
        <c:crosses val="max"/>
        <c:crossBetween val="midCat"/>
      </c:valAx>
      <c:valAx>
        <c:axId val="145058432"/>
        <c:scaling>
          <c:orientation val="minMax"/>
        </c:scaling>
        <c:delete val="1"/>
        <c:axPos val="b"/>
        <c:numFmt formatCode="General" sourceLinked="1"/>
        <c:majorTickMark val="out"/>
        <c:minorTickMark val="none"/>
        <c:tickLblPos val="nextTo"/>
        <c:crossAx val="145056896"/>
        <c:crosses val="autoZero"/>
        <c:crossBetween val="midCat"/>
      </c:valAx>
    </c:plotArea>
    <c:legend>
      <c:legendPos val="r"/>
      <c:overlay val="1"/>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Plant Transfer</a:t>
            </a:r>
            <a:r>
              <a:rPr lang="en-US" baseline="0"/>
              <a:t> Function</a:t>
            </a:r>
            <a:endParaRPr lang="en-US"/>
          </a:p>
        </c:rich>
      </c:tx>
      <c:overlay val="0"/>
    </c:title>
    <c:autoTitleDeleted val="0"/>
    <c:plotArea>
      <c:layout/>
      <c:scatterChart>
        <c:scatterStyle val="smoothMarker"/>
        <c:varyColors val="0"/>
        <c:ser>
          <c:idx val="0"/>
          <c:order val="0"/>
          <c:tx>
            <c:v>Gain(dB)</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Loop_Modeling!$AD$19:$AD$560</c:f>
              <c:numCache>
                <c:formatCode>0.000</c:formatCode>
                <c:ptCount val="542"/>
                <c:pt idx="0">
                  <c:v>53.212637632387398</c:v>
                </c:pt>
                <c:pt idx="1">
                  <c:v>53.025978713198327</c:v>
                </c:pt>
                <c:pt idx="2">
                  <c:v>52.838763445839341</c:v>
                </c:pt>
                <c:pt idx="3">
                  <c:v>52.651014018707471</c:v>
                </c:pt>
                <c:pt idx="4">
                  <c:v>52.462751886575646</c:v>
                </c:pt>
                <c:pt idx="5">
                  <c:v>52.27399778507008</c:v>
                </c:pt>
                <c:pt idx="6">
                  <c:v>52.084771745871194</c:v>
                </c:pt>
                <c:pt idx="7">
                  <c:v>51.895093112526787</c:v>
                </c:pt>
                <c:pt idx="8">
                  <c:v>51.704980556774352</c:v>
                </c:pt>
                <c:pt idx="9">
                  <c:v>51.51445209527671</c:v>
                </c:pt>
                <c:pt idx="10">
                  <c:v>51.323525106683583</c:v>
                </c:pt>
                <c:pt idx="11">
                  <c:v>51.132216348939153</c:v>
                </c:pt>
                <c:pt idx="12">
                  <c:v>50.940541976760628</c:v>
                </c:pt>
                <c:pt idx="13">
                  <c:v>50.748517559222719</c:v>
                </c:pt>
                <c:pt idx="14">
                  <c:v>50.55615809738584</c:v>
                </c:pt>
                <c:pt idx="15">
                  <c:v>50.363478041914803</c:v>
                </c:pt>
                <c:pt idx="16">
                  <c:v>50.170491310637971</c:v>
                </c:pt>
                <c:pt idx="17">
                  <c:v>49.977211306003973</c:v>
                </c:pt>
                <c:pt idx="18">
                  <c:v>49.783650932396924</c:v>
                </c:pt>
                <c:pt idx="19">
                  <c:v>49.589822613276091</c:v>
                </c:pt>
                <c:pt idx="20">
                  <c:v>49.395738308110602</c:v>
                </c:pt>
                <c:pt idx="21">
                  <c:v>49.201409529083016</c:v>
                </c:pt>
                <c:pt idx="22">
                  <c:v>49.006847357540494</c:v>
                </c:pt>
                <c:pt idx="23">
                  <c:v>48.812062460173692</c:v>
                </c:pt>
                <c:pt idx="24">
                  <c:v>48.61706510491004</c:v>
                </c:pt>
                <c:pt idx="25">
                  <c:v>48.421865176507055</c:v>
                </c:pt>
                <c:pt idx="26">
                  <c:v>48.226472191836876</c:v>
                </c:pt>
                <c:pt idx="27">
                  <c:v>48.030895314854831</c:v>
                </c:pt>
                <c:pt idx="28">
                  <c:v>47.835143371246325</c:v>
                </c:pt>
                <c:pt idx="29">
                  <c:v>47.639224862749465</c:v>
                </c:pt>
                <c:pt idx="30">
                  <c:v>47.443147981152542</c:v>
                </c:pt>
                <c:pt idx="31">
                  <c:v>47.246920621965486</c:v>
                </c:pt>
                <c:pt idx="32">
                  <c:v>47.050550397769612</c:v>
                </c:pt>
                <c:pt idx="33">
                  <c:v>46.854044651246241</c:v>
                </c:pt>
                <c:pt idx="34">
                  <c:v>46.657410467891431</c:v>
                </c:pt>
                <c:pt idx="35">
                  <c:v>46.460654688420433</c:v>
                </c:pt>
                <c:pt idx="36">
                  <c:v>46.26378392086955</c:v>
                </c:pt>
                <c:pt idx="37">
                  <c:v>46.066804552403184</c:v>
                </c:pt>
                <c:pt idx="38">
                  <c:v>45.869722760833234</c:v>
                </c:pt>
                <c:pt idx="39">
                  <c:v>45.672544525860914</c:v>
                </c:pt>
                <c:pt idx="40">
                  <c:v>45.475275640050306</c:v>
                </c:pt>
                <c:pt idx="41">
                  <c:v>45.277921719543102</c:v>
                </c:pt>
                <c:pt idx="42">
                  <c:v>45.080488214526042</c:v>
                </c:pt>
                <c:pt idx="43">
                  <c:v>44.882980419461596</c:v>
                </c:pt>
                <c:pt idx="44">
                  <c:v>44.685403483092855</c:v>
                </c:pt>
                <c:pt idx="45">
                  <c:v>44.487762418235384</c:v>
                </c:pt>
                <c:pt idx="46">
                  <c:v>44.290062111365842</c:v>
                </c:pt>
                <c:pt idx="47">
                  <c:v>44.092307332021946</c:v>
                </c:pt>
                <c:pt idx="48">
                  <c:v>43.894502742025054</c:v>
                </c:pt>
                <c:pt idx="49">
                  <c:v>43.69665290453586</c:v>
                </c:pt>
                <c:pt idx="50">
                  <c:v>43.498762292959505</c:v>
                </c:pt>
                <c:pt idx="51">
                  <c:v>43.30083529971003</c:v>
                </c:pt>
                <c:pt idx="52">
                  <c:v>43.102876244847394</c:v>
                </c:pt>
                <c:pt idx="53">
                  <c:v>42.904889384600949</c:v>
                </c:pt>
                <c:pt idx="54">
                  <c:v>42.706878919790583</c:v>
                </c:pt>
                <c:pt idx="55">
                  <c:v>42.508849004160837</c:v>
                </c:pt>
                <c:pt idx="56">
                  <c:v>42.310803752638279</c:v>
                </c:pt>
                <c:pt idx="57">
                  <c:v>42.112747249527075</c:v>
                </c:pt>
                <c:pt idx="58">
                  <c:v>41.914683556655362</c:v>
                </c:pt>
                <c:pt idx="59">
                  <c:v>41.71661672148457</c:v>
                </c:pt>
                <c:pt idx="60">
                  <c:v>41.518550785196958</c:v>
                </c:pt>
                <c:pt idx="61">
                  <c:v>41.3204897907708</c:v>
                </c:pt>
                <c:pt idx="62">
                  <c:v>41.122437791060804</c:v>
                </c:pt>
                <c:pt idx="63">
                  <c:v>40.924398856892907</c:v>
                </c:pt>
                <c:pt idx="64">
                  <c:v>40.726377085188545</c:v>
                </c:pt>
                <c:pt idx="65">
                  <c:v>40.52837660713152</c:v>
                </c:pt>
                <c:pt idx="66">
                  <c:v>40.330401596389621</c:v>
                </c:pt>
                <c:pt idx="67">
                  <c:v>40.132456277404131</c:v>
                </c:pt>
                <c:pt idx="68">
                  <c:v>39.934544933761494</c:v>
                </c:pt>
                <c:pt idx="69">
                  <c:v>39.736671916658047</c:v>
                </c:pt>
                <c:pt idx="70">
                  <c:v>39.538841653472545</c:v>
                </c:pt>
                <c:pt idx="71">
                  <c:v>39.341058656458976</c:v>
                </c:pt>
                <c:pt idx="72">
                  <c:v>39.143327531570961</c:v>
                </c:pt>
                <c:pt idx="73">
                  <c:v>38.945652987432922</c:v>
                </c:pt>
                <c:pt idx="74">
                  <c:v>38.748039844469062</c:v>
                </c:pt>
                <c:pt idx="75">
                  <c:v>38.550493044202398</c:v>
                </c:pt>
                <c:pt idx="76">
                  <c:v>38.353017658737826</c:v>
                </c:pt>
                <c:pt idx="77">
                  <c:v>38.155618900439563</c:v>
                </c:pt>
                <c:pt idx="78">
                  <c:v>37.958302131816581</c:v>
                </c:pt>
                <c:pt idx="79">
                  <c:v>37.761072875626525</c:v>
                </c:pt>
                <c:pt idx="80">
                  <c:v>37.563936825210313</c:v>
                </c:pt>
                <c:pt idx="81">
                  <c:v>37.36689985506866</c:v>
                </c:pt>
                <c:pt idx="82">
                  <c:v>37.169968031690615</c:v>
                </c:pt>
                <c:pt idx="83">
                  <c:v>36.973147624645478</c:v>
                </c:pt>
                <c:pt idx="84">
                  <c:v>36.77644511794702</c:v>
                </c:pt>
                <c:pt idx="85">
                  <c:v>36.57986722170012</c:v>
                </c:pt>
                <c:pt idx="86">
                  <c:v>36.383420884037754</c:v>
                </c:pt>
                <c:pt idx="87">
                  <c:v>36.187113303357606</c:v>
                </c:pt>
                <c:pt idx="88">
                  <c:v>35.990951940863006</c:v>
                </c:pt>
                <c:pt idx="89">
                  <c:v>35.794944533417649</c:v>
                </c:pt>
                <c:pt idx="90">
                  <c:v>35.599099106716665</c:v>
                </c:pt>
                <c:pt idx="91">
                  <c:v>35.403423988779132</c:v>
                </c:pt>
                <c:pt idx="92">
                  <c:v>35.207927823765026</c:v>
                </c:pt>
                <c:pt idx="93">
                  <c:v>35.012619586117808</c:v>
                </c:pt>
                <c:pt idx="94">
                  <c:v>34.817508595031569</c:v>
                </c:pt>
                <c:pt idx="95">
                  <c:v>34.622604529242153</c:v>
                </c:pt>
                <c:pt idx="96">
                  <c:v>34.427917442137399</c:v>
                </c:pt>
                <c:pt idx="97">
                  <c:v>34.233457777180639</c:v>
                </c:pt>
                <c:pt idx="98">
                  <c:v>34.039236383639199</c:v>
                </c:pt>
                <c:pt idx="99">
                  <c:v>33.845264532606969</c:v>
                </c:pt>
                <c:pt idx="100">
                  <c:v>33.651553933307284</c:v>
                </c:pt>
                <c:pt idx="101">
                  <c:v>33.458116749659268</c:v>
                </c:pt>
                <c:pt idx="102">
                  <c:v>33.26496561708813</c:v>
                </c:pt>
                <c:pt idx="103">
                  <c:v>33.07211365955483</c:v>
                </c:pt>
                <c:pt idx="104">
                  <c:v>32.87957450677898</c:v>
                </c:pt>
                <c:pt idx="105">
                  <c:v>32.687362311622046</c:v>
                </c:pt>
                <c:pt idx="106">
                  <c:v>32.495491767595894</c:v>
                </c:pt>
                <c:pt idx="107">
                  <c:v>32.303978126454858</c:v>
                </c:pt>
                <c:pt idx="108">
                  <c:v>32.112837215826396</c:v>
                </c:pt>
                <c:pt idx="109">
                  <c:v>31.922085456828093</c:v>
                </c:pt>
                <c:pt idx="110">
                  <c:v>31.731739881613947</c:v>
                </c:pt>
                <c:pt idx="111">
                  <c:v>31.541818150787108</c:v>
                </c:pt>
                <c:pt idx="112">
                  <c:v>31.352338570608897</c:v>
                </c:pt>
                <c:pt idx="113">
                  <c:v>31.163320109927174</c:v>
                </c:pt>
                <c:pt idx="114">
                  <c:v>30.974782416741483</c:v>
                </c:pt>
                <c:pt idx="115">
                  <c:v>30.786745834312637</c:v>
                </c:pt>
                <c:pt idx="116">
                  <c:v>30.599231416718649</c:v>
                </c:pt>
                <c:pt idx="117">
                  <c:v>30.41226094375055</c:v>
                </c:pt>
                <c:pt idx="118">
                  <c:v>30.225856935032102</c:v>
                </c:pt>
                <c:pt idx="119">
                  <c:v>30.040042663242041</c:v>
                </c:pt>
                <c:pt idx="120">
                  <c:v>29.854842166305005</c:v>
                </c:pt>
                <c:pt idx="121">
                  <c:v>29.670280258413271</c:v>
                </c:pt>
                <c:pt idx="122">
                  <c:v>29.486382539729689</c:v>
                </c:pt>
                <c:pt idx="123">
                  <c:v>29.303175404614198</c:v>
                </c:pt>
                <c:pt idx="124">
                  <c:v>29.120686048210906</c:v>
                </c:pt>
                <c:pt idx="125">
                  <c:v>28.93894247122163</c:v>
                </c:pt>
                <c:pt idx="126">
                  <c:v>28.757973482685351</c:v>
                </c:pt>
                <c:pt idx="127">
                  <c:v>28.577808700578132</c:v>
                </c:pt>
                <c:pt idx="128">
                  <c:v>28.398478550039812</c:v>
                </c:pt>
                <c:pt idx="129">
                  <c:v>28.220014259028389</c:v>
                </c:pt>
                <c:pt idx="130">
                  <c:v>28.042447851202116</c:v>
                </c:pt>
                <c:pt idx="131">
                  <c:v>27.865812135821741</c:v>
                </c:pt>
                <c:pt idx="132">
                  <c:v>27.690140694468866</c:v>
                </c:pt>
                <c:pt idx="133">
                  <c:v>27.515467864371995</c:v>
                </c:pt>
                <c:pt idx="134">
                  <c:v>27.341828718138309</c:v>
                </c:pt>
                <c:pt idx="135">
                  <c:v>27.169259039689578</c:v>
                </c:pt>
                <c:pt idx="136">
                  <c:v>26.99779529620972</c:v>
                </c:pt>
                <c:pt idx="137">
                  <c:v>26.827474605919825</c:v>
                </c:pt>
                <c:pt idx="138">
                  <c:v>26.658334701507357</c:v>
                </c:pt>
                <c:pt idx="139">
                  <c:v>26.490413889051005</c:v>
                </c:pt>
                <c:pt idx="140">
                  <c:v>26.323751002302412</c:v>
                </c:pt>
                <c:pt idx="141">
                  <c:v>26.158385352202945</c:v>
                </c:pt>
                <c:pt idx="142">
                  <c:v>25.994356671541127</c:v>
                </c:pt>
                <c:pt idx="143">
                  <c:v>25.831705054683223</c:v>
                </c:pt>
                <c:pt idx="144">
                  <c:v>25.67047089233856</c:v>
                </c:pt>
                <c:pt idx="145">
                  <c:v>25.510694801358461</c:v>
                </c:pt>
                <c:pt idx="146">
                  <c:v>25.352417549602443</c:v>
                </c:pt>
                <c:pt idx="147">
                  <c:v>25.195679975949659</c:v>
                </c:pt>
                <c:pt idx="148">
                  <c:v>25.040522905573845</c:v>
                </c:pt>
                <c:pt idx="149">
                  <c:v>24.886987060648842</c:v>
                </c:pt>
                <c:pt idx="150">
                  <c:v>24.735112966701067</c:v>
                </c:pt>
                <c:pt idx="151">
                  <c:v>24.584940854873722</c:v>
                </c:pt>
                <c:pt idx="152">
                  <c:v>24.436510560423045</c:v>
                </c:pt>
                <c:pt idx="153">
                  <c:v>24.289861417816304</c:v>
                </c:pt>
                <c:pt idx="154">
                  <c:v>24.145032152857656</c:v>
                </c:pt>
                <c:pt idx="155">
                  <c:v>24.002060772317261</c:v>
                </c:pt>
                <c:pt idx="156">
                  <c:v>23.86098445159238</c:v>
                </c:pt>
                <c:pt idx="157">
                  <c:v>23.721839420975638</c:v>
                </c:pt>
                <c:pt idx="158">
                  <c:v>23.584660851152638</c:v>
                </c:pt>
                <c:pt idx="159">
                  <c:v>23.449482738591399</c:v>
                </c:pt>
                <c:pt idx="160">
                  <c:v>23.316337791521743</c:v>
                </c:pt>
                <c:pt idx="161">
                  <c:v>23.18525731723382</c:v>
                </c:pt>
                <c:pt idx="162">
                  <c:v>23.056271111448574</c:v>
                </c:pt>
                <c:pt idx="163">
                  <c:v>22.929407350526599</c:v>
                </c:pt>
                <c:pt idx="164">
                  <c:v>22.804692487293359</c:v>
                </c:pt>
                <c:pt idx="165">
                  <c:v>22.682151151253972</c:v>
                </c:pt>
                <c:pt idx="166">
                  <c:v>22.56180605396214</c:v>
                </c:pt>
                <c:pt idx="167">
                  <c:v>22.443677900288506</c:v>
                </c:pt>
                <c:pt idx="168">
                  <c:v>22.32778530630322</c:v>
                </c:pt>
                <c:pt idx="169">
                  <c:v>22.214144724448683</c:v>
                </c:pt>
                <c:pt idx="170">
                  <c:v>22.102770376631781</c:v>
                </c:pt>
                <c:pt idx="171">
                  <c:v>21.993674195804957</c:v>
                </c:pt>
                <c:pt idx="172">
                  <c:v>21.88686577654348</c:v>
                </c:pt>
                <c:pt idx="173">
                  <c:v>21.782352335051328</c:v>
                </c:pt>
                <c:pt idx="174">
                  <c:v>21.680138678949671</c:v>
                </c:pt>
                <c:pt idx="175">
                  <c:v>21.580227187117572</c:v>
                </c:pt>
                <c:pt idx="176">
                  <c:v>21.482617799766164</c:v>
                </c:pt>
                <c:pt idx="177">
                  <c:v>21.387308018835604</c:v>
                </c:pt>
                <c:pt idx="178">
                  <c:v>21.294292918712038</c:v>
                </c:pt>
                <c:pt idx="179">
                  <c:v>21.203565167168552</c:v>
                </c:pt>
                <c:pt idx="180">
                  <c:v>21.115115056343733</c:v>
                </c:pt>
                <c:pt idx="181">
                  <c:v>21.028930543482026</c:v>
                </c:pt>
                <c:pt idx="182">
                  <c:v>20.944997301077063</c:v>
                </c:pt>
                <c:pt idx="183">
                  <c:v>20.863298775979615</c:v>
                </c:pt>
                <c:pt idx="184">
                  <c:v>20.783816256960005</c:v>
                </c:pt>
                <c:pt idx="185">
                  <c:v>20.70652895014975</c:v>
                </c:pt>
                <c:pt idx="186">
                  <c:v>20.631414061731931</c:v>
                </c:pt>
                <c:pt idx="187">
                  <c:v>20.558446887199416</c:v>
                </c:pt>
                <c:pt idx="188">
                  <c:v>20.487600906465815</c:v>
                </c:pt>
                <c:pt idx="189">
                  <c:v>20.418847884081313</c:v>
                </c:pt>
                <c:pt idx="190">
                  <c:v>20.352157973789531</c:v>
                </c:pt>
                <c:pt idx="191">
                  <c:v>20.287499826649366</c:v>
                </c:pt>
                <c:pt idx="192">
                  <c:v>20.224840701947493</c:v>
                </c:pt>
                <c:pt idx="193">
                  <c:v>20.164146580134389</c:v>
                </c:pt>
                <c:pt idx="194">
                  <c:v>20.105382277032049</c:v>
                </c:pt>
                <c:pt idx="195">
                  <c:v>20.048511558588448</c:v>
                </c:pt>
                <c:pt idx="196">
                  <c:v>19.993497255480996</c:v>
                </c:pt>
                <c:pt idx="197">
                  <c:v>19.940301376910487</c:v>
                </c:pt>
                <c:pt idx="198">
                  <c:v>19.888885222966831</c:v>
                </c:pt>
                <c:pt idx="199">
                  <c:v>19.839209494993561</c:v>
                </c:pt>
                <c:pt idx="200">
                  <c:v>19.791234403427751</c:v>
                </c:pt>
                <c:pt idx="201">
                  <c:v>19.744919772642401</c:v>
                </c:pt>
                <c:pt idx="202">
                  <c:v>19.700225142369604</c:v>
                </c:pt>
                <c:pt idx="203">
                  <c:v>19.657109865338519</c:v>
                </c:pt>
                <c:pt idx="204">
                  <c:v>19.615533200812216</c:v>
                </c:pt>
                <c:pt idx="205">
                  <c:v>19.575454403761391</c:v>
                </c:pt>
                <c:pt idx="206">
                  <c:v>19.536832809463469</c:v>
                </c:pt>
                <c:pt idx="207">
                  <c:v>19.499627913363085</c:v>
                </c:pt>
                <c:pt idx="208">
                  <c:v>19.463799446078788</c:v>
                </c:pt>
                <c:pt idx="209">
                  <c:v>19.42930744348163</c:v>
                </c:pt>
                <c:pt idx="210">
                  <c:v>19.396112311814949</c:v>
                </c:pt>
                <c:pt idx="211">
                  <c:v>19.364174887859512</c:v>
                </c:pt>
                <c:pt idx="212">
                  <c:v>19.333456494184748</c:v>
                </c:pt>
                <c:pt idx="213">
                  <c:v>19.303918989555598</c:v>
                </c:pt>
                <c:pt idx="214">
                  <c:v>19.275524814593009</c:v>
                </c:pt>
                <c:pt idx="215">
                  <c:v>19.248237032809929</c:v>
                </c:pt>
                <c:pt idx="216">
                  <c:v>19.222019367164659</c:v>
                </c:pt>
                <c:pt idx="217">
                  <c:v>19.196836232291719</c:v>
                </c:pt>
                <c:pt idx="218">
                  <c:v>19.172652762583869</c:v>
                </c:pt>
                <c:pt idx="219">
                  <c:v>19.149434836311318</c:v>
                </c:pt>
                <c:pt idx="220">
                  <c:v>19.127149095972207</c:v>
                </c:pt>
                <c:pt idx="221">
                  <c:v>19.105762965075325</c:v>
                </c:pt>
                <c:pt idx="222">
                  <c:v>19.085244661559912</c:v>
                </c:pt>
                <c:pt idx="223">
                  <c:v>19.065563208058897</c:v>
                </c:pt>
                <c:pt idx="224">
                  <c:v>19.046688439213423</c:v>
                </c:pt>
                <c:pt idx="225">
                  <c:v>19.028591006243097</c:v>
                </c:pt>
                <c:pt idx="226">
                  <c:v>19.011242378975503</c:v>
                </c:pt>
                <c:pt idx="227">
                  <c:v>18.994614845532617</c:v>
                </c:pt>
                <c:pt idx="228">
                  <c:v>18.978681509867847</c:v>
                </c:pt>
                <c:pt idx="229">
                  <c:v>18.963416287340408</c:v>
                </c:pt>
                <c:pt idx="230">
                  <c:v>18.948793898507688</c:v>
                </c:pt>
                <c:pt idx="231">
                  <c:v>18.934789861308328</c:v>
                </c:pt>
                <c:pt idx="232">
                  <c:v>18.921380481800799</c:v>
                </c:pt>
                <c:pt idx="233">
                  <c:v>18.908542843615187</c:v>
                </c:pt>
                <c:pt idx="234">
                  <c:v>18.896254796265872</c:v>
                </c:pt>
                <c:pt idx="235">
                  <c:v>18.884494942465999</c:v>
                </c:pt>
                <c:pt idx="236">
                  <c:v>18.873242624574765</c:v>
                </c:pt>
                <c:pt idx="237">
                  <c:v>18.862477910301287</c:v>
                </c:pt>
                <c:pt idx="238">
                  <c:v>18.852181577779625</c:v>
                </c:pt>
                <c:pt idx="239">
                  <c:v>18.842335100121808</c:v>
                </c:pt>
                <c:pt idx="240">
                  <c:v>18.832920629547495</c:v>
                </c:pt>
                <c:pt idx="241">
                  <c:v>18.823920981181828</c:v>
                </c:pt>
                <c:pt idx="242">
                  <c:v>18.81531961660443</c:v>
                </c:pt>
                <c:pt idx="243">
                  <c:v>18.807100627226774</c:v>
                </c:pt>
                <c:pt idx="244">
                  <c:v>18.799248717567053</c:v>
                </c:pt>
                <c:pt idx="245">
                  <c:v>18.791749188486129</c:v>
                </c:pt>
                <c:pt idx="246">
                  <c:v>18.784587920441091</c:v>
                </c:pt>
                <c:pt idx="247">
                  <c:v>18.777751356808508</c:v>
                </c:pt>
                <c:pt idx="248">
                  <c:v>18.771226487321414</c:v>
                </c:pt>
                <c:pt idx="249">
                  <c:v>18.765000831661848</c:v>
                </c:pt>
                <c:pt idx="250">
                  <c:v>18.759062423243783</c:v>
                </c:pt>
                <c:pt idx="251">
                  <c:v>18.75339979321717</c:v>
                </c:pt>
                <c:pt idx="252">
                  <c:v>18.748001954719982</c:v>
                </c:pt>
                <c:pt idx="253">
                  <c:v>18.742858387400268</c:v>
                </c:pt>
                <c:pt idx="254">
                  <c:v>18.737959022227429</c:v>
                </c:pt>
                <c:pt idx="255">
                  <c:v>18.733294226607299</c:v>
                </c:pt>
                <c:pt idx="256">
                  <c:v>18.72885478981334</c:v>
                </c:pt>
                <c:pt idx="257">
                  <c:v>18.724631908741603</c:v>
                </c:pt>
                <c:pt idx="258">
                  <c:v>18.720617173997304</c:v>
                </c:pt>
                <c:pt idx="259">
                  <c:v>18.716802556312686</c:v>
                </c:pt>
                <c:pt idx="260">
                  <c:v>18.71318039330043</c:v>
                </c:pt>
                <c:pt idx="261">
                  <c:v>18.709743376536743</c:v>
                </c:pt>
                <c:pt idx="262">
                  <c:v>18.706484538972397</c:v>
                </c:pt>
                <c:pt idx="263">
                  <c:v>18.703397242663769</c:v>
                </c:pt>
                <c:pt idx="264">
                  <c:v>18.700475166814805</c:v>
                </c:pt>
                <c:pt idx="265">
                  <c:v>18.697712296119867</c:v>
                </c:pt>
                <c:pt idx="266">
                  <c:v>18.695102909392574</c:v>
                </c:pt>
                <c:pt idx="267">
                  <c:v>18.69264156846738</c:v>
                </c:pt>
                <c:pt idx="268">
                  <c:v>18.69032310735464</c:v>
                </c:pt>
                <c:pt idx="269">
                  <c:v>18.688142621631236</c:v>
                </c:pt>
                <c:pt idx="270">
                  <c:v>18.686095458044118</c:v>
                </c:pt>
                <c:pt idx="271">
                  <c:v>18.684177204302927</c:v>
                </c:pt>
                <c:pt idx="272">
                  <c:v>18.682383679035983</c:v>
                </c:pt>
                <c:pt idx="273">
                  <c:v>18.680710921880191</c:v>
                </c:pt>
                <c:pt idx="274">
                  <c:v>18.679155183674233</c:v>
                </c:pt>
                <c:pt idx="275">
                  <c:v>18.677712916720008</c:v>
                </c:pt>
                <c:pt idx="276">
                  <c:v>18.676380765075205</c:v>
                </c:pt>
                <c:pt idx="277">
                  <c:v>18.675155554838256</c:v>
                </c:pt>
                <c:pt idx="278">
                  <c:v>18.674034284378635</c:v>
                </c:pt>
                <c:pt idx="279">
                  <c:v>18.673014114466881</c:v>
                </c:pt>
                <c:pt idx="280">
                  <c:v>18.672092358251934</c:v>
                </c:pt>
                <c:pt idx="281">
                  <c:v>18.671266471028197</c:v>
                </c:pt>
                <c:pt idx="282">
                  <c:v>18.670534039732068</c:v>
                </c:pt>
                <c:pt idx="283">
                  <c:v>18.669892772098681</c:v>
                </c:pt>
                <c:pt idx="284">
                  <c:v>18.669340485408018</c:v>
                </c:pt>
                <c:pt idx="285">
                  <c:v>18.668875094737935</c:v>
                </c:pt>
                <c:pt idx="286">
                  <c:v>18.668494600639047</c:v>
                </c:pt>
                <c:pt idx="287">
                  <c:v>18.668197076134071</c:v>
                </c:pt>
                <c:pt idx="288">
                  <c:v>18.667980652938983</c:v>
                </c:pt>
                <c:pt idx="289">
                  <c:v>18.667843506790554</c:v>
                </c:pt>
                <c:pt idx="290">
                  <c:v>18.667783841757362</c:v>
                </c:pt>
                <c:pt idx="291">
                  <c:v>18.667799873394763</c:v>
                </c:pt>
                <c:pt idx="292">
                  <c:v>18.667889810597835</c:v>
                </c:pt>
                <c:pt idx="293">
                  <c:v>18.668051835985352</c:v>
                </c:pt>
                <c:pt idx="294">
                  <c:v>18.668284084637332</c:v>
                </c:pt>
                <c:pt idx="295">
                  <c:v>18.668584620988032</c:v>
                </c:pt>
                <c:pt idx="296">
                  <c:v>18.668951413660018</c:v>
                </c:pt>
                <c:pt idx="297">
                  <c:v>18.66938230800228</c:v>
                </c:pt>
                <c:pt idx="298">
                  <c:v>18.669874996073837</c:v>
                </c:pt>
                <c:pt idx="299">
                  <c:v>18.670426983788563</c:v>
                </c:pt>
                <c:pt idx="300">
                  <c:v>18.671035554911313</c:v>
                </c:pt>
                <c:pt idx="301">
                  <c:v>18.671697731564095</c:v>
                </c:pt>
                <c:pt idx="302">
                  <c:v>18.672410230869723</c:v>
                </c:pt>
                <c:pt idx="303">
                  <c:v>18.673169417325155</c:v>
                </c:pt>
                <c:pt idx="304">
                  <c:v>18.673971250457832</c:v>
                </c:pt>
                <c:pt idx="305">
                  <c:v>18.674811227277427</c:v>
                </c:pt>
                <c:pt idx="306">
                  <c:v>18.675684318989966</c:v>
                </c:pt>
                <c:pt idx="307">
                  <c:v>18.676584901392083</c:v>
                </c:pt>
                <c:pt idx="308">
                  <c:v>18.677506678311502</c:v>
                </c:pt>
                <c:pt idx="309">
                  <c:v>18.678442597402434</c:v>
                </c:pt>
                <c:pt idx="310">
                  <c:v>18.679384757544085</c:v>
                </c:pt>
                <c:pt idx="311">
                  <c:v>18.680324307025476</c:v>
                </c:pt>
                <c:pt idx="312">
                  <c:v>18.68125133163117</c:v>
                </c:pt>
                <c:pt idx="313">
                  <c:v>18.682154731668899</c:v>
                </c:pt>
                <c:pt idx="314">
                  <c:v>18.683022086903321</c:v>
                </c:pt>
                <c:pt idx="315">
                  <c:v>18.683839508280741</c:v>
                </c:pt>
                <c:pt idx="316">
                  <c:v>18.684591475245536</c:v>
                </c:pt>
                <c:pt idx="317">
                  <c:v>18.685260657364292</c:v>
                </c:pt>
                <c:pt idx="318">
                  <c:v>18.685827718888504</c:v>
                </c:pt>
                <c:pt idx="319">
                  <c:v>18.686271104801062</c:v>
                </c:pt>
                <c:pt idx="320">
                  <c:v>18.686566806809189</c:v>
                </c:pt>
                <c:pt idx="321">
                  <c:v>18.686688107669138</c:v>
                </c:pt>
                <c:pt idx="322">
                  <c:v>18.68660530216086</c:v>
                </c:pt>
                <c:pt idx="323">
                  <c:v>18.686285392971293</c:v>
                </c:pt>
                <c:pt idx="324">
                  <c:v>18.685691759709751</c:v>
                </c:pt>
                <c:pt idx="325">
                  <c:v>18.684783799260622</c:v>
                </c:pt>
                <c:pt idx="326">
                  <c:v>18.683516535695766</c:v>
                </c:pt>
                <c:pt idx="327">
                  <c:v>18.681840198024073</c:v>
                </c:pt>
                <c:pt idx="328">
                  <c:v>18.67969976416186</c:v>
                </c:pt>
                <c:pt idx="329">
                  <c:v>18.6770344696763</c:v>
                </c:pt>
                <c:pt idx="330">
                  <c:v>18.673777280101859</c:v>
                </c:pt>
                <c:pt idx="331">
                  <c:v>18.669854325971553</c:v>
                </c:pt>
                <c:pt idx="332">
                  <c:v>18.665184300160885</c:v>
                </c:pt>
                <c:pt idx="333">
                  <c:v>18.659677817736302</c:v>
                </c:pt>
                <c:pt idx="334">
                  <c:v>18.653236739253302</c:v>
                </c:pt>
                <c:pt idx="335">
                  <c:v>18.645753459392555</c:v>
                </c:pt>
                <c:pt idx="336">
                  <c:v>18.63711016398025</c:v>
                </c:pt>
                <c:pt idx="337">
                  <c:v>18.627178059843889</c:v>
                </c:pt>
                <c:pt idx="338">
                  <c:v>18.615816583633094</c:v>
                </c:pt>
                <c:pt idx="339">
                  <c:v>18.60287259771631</c:v>
                </c:pt>
                <c:pt idx="340">
                  <c:v>18.588179583567545</c:v>
                </c:pt>
                <c:pt idx="341">
                  <c:v>18.571556845700055</c:v>
                </c:pt>
                <c:pt idx="342">
                  <c:v>18.552808742184112</c:v>
                </c:pt>
                <c:pt idx="343">
                  <c:v>18.531723961092915</c:v>
                </c:pt>
                <c:pt idx="344">
                  <c:v>18.508074865811</c:v>
                </c:pt>
                <c:pt idx="345">
                  <c:v>18.481616935948754</c:v>
                </c:pt>
                <c:pt idx="346">
                  <c:v>18.452088334522681</c:v>
                </c:pt>
                <c:pt idx="347">
                  <c:v>18.419209635936994</c:v>
                </c:pt>
                <c:pt idx="348">
                  <c:v>18.382683752928461</c:v>
                </c:pt>
                <c:pt idx="349">
                  <c:v>18.342196103749686</c:v>
                </c:pt>
                <c:pt idx="350">
                  <c:v>18.297415063151238</c:v>
                </c:pt>
                <c:pt idx="351">
                  <c:v>18.247992741788835</c:v>
                </c:pt>
                <c:pt idx="352">
                  <c:v>18.193566138112775</c:v>
                </c:pt>
                <c:pt idx="353">
                  <c:v>18.133758704136881</c:v>
                </c:pt>
                <c:pt idx="354">
                  <c:v>18.068182361276833</c:v>
                </c:pt>
                <c:pt idx="355">
                  <c:v>17.996439994302531</c:v>
                </c:pt>
                <c:pt idx="356">
                  <c:v>17.918128440039801</c:v>
                </c:pt>
                <c:pt idx="357">
                  <c:v>17.832841972656979</c:v>
                </c:pt>
                <c:pt idx="358">
                  <c:v>17.740176269252256</c:v>
                </c:pt>
                <c:pt idx="359">
                  <c:v>17.639732818393831</c:v>
                </c:pt>
                <c:pt idx="360">
                  <c:v>17.531123710986453</c:v>
                </c:pt>
                <c:pt idx="361">
                  <c:v>17.413976728407757</c:v>
                </c:pt>
                <c:pt idx="362">
                  <c:v>17.287940618730641</c:v>
                </c:pt>
                <c:pt idx="363">
                  <c:v>17.152690429732885</c:v>
                </c:pt>
                <c:pt idx="364">
                  <c:v>17.007932749190438</c:v>
                </c:pt>
                <c:pt idx="365">
                  <c:v>16.853410690558885</c:v>
                </c:pt>
                <c:pt idx="366">
                  <c:v>16.688908457250729</c:v>
                </c:pt>
                <c:pt idx="367">
                  <c:v>16.514255322611014</c:v>
                </c:pt>
                <c:pt idx="368">
                  <c:v>16.329328875998861</c:v>
                </c:pt>
                <c:pt idx="369">
                  <c:v>16.134057408006043</c:v>
                </c:pt>
                <c:pt idx="370">
                  <c:v>15.928421338774513</c:v>
                </c:pt>
                <c:pt idx="371">
                  <c:v>15.712453630857846</c:v>
                </c:pt>
                <c:pt idx="372">
                  <c:v>15.486239169629901</c:v>
                </c:pt>
                <c:pt idx="373">
                  <c:v>15.249913137005016</c:v>
                </c:pt>
                <c:pt idx="374">
                  <c:v>15.003658445177743</c:v>
                </c:pt>
                <c:pt idx="375">
                  <c:v>14.747702333406011</c:v>
                </c:pt>
                <c:pt idx="376">
                  <c:v>14.482312260202896</c:v>
                </c:pt>
                <c:pt idx="377">
                  <c:v>14.207791244053967</c:v>
                </c:pt>
                <c:pt idx="378">
                  <c:v>13.924472817133752</c:v>
                </c:pt>
                <c:pt idx="379">
                  <c:v>13.632715758494093</c:v>
                </c:pt>
                <c:pt idx="380">
                  <c:v>13.332898766642513</c:v>
                </c:pt>
                <c:pt idx="381">
                  <c:v>13.02541521768652</c:v>
                </c:pt>
                <c:pt idx="382">
                  <c:v>12.710668136052455</c:v>
                </c:pt>
                <c:pt idx="383">
                  <c:v>12.38906548210748</c:v>
                </c:pt>
                <c:pt idx="384">
                  <c:v>12.061015836689773</c:v>
                </c:pt>
                <c:pt idx="385">
                  <c:v>11.726924538254046</c:v>
                </c:pt>
                <c:pt idx="386">
                  <c:v>11.38719030543999</c:v>
                </c:pt>
                <c:pt idx="387">
                  <c:v>11.042202357365891</c:v>
                </c:pt>
                <c:pt idx="388">
                  <c:v>10.692338026497257</c:v>
                </c:pt>
                <c:pt idx="389">
                  <c:v>10.337960844835957</c:v>
                </c:pt>
                <c:pt idx="390">
                  <c:v>9.9794190734623101</c:v>
                </c:pt>
                <c:pt idx="391">
                  <c:v>9.6170446379440762</c:v>
                </c:pt>
                <c:pt idx="392">
                  <c:v>9.251152427487547</c:v>
                </c:pt>
                <c:pt idx="393">
                  <c:v>8.8820399135080343</c:v>
                </c:pt>
                <c:pt idx="394">
                  <c:v>8.5099870431026527</c:v>
                </c:pt>
                <c:pt idx="395">
                  <c:v>8.135256364260858</c:v>
                </c:pt>
                <c:pt idx="396">
                  <c:v>7.7580933421306089</c:v>
                </c:pt>
                <c:pt idx="397">
                  <c:v>7.3787268289019572</c:v>
                </c:pt>
                <c:pt idx="398">
                  <c:v>6.9973696535678833</c:v>
                </c:pt>
                <c:pt idx="399">
                  <c:v>6.6142193017199755</c:v>
                </c:pt>
                <c:pt idx="400">
                  <c:v>6.2294586594417076</c:v>
                </c:pt>
                <c:pt idx="401">
                  <c:v>5.8432567991334583</c:v>
                </c:pt>
                <c:pt idx="402">
                  <c:v>5.4557697886389613</c:v>
                </c:pt>
                <c:pt idx="403">
                  <c:v>5.0671415082842097</c:v>
                </c:pt>
                <c:pt idx="404">
                  <c:v>4.6775044633524434</c:v>
                </c:pt>
                <c:pt idx="405">
                  <c:v>4.286980582086751</c:v>
                </c:pt>
                <c:pt idx="406">
                  <c:v>3.8956819915511653</c:v>
                </c:pt>
                <c:pt idx="407">
                  <c:v>3.503711765593629</c:v>
                </c:pt>
                <c:pt idx="408">
                  <c:v>3.1111646407739126</c:v>
                </c:pt>
                <c:pt idx="409">
                  <c:v>2.7181276974722968</c:v>
                </c:pt>
                <c:pt idx="410">
                  <c:v>2.324681004501342</c:v>
                </c:pt>
                <c:pt idx="411">
                  <c:v>1.9308982264476404</c:v>
                </c:pt>
                <c:pt idx="412">
                  <c:v>1.5368471936831807</c:v>
                </c:pt>
                <c:pt idx="413">
                  <c:v>1.1425904355522074</c:v>
                </c:pt>
                <c:pt idx="414">
                  <c:v>0.74818567766468247</c:v>
                </c:pt>
                <c:pt idx="415">
                  <c:v>0.35368630454984784</c:v>
                </c:pt>
                <c:pt idx="416">
                  <c:v>-4.0858210851435352E-2</c:v>
                </c:pt>
                <c:pt idx="417">
                  <c:v>-0.43540190922323496</c:v>
                </c:pt>
                <c:pt idx="418">
                  <c:v>-0.82990197671475963</c:v>
                </c:pt>
                <c:pt idx="419">
                  <c:v>-1.2243184048172844</c:v>
                </c:pt>
                <c:pt idx="420">
                  <c:v>-1.618613676503716</c:v>
                </c:pt>
                <c:pt idx="421">
                  <c:v>-2.0127524768818041</c:v>
                </c:pt>
                <c:pt idx="422">
                  <c:v>-2.4067014266562556</c:v>
                </c:pt>
                <c:pt idx="423">
                  <c:v>-2.8004288367630386</c:v>
                </c:pt>
                <c:pt idx="424">
                  <c:v>-3.1939044826076501</c:v>
                </c:pt>
                <c:pt idx="425">
                  <c:v>-3.5870993964276328</c:v>
                </c:pt>
                <c:pt idx="426">
                  <c:v>-3.9799856763857742</c:v>
                </c:pt>
                <c:pt idx="427">
                  <c:v>-4.3725363110879067</c:v>
                </c:pt>
                <c:pt idx="428">
                  <c:v>-4.7647250183158043</c:v>
                </c:pt>
                <c:pt idx="429">
                  <c:v>-5.1565260968547548</c:v>
                </c:pt>
                <c:pt idx="430">
                  <c:v>-5.5479142903775909</c:v>
                </c:pt>
                <c:pt idx="431">
                  <c:v>-5.9388646624447885</c:v>
                </c:pt>
                <c:pt idx="432">
                  <c:v>-6.3293524817513314</c:v>
                </c:pt>
                <c:pt idx="433">
                  <c:v>-6.7193531168403533</c:v>
                </c:pt>
                <c:pt idx="434">
                  <c:v>-7.108841939571187</c:v>
                </c:pt>
                <c:pt idx="435">
                  <c:v>-7.497794236705893</c:v>
                </c:pt>
                <c:pt idx="436">
                  <c:v>-7.8861851290465603</c:v>
                </c:pt>
                <c:pt idx="437">
                  <c:v>-8.2739894976161672</c:v>
                </c:pt>
                <c:pt idx="438">
                  <c:v>-8.661181916439519</c:v>
                </c:pt>
                <c:pt idx="439">
                  <c:v>-9.047736591535589</c:v>
                </c:pt>
                <c:pt idx="440">
                  <c:v>-9.4336273057853397</c:v>
                </c:pt>
                <c:pt idx="441">
                  <c:v>-9.8188273693914496</c:v>
                </c:pt>
                <c:pt idx="442">
                  <c:v>-10.203309575687298</c:v>
                </c:pt>
                <c:pt idx="443">
                  <c:v>-10.587046162100911</c:v>
                </c:pt>
                <c:pt idx="444">
                  <c:v>-10.970008776115915</c:v>
                </c:pt>
                <c:pt idx="445">
                  <c:v>-11.35216844610971</c:v>
                </c:pt>
                <c:pt idx="446">
                  <c:v>-11.733495556982074</c:v>
                </c:pt>
                <c:pt idx="447">
                  <c:v>-12.11395983051781</c:v>
                </c:pt>
                <c:pt idx="448">
                  <c:v>-12.49353031045684</c:v>
                </c:pt>
                <c:pt idx="449">
                  <c:v>-12.872175352266421</c:v>
                </c:pt>
                <c:pt idx="450">
                  <c:v>-13.249862617634971</c:v>
                </c:pt>
                <c:pt idx="451">
                  <c:v>-13.626559073723969</c:v>
                </c:pt>
                <c:pt idx="452">
                  <c:v>-14.002230997230194</c:v>
                </c:pt>
                <c:pt idx="453">
                  <c:v>-14.376843983323946</c:v>
                </c:pt>
                <c:pt idx="454">
                  <c:v>-14.750362959535403</c:v>
                </c:pt>
                <c:pt idx="455">
                  <c:v>-15.122752204670757</c:v>
                </c:pt>
                <c:pt idx="456">
                  <c:v>-15.493975372835994</c:v>
                </c:pt>
                <c:pt idx="457">
                  <c:v>-15.863995522653227</c:v>
                </c:pt>
                <c:pt idx="458">
                  <c:v>-16.232775151738505</c:v>
                </c:pt>
                <c:pt idx="459">
                  <c:v>-16.600276236511185</c:v>
                </c:pt>
                <c:pt idx="460">
                  <c:v>-16.966460277383813</c:v>
                </c:pt>
                <c:pt idx="461">
                  <c:v>-17.331288349370066</c:v>
                </c:pt>
                <c:pt idx="462">
                  <c:v>-17.694721158123361</c:v>
                </c:pt>
                <c:pt idx="463">
                  <c:v>-18.056719101396229</c:v>
                </c:pt>
                <c:pt idx="464">
                  <c:v>-18.417242335880523</c:v>
                </c:pt>
                <c:pt idx="465">
                  <c:v>-18.776250849354973</c:v>
                </c:pt>
                <c:pt idx="466">
                  <c:v>-19.133704538033147</c:v>
                </c:pt>
                <c:pt idx="467">
                  <c:v>-19.48956328896087</c:v>
                </c:pt>
                <c:pt idx="468">
                  <c:v>-19.843787067272942</c:v>
                </c:pt>
                <c:pt idx="469">
                  <c:v>-20.196336008071334</c:v>
                </c:pt>
                <c:pt idx="470">
                  <c:v>-20.547170512640513</c:v>
                </c:pt>
                <c:pt idx="471">
                  <c:v>-20.89625134866473</c:v>
                </c:pt>
                <c:pt idx="472">
                  <c:v>-21.243539754061924</c:v>
                </c:pt>
                <c:pt idx="473">
                  <c:v>-21.588997543999508</c:v>
                </c:pt>
                <c:pt idx="474">
                  <c:v>-21.932587220604521</c:v>
                </c:pt>
                <c:pt idx="475">
                  <c:v>-22.274272084831459</c:v>
                </c:pt>
                <c:pt idx="476">
                  <c:v>-22.614016349906084</c:v>
                </c:pt>
                <c:pt idx="477">
                  <c:v>-22.951785255716072</c:v>
                </c:pt>
                <c:pt idx="478">
                  <c:v>-23.287545183480148</c:v>
                </c:pt>
                <c:pt idx="479">
                  <c:v>-23.621263769993771</c:v>
                </c:pt>
                <c:pt idx="480">
                  <c:v>-23.952910020714405</c:v>
                </c:pt>
                <c:pt idx="481">
                  <c:v>-24.282454420931259</c:v>
                </c:pt>
                <c:pt idx="482">
                  <c:v>-24.609869044244995</c:v>
                </c:pt>
                <c:pt idx="483">
                  <c:v>-24.93512765757615</c:v>
                </c:pt>
                <c:pt idx="484">
                  <c:v>-25.258205821920487</c:v>
                </c:pt>
                <c:pt idx="485">
                  <c:v>-25.579080988080953</c:v>
                </c:pt>
                <c:pt idx="486">
                  <c:v>-25.89773258662245</c:v>
                </c:pt>
                <c:pt idx="487">
                  <c:v>-26.214142111327206</c:v>
                </c:pt>
                <c:pt idx="488">
                  <c:v>-26.528293195462883</c:v>
                </c:pt>
                <c:pt idx="489">
                  <c:v>-26.840171680227272</c:v>
                </c:pt>
                <c:pt idx="490">
                  <c:v>-27.149765674785314</c:v>
                </c:pt>
                <c:pt idx="491">
                  <c:v>-27.45706560738196</c:v>
                </c:pt>
                <c:pt idx="492">
                  <c:v>-27.762064267085513</c:v>
                </c:pt>
                <c:pt idx="493">
                  <c:v>-28.064756835792185</c:v>
                </c:pt>
                <c:pt idx="494">
                  <c:v>-28.365140910211785</c:v>
                </c:pt>
                <c:pt idx="495">
                  <c:v>-28.663216513637128</c:v>
                </c:pt>
                <c:pt idx="496">
                  <c:v>-28.958986097395059</c:v>
                </c:pt>
                <c:pt idx="497">
                  <c:v>-29.252454531968276</c:v>
                </c:pt>
                <c:pt idx="498">
                  <c:v>-29.543629087868425</c:v>
                </c:pt>
                <c:pt idx="499">
                  <c:v>-29.83251940643671</c:v>
                </c:pt>
                <c:pt idx="500">
                  <c:v>-30.119137460832693</c:v>
                </c:pt>
                <c:pt idx="501">
                  <c:v>-30.403497507559383</c:v>
                </c:pt>
                <c:pt idx="502">
                  <c:v>-30.685616028952456</c:v>
                </c:pt>
                <c:pt idx="503">
                  <c:v>-30.965511667132667</c:v>
                </c:pt>
                <c:pt idx="504">
                  <c:v>-31.243205149989272</c:v>
                </c:pt>
                <c:pt idx="505">
                  <c:v>-31.518719209817672</c:v>
                </c:pt>
                <c:pt idx="506">
                  <c:v>-31.792078495283796</c:v>
                </c:pt>
                <c:pt idx="507">
                  <c:v>-32.063309477429286</c:v>
                </c:pt>
                <c:pt idx="508">
                  <c:v>-32.332440350458725</c:v>
                </c:pt>
                <c:pt idx="509">
                  <c:v>-32.599500928072594</c:v>
                </c:pt>
                <c:pt idx="510">
                  <c:v>-32.864522536120361</c:v>
                </c:pt>
                <c:pt idx="511">
                  <c:v>-33.127537902349872</c:v>
                </c:pt>
                <c:pt idx="512">
                  <c:v>-33.388581044020668</c:v>
                </c:pt>
                <c:pt idx="513">
                  <c:v>-33.64768715413679</c:v>
                </c:pt>
                <c:pt idx="514">
                  <c:v>-33.904892487028441</c:v>
                </c:pt>
                <c:pt idx="515">
                  <c:v>-34.16023424398302</c:v>
                </c:pt>
                <c:pt idx="516">
                  <c:v>-34.413750459592784</c:v>
                </c:pt>
                <c:pt idx="517">
                  <c:v>-34.665479889442246</c:v>
                </c:pt>
                <c:pt idx="518">
                  <c:v>-34.915461899714266</c:v>
                </c:pt>
                <c:pt idx="519">
                  <c:v>-35.163736359247956</c:v>
                </c:pt>
                <c:pt idx="520">
                  <c:v>-35.410343534527087</c:v>
                </c:pt>
                <c:pt idx="521">
                  <c:v>-35.655323988028357</c:v>
                </c:pt>
                <c:pt idx="522">
                  <c:v>-35.89871848030387</c:v>
                </c:pt>
                <c:pt idx="523">
                  <c:v>-36.140567876120869</c:v>
                </c:pt>
                <c:pt idx="524">
                  <c:v>-36.380913054928826</c:v>
                </c:pt>
                <c:pt idx="525">
                  <c:v>-36.619794825872091</c:v>
                </c:pt>
                <c:pt idx="526">
                  <c:v>-36.857253847518706</c:v>
                </c:pt>
                <c:pt idx="527">
                  <c:v>-37.093330552429229</c:v>
                </c:pt>
                <c:pt idx="528">
                  <c:v>-37.328065076642062</c:v>
                </c:pt>
                <c:pt idx="529">
                  <c:v>-37.56149719411831</c:v>
                </c:pt>
                <c:pt idx="530">
                  <c:v>-37.793666256139169</c:v>
                </c:pt>
                <c:pt idx="531">
                  <c:v>-38.024611135627623</c:v>
                </c:pt>
                <c:pt idx="532">
                  <c:v>-38.254370176324024</c:v>
                </c:pt>
                <c:pt idx="533">
                  <c:v>-38.482981146725123</c:v>
                </c:pt>
                <c:pt idx="534">
                  <c:v>-38.710481198665057</c:v>
                </c:pt>
                <c:pt idx="535">
                  <c:v>-38.93690683040203</c:v>
                </c:pt>
                <c:pt idx="536">
                  <c:v>-39.162293854051235</c:v>
                </c:pt>
                <c:pt idx="537">
                  <c:v>-39.386677367194672</c:v>
                </c:pt>
                <c:pt idx="538">
                  <c:v>-39.610091728480896</c:v>
                </c:pt>
                <c:pt idx="539">
                  <c:v>-39.832570537024566</c:v>
                </c:pt>
                <c:pt idx="540">
                  <c:v>-40.054146615404179</c:v>
                </c:pt>
                <c:pt idx="541">
                  <c:v>-40.274851996055254</c:v>
                </c:pt>
              </c:numCache>
            </c:numRef>
          </c:yVal>
          <c:smooth val="1"/>
          <c:extLst>
            <c:ext xmlns:c16="http://schemas.microsoft.com/office/drawing/2014/chart" uri="{C3380CC4-5D6E-409C-BE32-E72D297353CC}">
              <c16:uniqueId val="{00000000-B561-4C80-890B-643E0BF90D63}"/>
            </c:ext>
          </c:extLst>
        </c:ser>
        <c:dLbls>
          <c:showLegendKey val="0"/>
          <c:showVal val="0"/>
          <c:showCatName val="0"/>
          <c:showSerName val="0"/>
          <c:showPercent val="0"/>
          <c:showBubbleSize val="0"/>
        </c:dLbls>
        <c:axId val="162497664"/>
        <c:axId val="162499584"/>
      </c:scatterChart>
      <c:scatterChart>
        <c:scatterStyle val="smoothMarker"/>
        <c:varyColors val="0"/>
        <c:ser>
          <c:idx val="1"/>
          <c:order val="1"/>
          <c:tx>
            <c:v>Phase (deg)</c:v>
          </c:tx>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Loop_Modeling!$AE$19:$AE$560</c:f>
              <c:numCache>
                <c:formatCode>General</c:formatCode>
                <c:ptCount val="542"/>
                <c:pt idx="0">
                  <c:v>-73.859661348894164</c:v>
                </c:pt>
                <c:pt idx="1">
                  <c:v>-74.16370298491502</c:v>
                </c:pt>
                <c:pt idx="2">
                  <c:v>-74.460663631053734</c:v>
                </c:pt>
                <c:pt idx="3">
                  <c:v>-74.750619462066979</c:v>
                </c:pt>
                <c:pt idx="4">
                  <c:v>-75.033647712907083</c:v>
                </c:pt>
                <c:pt idx="5">
                  <c:v>-75.309826466075648</c:v>
                </c:pt>
                <c:pt idx="6">
                  <c:v>-75.579234450245536</c:v>
                </c:pt>
                <c:pt idx="7">
                  <c:v>-75.841950849873626</c:v>
                </c:pt>
                <c:pt idx="8">
                  <c:v>-76.098055125491555</c:v>
                </c:pt>
                <c:pt idx="9">
                  <c:v>-76.347626844351083</c:v>
                </c:pt>
                <c:pt idx="10">
                  <c:v>-76.590745521073515</c:v>
                </c:pt>
                <c:pt idx="11">
                  <c:v>-76.827490467948238</c:v>
                </c:pt>
                <c:pt idx="12">
                  <c:v>-77.057940654510517</c:v>
                </c:pt>
                <c:pt idx="13">
                  <c:v>-77.282174576025085</c:v>
                </c:pt>
                <c:pt idx="14">
                  <c:v>-77.500270130497199</c:v>
                </c:pt>
                <c:pt idx="15">
                  <c:v>-77.712304503834346</c:v>
                </c:pt>
                <c:pt idx="16">
                  <c:v>-77.918354062779486</c:v>
                </c:pt>
                <c:pt idx="17">
                  <c:v>-78.118494255244812</c:v>
                </c:pt>
                <c:pt idx="18">
                  <c:v>-78.31279951767435</c:v>
                </c:pt>
                <c:pt idx="19">
                  <c:v>-78.501343189076152</c:v>
                </c:pt>
                <c:pt idx="20">
                  <c:v>-78.684197431366883</c:v>
                </c:pt>
                <c:pt idx="21">
                  <c:v>-78.861433155685575</c:v>
                </c:pt>
                <c:pt idx="22">
                  <c:v>-79.033119954336897</c:v>
                </c:pt>
                <c:pt idx="23">
                  <c:v>-79.199326038040851</c:v>
                </c:pt>
                <c:pt idx="24">
                  <c:v>-79.360118178171035</c:v>
                </c:pt>
                <c:pt idx="25">
                  <c:v>-79.515561653678702</c:v>
                </c:pt>
                <c:pt idx="26">
                  <c:v>-79.665720202407229</c:v>
                </c:pt>
                <c:pt idx="27">
                  <c:v>-79.810655976518319</c:v>
                </c:pt>
                <c:pt idx="28">
                  <c:v>-79.950429501757981</c:v>
                </c:pt>
                <c:pt idx="29">
                  <c:v>-80.085099640303966</c:v>
                </c:pt>
                <c:pt idx="30">
                  <c:v>-80.214723556950062</c:v>
                </c:pt>
                <c:pt idx="31">
                  <c:v>-80.339356688389316</c:v>
                </c:pt>
                <c:pt idx="32">
                  <c:v>-80.459052715374284</c:v>
                </c:pt>
                <c:pt idx="33">
                  <c:v>-80.573863537541669</c:v>
                </c:pt>
                <c:pt idx="34">
                  <c:v>-80.683839250697886</c:v>
                </c:pt>
                <c:pt idx="35">
                  <c:v>-80.789028126376593</c:v>
                </c:pt>
                <c:pt idx="36">
                  <c:v>-80.889476593486108</c:v>
                </c:pt>
                <c:pt idx="37">
                  <c:v>-80.98522922187658</c:v>
                </c:pt>
                <c:pt idx="38">
                  <c:v>-81.076328707666292</c:v>
                </c:pt>
                <c:pt idx="39">
                  <c:v>-81.162815860174902</c:v>
                </c:pt>
                <c:pt idx="40">
                  <c:v>-81.244729590322876</c:v>
                </c:pt>
                <c:pt idx="41">
                  <c:v>-81.322106900362058</c:v>
                </c:pt>
                <c:pt idx="42">
                  <c:v>-81.394982874814644</c:v>
                </c:pt>
                <c:pt idx="43">
                  <c:v>-81.463390672501916</c:v>
                </c:pt>
                <c:pt idx="44">
                  <c:v>-81.527361519555726</c:v>
                </c:pt>
                <c:pt idx="45">
                  <c:v>-81.586924703311013</c:v>
                </c:pt>
                <c:pt idx="46">
                  <c:v>-81.642107566986482</c:v>
                </c:pt>
                <c:pt idx="47">
                  <c:v>-81.692935505065591</c:v>
                </c:pt>
                <c:pt idx="48">
                  <c:v>-81.739431959300262</c:v>
                </c:pt>
                <c:pt idx="49">
                  <c:v>-81.781618415262656</c:v>
                </c:pt>
                <c:pt idx="50">
                  <c:v>-81.819514399379216</c:v>
                </c:pt>
                <c:pt idx="51">
                  <c:v>-81.853137476386252</c:v>
                </c:pt>
                <c:pt idx="52">
                  <c:v>-81.882503247153323</c:v>
                </c:pt>
                <c:pt idx="53">
                  <c:v>-81.907625346824645</c:v>
                </c:pt>
                <c:pt idx="54">
                  <c:v>-81.92851544323625</c:v>
                </c:pt>
                <c:pt idx="55">
                  <c:v>-81.94518323557196</c:v>
                </c:pt>
                <c:pt idx="56">
                  <c:v>-81.957636453224822</c:v>
                </c:pt>
                <c:pt idx="57">
                  <c:v>-81.965880854837948</c:v>
                </c:pt>
                <c:pt idx="58">
                  <c:v>-81.969920227503167</c:v>
                </c:pt>
                <c:pt idx="59">
                  <c:v>-81.969756386100528</c:v>
                </c:pt>
                <c:pt idx="60">
                  <c:v>-81.965389172767317</c:v>
                </c:pt>
                <c:pt idx="61">
                  <c:v>-81.956816456490017</c:v>
                </c:pt>
                <c:pt idx="62">
                  <c:v>-81.94403413281735</c:v>
                </c:pt>
                <c:pt idx="63">
                  <c:v>-81.927036123698727</c:v>
                </c:pt>
                <c:pt idx="64">
                  <c:v>-81.90581437745486</c:v>
                </c:pt>
                <c:pt idx="65">
                  <c:v>-81.880358868895556</c:v>
                </c:pt>
                <c:pt idx="66">
                  <c:v>-81.850657599602542</c:v>
                </c:pt>
                <c:pt idx="67">
                  <c:v>-81.816696598399673</c:v>
                </c:pt>
                <c:pt idx="68">
                  <c:v>-81.778459922041847</c:v>
                </c:pt>
                <c:pt idx="69">
                  <c:v>-81.735929656153985</c:v>
                </c:pt>
                <c:pt idx="70">
                  <c:v>-81.689085916461678</c:v>
                </c:pt>
                <c:pt idx="71">
                  <c:v>-81.637906850357169</c:v>
                </c:pt>
                <c:pt idx="72">
                  <c:v>-81.582368638851975</c:v>
                </c:pt>
                <c:pt idx="73">
                  <c:v>-81.522445498973383</c:v>
                </c:pt>
                <c:pt idx="74">
                  <c:v>-81.458109686665907</c:v>
                </c:pt>
                <c:pt idx="75">
                  <c:v>-81.389331500268852</c:v>
                </c:pt>
                <c:pt idx="76">
                  <c:v>-81.316079284643394</c:v>
                </c:pt>
                <c:pt idx="77">
                  <c:v>-81.238319436032967</c:v>
                </c:pt>
                <c:pt idx="78">
                  <c:v>-81.156016407744602</c:v>
                </c:pt>
                <c:pt idx="79">
                  <c:v>-81.069132716749735</c:v>
                </c:pt>
                <c:pt idx="80">
                  <c:v>-80.977628951305661</c:v>
                </c:pt>
                <c:pt idx="81">
                  <c:v>-80.881463779711552</c:v>
                </c:pt>
                <c:pt idx="82">
                  <c:v>-80.780593960317105</c:v>
                </c:pt>
                <c:pt idx="83">
                  <c:v>-80.674974352913722</c:v>
                </c:pt>
                <c:pt idx="84">
                  <c:v>-80.564557931642426</c:v>
                </c:pt>
                <c:pt idx="85">
                  <c:v>-80.449295799567324</c:v>
                </c:pt>
                <c:pt idx="86">
                  <c:v>-80.329137205066601</c:v>
                </c:pt>
                <c:pt idx="87">
                  <c:v>-80.204029560208596</c:v>
                </c:pt>
                <c:pt idx="88">
                  <c:v>-80.073918461284507</c:v>
                </c:pt>
                <c:pt idx="89">
                  <c:v>-79.938747711686332</c:v>
                </c:pt>
                <c:pt idx="90">
                  <c:v>-79.798459347320374</c:v>
                </c:pt>
                <c:pt idx="91">
                  <c:v>-79.652993664767877</c:v>
                </c:pt>
                <c:pt idx="92">
                  <c:v>-79.50228925240576</c:v>
                </c:pt>
                <c:pt idx="93">
                  <c:v>-79.346283024717295</c:v>
                </c:pt>
                <c:pt idx="94">
                  <c:v>-79.184910260032169</c:v>
                </c:pt>
                <c:pt idx="95">
                  <c:v>-79.018104641948739</c:v>
                </c:pt>
                <c:pt idx="96">
                  <c:v>-78.845798304698448</c:v>
                </c:pt>
                <c:pt idx="97">
                  <c:v>-78.667921882728919</c:v>
                </c:pt>
                <c:pt idx="98">
                  <c:v>-78.48440456479257</c:v>
                </c:pt>
                <c:pt idx="99">
                  <c:v>-78.295174152836239</c:v>
                </c:pt>
                <c:pt idx="100">
                  <c:v>-78.100157126002401</c:v>
                </c:pt>
                <c:pt idx="101">
                  <c:v>-77.899278710060671</c:v>
                </c:pt>
                <c:pt idx="102">
                  <c:v>-77.692462952601545</c:v>
                </c:pt>
                <c:pt idx="103">
                  <c:v>-77.479632804329896</c:v>
                </c:pt>
                <c:pt idx="104">
                  <c:v>-77.260710206810586</c:v>
                </c:pt>
                <c:pt idx="105">
                  <c:v>-77.035616187021063</c:v>
                </c:pt>
                <c:pt idx="106">
                  <c:v>-76.804270959077144</c:v>
                </c:pt>
                <c:pt idx="107">
                  <c:v>-76.566594033501602</c:v>
                </c:pt>
                <c:pt idx="108">
                  <c:v>-76.322504334411121</c:v>
                </c:pt>
                <c:pt idx="109">
                  <c:v>-76.071920324997905</c:v>
                </c:pt>
                <c:pt idx="110">
                  <c:v>-75.814760141683607</c:v>
                </c:pt>
                <c:pt idx="111">
                  <c:v>-75.550941737322447</c:v>
                </c:pt>
                <c:pt idx="112">
                  <c:v>-75.280383033823099</c:v>
                </c:pt>
                <c:pt idx="113">
                  <c:v>-75.003002084553245</c:v>
                </c:pt>
                <c:pt idx="114">
                  <c:v>-74.718717246880857</c:v>
                </c:pt>
                <c:pt idx="115">
                  <c:v>-74.427447365187632</c:v>
                </c:pt>
                <c:pt idx="116">
                  <c:v>-74.129111964675729</c:v>
                </c:pt>
                <c:pt idx="117">
                  <c:v>-73.823631456263229</c:v>
                </c:pt>
                <c:pt idx="118">
                  <c:v>-73.510927352834372</c:v>
                </c:pt>
                <c:pt idx="119">
                  <c:v>-73.190922497081743</c:v>
                </c:pt>
                <c:pt idx="120">
                  <c:v>-72.863541301130653</c:v>
                </c:pt>
                <c:pt idx="121">
                  <c:v>-72.528709998098336</c:v>
                </c:pt>
                <c:pt idx="122">
                  <c:v>-72.186356905682601</c:v>
                </c:pt>
                <c:pt idx="123">
                  <c:v>-71.836412701815391</c:v>
                </c:pt>
                <c:pt idx="124">
                  <c:v>-71.478810712354871</c:v>
                </c:pt>
                <c:pt idx="125">
                  <c:v>-71.11348721070847</c:v>
                </c:pt>
                <c:pt idx="126">
                  <c:v>-70.740381729198788</c:v>
                </c:pt>
                <c:pt idx="127">
                  <c:v>-70.359437381896214</c:v>
                </c:pt>
                <c:pt idx="128">
                  <c:v>-69.970601198537992</c:v>
                </c:pt>
                <c:pt idx="129">
                  <c:v>-69.573824469044808</c:v>
                </c:pt>
                <c:pt idx="130">
                  <c:v>-69.169063098035309</c:v>
                </c:pt>
                <c:pt idx="131">
                  <c:v>-68.756277968603513</c:v>
                </c:pt>
                <c:pt idx="132">
                  <c:v>-68.335435314501026</c:v>
                </c:pt>
                <c:pt idx="133">
                  <c:v>-67.906507099715029</c:v>
                </c:pt>
                <c:pt idx="134">
                  <c:v>-67.469471404291724</c:v>
                </c:pt>
                <c:pt idx="135">
                  <c:v>-67.024312815094746</c:v>
                </c:pt>
                <c:pt idx="136">
                  <c:v>-66.571022820031232</c:v>
                </c:pt>
                <c:pt idx="137">
                  <c:v>-66.109600204112127</c:v>
                </c:pt>
                <c:pt idx="138">
                  <c:v>-65.640051445546476</c:v>
                </c:pt>
                <c:pt idx="139">
                  <c:v>-65.162391109898834</c:v>
                </c:pt>
                <c:pt idx="140">
                  <c:v>-64.676642240179945</c:v>
                </c:pt>
                <c:pt idx="141">
                  <c:v>-64.182836740562919</c:v>
                </c:pt>
                <c:pt idx="142">
                  <c:v>-63.68101575127227</c:v>
                </c:pt>
                <c:pt idx="143">
                  <c:v>-63.171230012035821</c:v>
                </c:pt>
                <c:pt idx="144">
                  <c:v>-62.653540211348762</c:v>
                </c:pt>
                <c:pt idx="145">
                  <c:v>-62.128017318678602</c:v>
                </c:pt>
                <c:pt idx="146">
                  <c:v>-61.594742896629427</c:v>
                </c:pt>
                <c:pt idx="147">
                  <c:v>-61.053809389996168</c:v>
                </c:pt>
                <c:pt idx="148">
                  <c:v>-60.505320388574773</c:v>
                </c:pt>
                <c:pt idx="149">
                  <c:v>-59.94939086056398</c:v>
                </c:pt>
                <c:pt idx="150">
                  <c:v>-59.386147353378135</c:v>
                </c:pt>
                <c:pt idx="151">
                  <c:v>-58.815728158729151</c:v>
                </c:pt>
                <c:pt idx="152">
                  <c:v>-58.238283438892267</c:v>
                </c:pt>
                <c:pt idx="153">
                  <c:v>-57.653975311172935</c:v>
                </c:pt>
                <c:pt idx="154">
                  <c:v>-57.062977887744033</c:v>
                </c:pt>
                <c:pt idx="155">
                  <c:v>-56.465477268194498</c:v>
                </c:pt>
                <c:pt idx="156">
                  <c:v>-55.861671482373865</c:v>
                </c:pt>
                <c:pt idx="157">
                  <c:v>-55.251770381379188</c:v>
                </c:pt>
                <c:pt idx="158">
                  <c:v>-54.6359954748484</c:v>
                </c:pt>
                <c:pt idx="159">
                  <c:v>-54.014579713089212</c:v>
                </c:pt>
                <c:pt idx="160">
                  <c:v>-53.387767212951935</c:v>
                </c:pt>
                <c:pt idx="161">
                  <c:v>-52.755812926803344</c:v>
                </c:pt>
                <c:pt idx="162">
                  <c:v>-52.118982254411513</c:v>
                </c:pt>
                <c:pt idx="163">
                  <c:v>-51.477550598044232</c:v>
                </c:pt>
                <c:pt idx="164">
                  <c:v>-50.831802861597389</c:v>
                </c:pt>
                <c:pt idx="165">
                  <c:v>-50.182032895093315</c:v>
                </c:pt>
                <c:pt idx="166">
                  <c:v>-49.528542886422784</c:v>
                </c:pt>
                <c:pt idx="167">
                  <c:v>-48.871642702735762</c:v>
                </c:pt>
                <c:pt idx="168">
                  <c:v>-48.211649184409929</c:v>
                </c:pt>
                <c:pt idx="169">
                  <c:v>-47.548885395032222</c:v>
                </c:pt>
                <c:pt idx="170">
                  <c:v>-46.88367983130955</c:v>
                </c:pt>
                <c:pt idx="171">
                  <c:v>-46.216365597271697</c:v>
                </c:pt>
                <c:pt idx="172">
                  <c:v>-45.547279547532192</c:v>
                </c:pt>
                <c:pt idx="173">
                  <c:v>-44.876761404731909</c:v>
                </c:pt>
                <c:pt idx="174">
                  <c:v>-44.205152856587546</c:v>
                </c:pt>
                <c:pt idx="175">
                  <c:v>-43.532796638210776</c:v>
                </c:pt>
                <c:pt idx="176">
                  <c:v>-42.860035605529518</c:v>
                </c:pt>
                <c:pt idx="177">
                  <c:v>-42.187211805755354</c:v>
                </c:pt>
                <c:pt idx="178">
                  <c:v>-41.514665550867541</c:v>
                </c:pt>
                <c:pt idx="179">
                  <c:v>-40.8427345000554</c:v>
                </c:pt>
                <c:pt idx="180">
                  <c:v>-40.17175275693566</c:v>
                </c:pt>
                <c:pt idx="181">
                  <c:v>-39.502049987200245</c:v>
                </c:pt>
                <c:pt idx="182">
                  <c:v>-38.833950562093953</c:v>
                </c:pt>
                <c:pt idx="183">
                  <c:v>-38.167772732828041</c:v>
                </c:pt>
                <c:pt idx="184">
                  <c:v>-37.50382784065981</c:v>
                </c:pt>
                <c:pt idx="185">
                  <c:v>-36.84241956698235</c:v>
                </c:pt>
                <c:pt idx="186">
                  <c:v>-36.183843227296201</c:v>
                </c:pt>
                <c:pt idx="187">
                  <c:v>-35.528385112468726</c:v>
                </c:pt>
                <c:pt idx="188">
                  <c:v>-34.876321880172583</c:v>
                </c:pt>
                <c:pt idx="189">
                  <c:v>-34.227919998868344</c:v>
                </c:pt>
                <c:pt idx="190">
                  <c:v>-33.5834352461656</c:v>
                </c:pt>
                <c:pt idx="191">
                  <c:v>-32.943112262869683</c:v>
                </c:pt>
                <c:pt idx="192">
                  <c:v>-32.307184163482617</c:v>
                </c:pt>
                <c:pt idx="193">
                  <c:v>-31.675872203429762</c:v>
                </c:pt>
                <c:pt idx="194">
                  <c:v>-31.049385502787064</c:v>
                </c:pt>
                <c:pt idx="195">
                  <c:v>-30.427920825825346</c:v>
                </c:pt>
                <c:pt idx="196">
                  <c:v>-29.811662415256418</c:v>
                </c:pt>
                <c:pt idx="197">
                  <c:v>-29.200781879672999</c:v>
                </c:pt>
                <c:pt idx="198">
                  <c:v>-28.595438132321036</c:v>
                </c:pt>
                <c:pt idx="199">
                  <c:v>-27.995777379029697</c:v>
                </c:pt>
                <c:pt idx="200">
                  <c:v>-27.40193315285461</c:v>
                </c:pt>
                <c:pt idx="201">
                  <c:v>-26.814026392762237</c:v>
                </c:pt>
                <c:pt idx="202">
                  <c:v>-26.232165563503091</c:v>
                </c:pt>
                <c:pt idx="203">
                  <c:v>-25.656446813677512</c:v>
                </c:pt>
                <c:pt idx="204">
                  <c:v>-25.086954168899641</c:v>
                </c:pt>
                <c:pt idx="205">
                  <c:v>-24.52375975690029</c:v>
                </c:pt>
                <c:pt idx="206">
                  <c:v>-23.966924061388983</c:v>
                </c:pt>
                <c:pt idx="207">
                  <c:v>-23.416496201497957</c:v>
                </c:pt>
                <c:pt idx="208">
                  <c:v>-22.872514233671229</c:v>
                </c:pt>
                <c:pt idx="209">
                  <c:v>-22.335005472926714</c:v>
                </c:pt>
                <c:pt idx="210">
                  <c:v>-21.803986830508322</c:v>
                </c:pt>
                <c:pt idx="211">
                  <c:v>-21.279465165050443</c:v>
                </c:pt>
                <c:pt idx="212">
                  <c:v>-20.761437644509105</c:v>
                </c:pt>
                <c:pt idx="213">
                  <c:v>-20.249892116246656</c:v>
                </c:pt>
                <c:pt idx="214">
                  <c:v>-19.744807482814537</c:v>
                </c:pt>
                <c:pt idx="215">
                  <c:v>-19.246154081130381</c:v>
                </c:pt>
                <c:pt idx="216">
                  <c:v>-18.75389406291546</c:v>
                </c:pt>
                <c:pt idx="217">
                  <c:v>-18.267981774421241</c:v>
                </c:pt>
                <c:pt idx="218">
                  <c:v>-17.788364133643363</c:v>
                </c:pt>
                <c:pt idx="219">
                  <c:v>-17.314981003387178</c:v>
                </c:pt>
                <c:pt idx="220">
                  <c:v>-16.847765558713231</c:v>
                </c:pt>
                <c:pt idx="221">
                  <c:v>-16.386644647448225</c:v>
                </c:pt>
                <c:pt idx="222">
                  <c:v>-15.93153914260485</c:v>
                </c:pt>
                <c:pt idx="223">
                  <c:v>-15.48236428569642</c:v>
                </c:pt>
                <c:pt idx="224">
                  <c:v>-15.039030020077901</c:v>
                </c:pt>
                <c:pt idx="225">
                  <c:v>-14.601441313569861</c:v>
                </c:pt>
                <c:pt idx="226">
                  <c:v>-14.169498469754942</c:v>
                </c:pt>
                <c:pt idx="227">
                  <c:v>-13.743097427443981</c:v>
                </c:pt>
                <c:pt idx="228">
                  <c:v>-13.322130047920988</c:v>
                </c:pt>
                <c:pt idx="229">
                  <c:v>-12.90648438967014</c:v>
                </c:pt>
                <c:pt idx="230">
                  <c:v>-12.496044970383497</c:v>
                </c:pt>
                <c:pt idx="231">
                  <c:v>-12.090693016121266</c:v>
                </c:pt>
                <c:pt idx="232">
                  <c:v>-11.690306697577862</c:v>
                </c:pt>
                <c:pt idx="233">
                  <c:v>-11.294761353464471</c:v>
                </c:pt>
                <c:pt idx="234">
                  <c:v>-10.903929701083941</c:v>
                </c:pt>
                <c:pt idx="235">
                  <c:v>-10.517682034216591</c:v>
                </c:pt>
                <c:pt idx="236">
                  <c:v>-10.13588640848559</c:v>
                </c:pt>
                <c:pt idx="237">
                  <c:v>-9.7584088144056942</c:v>
                </c:pt>
                <c:pt idx="238">
                  <c:v>-9.3851133383488659</c:v>
                </c:pt>
                <c:pt idx="239">
                  <c:v>-9.0158623116892702</c:v>
                </c:pt>
                <c:pt idx="240">
                  <c:v>-8.6505164484112527</c:v>
                </c:pt>
                <c:pt idx="241">
                  <c:v>-8.2889349714758751</c:v>
                </c:pt>
                <c:pt idx="242">
                  <c:v>-7.9309757282610995</c:v>
                </c:pt>
                <c:pt idx="243">
                  <c:v>-7.5764952953930393</c:v>
                </c:pt>
                <c:pt idx="244">
                  <c:v>-7.2253490732932812</c:v>
                </c:pt>
                <c:pt idx="245">
                  <c:v>-6.877391370769014</c:v>
                </c:pt>
                <c:pt idx="246">
                  <c:v>-6.5324754799712546</c:v>
                </c:pt>
                <c:pt idx="247">
                  <c:v>-6.190453742044296</c:v>
                </c:pt>
                <c:pt idx="248">
                  <c:v>-5.8511776037815251</c:v>
                </c:pt>
                <c:pt idx="249">
                  <c:v>-5.5144976655971716</c:v>
                </c:pt>
                <c:pt idx="250">
                  <c:v>-5.180263721114426</c:v>
                </c:pt>
                <c:pt idx="251">
                  <c:v>-4.8483247886571528</c:v>
                </c:pt>
                <c:pt idx="252">
                  <c:v>-4.5185291349236891</c:v>
                </c:pt>
                <c:pt idx="253">
                  <c:v>-4.1907242911048677</c:v>
                </c:pt>
                <c:pt idx="254">
                  <c:v>-3.8647570616968938</c:v>
                </c:pt>
                <c:pt idx="255">
                  <c:v>-3.5404735262415583</c:v>
                </c:pt>
                <c:pt idx="256">
                  <c:v>-3.2177190342148472</c:v>
                </c:pt>
                <c:pt idx="257">
                  <c:v>-2.8963381932635244</c:v>
                </c:pt>
                <c:pt idx="258">
                  <c:v>-2.5761748509762059</c:v>
                </c:pt>
                <c:pt idx="259">
                  <c:v>-2.2570720703575247</c:v>
                </c:pt>
                <c:pt idx="260">
                  <c:v>-1.938872099153248</c:v>
                </c:pt>
                <c:pt idx="261">
                  <c:v>-1.6214163331609501</c:v>
                </c:pt>
                <c:pt idx="262">
                  <c:v>-1.3045452736388456</c:v>
                </c:pt>
                <c:pt idx="263">
                  <c:v>-0.98809847890712699</c:v>
                </c:pt>
                <c:pt idx="264">
                  <c:v>-0.67191451021956161</c:v>
                </c:pt>
                <c:pt idx="265">
                  <c:v>-0.35583087196177526</c:v>
                </c:pt>
                <c:pt idx="266">
                  <c:v>-3.9683946214251982E-2</c:v>
                </c:pt>
                <c:pt idx="267">
                  <c:v>0.27669107830157957</c:v>
                </c:pt>
                <c:pt idx="268">
                  <c:v>0.59346028289503683</c:v>
                </c:pt>
                <c:pt idx="269">
                  <c:v>0.91079110121717144</c:v>
                </c:pt>
                <c:pt idx="270">
                  <c:v>1.2288524072525384</c:v>
                </c:pt>
                <c:pt idx="271">
                  <c:v>1.547814609052524</c:v>
                </c:pt>
                <c:pt idx="272">
                  <c:v>1.8678497482935685</c:v>
                </c:pt>
                <c:pt idx="273">
                  <c:v>2.1891316057627188</c:v>
                </c:pt>
                <c:pt idx="274">
                  <c:v>2.5118358128957023</c:v>
                </c:pt>
                <c:pt idx="275">
                  <c:v>2.8361399695124296</c:v>
                </c:pt>
                <c:pt idx="276">
                  <c:v>3.1622237679187579</c:v>
                </c:pt>
                <c:pt idx="277">
                  <c:v>3.4902691235635435</c:v>
                </c:pt>
                <c:pt idx="278">
                  <c:v>3.8204603124643088</c:v>
                </c:pt>
                <c:pt idx="279">
                  <c:v>4.1529841156348661</c:v>
                </c:pt>
                <c:pt idx="280">
                  <c:v>4.4880299707763145</c:v>
                </c:pt>
                <c:pt idx="281">
                  <c:v>4.8257901315093275</c:v>
                </c:pt>
                <c:pt idx="282">
                  <c:v>5.166459834456921</c:v>
                </c:pt>
                <c:pt idx="283">
                  <c:v>5.5102374745037741</c:v>
                </c:pt>
                <c:pt idx="284">
                  <c:v>5.8573247885882225</c:v>
                </c:pt>
                <c:pt idx="285">
                  <c:v>6.2079270484026496</c:v>
                </c:pt>
                <c:pt idx="286">
                  <c:v>6.5622532624048304</c:v>
                </c:pt>
                <c:pt idx="287">
                  <c:v>6.9205163875656535</c:v>
                </c:pt>
                <c:pt idx="288">
                  <c:v>7.2829335513025475</c:v>
                </c:pt>
                <c:pt idx="289">
                  <c:v>7.6497262840702911</c:v>
                </c:pt>
                <c:pt idx="290">
                  <c:v>8.021120763104479</c:v>
                </c:pt>
                <c:pt idx="291">
                  <c:v>8.3973480678315209</c:v>
                </c:pt>
                <c:pt idx="292">
                  <c:v>8.7786444474823622</c:v>
                </c:pt>
                <c:pt idx="293">
                  <c:v>9.165251601459115</c:v>
                </c:pt>
                <c:pt idx="294">
                  <c:v>9.5574169730247558</c:v>
                </c:pt>
                <c:pt idx="295">
                  <c:v>9.9553940568927448</c:v>
                </c:pt>
                <c:pt idx="296">
                  <c:v>10.359442721304152</c:v>
                </c:pt>
                <c:pt idx="297">
                  <c:v>10.769829545181853</c:v>
                </c:pt>
                <c:pt idx="298">
                  <c:v>11.186828170947944</c:v>
                </c:pt>
                <c:pt idx="299">
                  <c:v>11.610719673579847</c:v>
                </c:pt>
                <c:pt idx="300">
                  <c:v>12.041792946464495</c:v>
                </c:pt>
                <c:pt idx="301">
                  <c:v>12.480345104575498</c:v>
                </c:pt>
                <c:pt idx="302">
                  <c:v>12.92668190546256</c:v>
                </c:pt>
                <c:pt idx="303">
                  <c:v>13.381118188482246</c:v>
                </c:pt>
                <c:pt idx="304">
                  <c:v>13.843978332624825</c:v>
                </c:pt>
                <c:pt idx="305">
                  <c:v>14.315596733204808</c:v>
                </c:pt>
                <c:pt idx="306">
                  <c:v>14.796318297555427</c:v>
                </c:pt>
                <c:pt idx="307">
                  <c:v>15.286498959729782</c:v>
                </c:pt>
                <c:pt idx="308">
                  <c:v>15.786506214029396</c:v>
                </c:pt>
                <c:pt idx="309">
                  <c:v>16.296719666963874</c:v>
                </c:pt>
                <c:pt idx="310">
                  <c:v>16.817531606988176</c:v>
                </c:pt>
                <c:pt idx="311">
                  <c:v>17.34934759104889</c:v>
                </c:pt>
                <c:pt idx="312">
                  <c:v>17.892587046602877</c:v>
                </c:pt>
                <c:pt idx="313">
                  <c:v>18.447683887330349</c:v>
                </c:pt>
                <c:pt idx="314">
                  <c:v>19.015087140249527</c:v>
                </c:pt>
                <c:pt idx="315">
                  <c:v>19.595261581330551</c:v>
                </c:pt>
                <c:pt idx="316">
                  <c:v>20.188688376000844</c:v>
                </c:pt>
                <c:pt idx="317">
                  <c:v>20.795865720099677</c:v>
                </c:pt>
                <c:pt idx="318">
                  <c:v>21.417309475890221</c:v>
                </c:pt>
                <c:pt idx="319">
                  <c:v>22.053553796618978</c:v>
                </c:pt>
                <c:pt idx="320">
                  <c:v>22.705151731838317</c:v>
                </c:pt>
                <c:pt idx="321">
                  <c:v>23.372675804237502</c:v>
                </c:pt>
                <c:pt idx="322">
                  <c:v>24.056718547047552</c:v>
                </c:pt>
                <c:pt idx="323">
                  <c:v>24.757892989168784</c:v>
                </c:pt>
                <c:pt idx="324">
                  <c:v>25.476833073002709</c:v>
                </c:pt>
                <c:pt idx="325">
                  <c:v>26.214193987502558</c:v>
                </c:pt>
                <c:pt idx="326">
                  <c:v>26.970652396211662</c:v>
                </c:pt>
                <c:pt idx="327">
                  <c:v>27.74690653696344</c:v>
                </c:pt>
                <c:pt idx="328">
                  <c:v>28.543676166492524</c:v>
                </c:pt>
                <c:pt idx="329">
                  <c:v>29.361702319430414</c:v>
                </c:pt>
                <c:pt idx="330">
                  <c:v>30.201746847008739</c:v>
                </c:pt>
                <c:pt idx="331">
                  <c:v>31.064591696329384</c:v>
                </c:pt>
                <c:pt idx="332">
                  <c:v>31.951037886235557</c:v>
                </c:pt>
                <c:pt idx="333">
                  <c:v>32.861904130760202</c:v>
                </c:pt>
                <c:pt idx="334">
                  <c:v>33.798025055834245</c:v>
                </c:pt>
                <c:pt idx="335">
                  <c:v>34.760248949590554</c:v>
                </c:pt>
                <c:pt idx="336">
                  <c:v>35.749434981288843</c:v>
                </c:pt>
                <c:pt idx="337">
                  <c:v>36.766449818884446</c:v>
                </c:pt>
                <c:pt idx="338">
                  <c:v>37.812163570771403</c:v>
                </c:pt>
                <c:pt idx="339">
                  <c:v>38.88744497366428</c:v>
                </c:pt>
                <c:pt idx="340">
                  <c:v>39.993155746318756</c:v>
                </c:pt>
                <c:pt idx="341">
                  <c:v>41.130144028386894</c:v>
                </c:pt>
                <c:pt idx="342">
                  <c:v>42.299236825754747</c:v>
                </c:pt>
                <c:pt idx="343">
                  <c:v>43.501231388967689</c:v>
                </c:pt>
                <c:pt idx="344">
                  <c:v>44.736885460601577</c:v>
                </c:pt>
                <c:pt idx="345">
                  <c:v>46.006906341581967</c:v>
                </c:pt>
                <c:pt idx="346">
                  <c:v>47.31193874642463</c:v>
                </c:pt>
                <c:pt idx="347">
                  <c:v>48.652551444066106</c:v>
                </c:pt>
                <c:pt idx="348">
                  <c:v>50.02922271524222</c:v>
                </c:pt>
                <c:pt idx="349">
                  <c:v>51.442324699852854</c:v>
                </c:pt>
                <c:pt idx="350">
                  <c:v>52.892106758828348</c:v>
                </c:pt>
                <c:pt idx="351">
                  <c:v>54.378678034529756</c:v>
                </c:pt>
                <c:pt idx="352">
                  <c:v>55.901989460964963</c:v>
                </c:pt>
                <c:pt idx="353">
                  <c:v>57.461815548532748</c:v>
                </c:pt>
                <c:pt idx="354">
                  <c:v>59.057736345183969</c:v>
                </c:pt>
                <c:pt idx="355">
                  <c:v>60.689120053177653</c:v>
                </c:pt>
                <c:pt idx="356">
                  <c:v>62.3551068534452</c:v>
                </c:pt>
                <c:pt idx="357">
                  <c:v>64.054594552102955</c:v>
                </c:pt>
                <c:pt idx="358">
                  <c:v>65.786226709422664</c:v>
                </c:pt>
                <c:pt idx="359">
                  <c:v>67.548383933438444</c:v>
                </c:pt>
                <c:pt idx="360">
                  <c:v>69.339179011494167</c:v>
                </c:pt>
                <c:pt idx="361">
                  <c:v>71.156456507299794</c:v>
                </c:pt>
                <c:pt idx="362">
                  <c:v>72.997797364152774</c:v>
                </c:pt>
                <c:pt idx="363">
                  <c:v>74.860528925125934</c:v>
                </c:pt>
                <c:pt idx="364">
                  <c:v>76.741740609893469</c:v>
                </c:pt>
                <c:pt idx="365">
                  <c:v>78.638305281050805</c:v>
                </c:pt>
                <c:pt idx="366">
                  <c:v>80.546906100011867</c:v>
                </c:pt>
                <c:pt idx="367">
                  <c:v>82.464068427208289</c:v>
                </c:pt>
                <c:pt idx="368">
                  <c:v>84.386196079763693</c:v>
                </c:pt>
                <c:pt idx="369">
                  <c:v>86.309611039629004</c:v>
                </c:pt>
                <c:pt idx="370">
                  <c:v>88.230595523803117</c:v>
                </c:pt>
                <c:pt idx="371">
                  <c:v>90.14543520063458</c:v>
                </c:pt>
                <c:pt idx="372">
                  <c:v>92.050462273315759</c:v>
                </c:pt>
                <c:pt idx="373">
                  <c:v>93.942097158972715</c:v>
                </c:pt>
                <c:pt idx="374">
                  <c:v>95.816887568650429</c:v>
                </c:pt>
                <c:pt idx="375">
                  <c:v>97.671543933215304</c:v>
                </c:pt>
                <c:pt idx="376">
                  <c:v>99.502970310925264</c:v>
                </c:pt>
                <c:pt idx="377">
                  <c:v>101.30829013842865</c:v>
                </c:pt>
                <c:pt idx="378">
                  <c:v>103.08486643075065</c:v>
                </c:pt>
                <c:pt idx="379">
                  <c:v>104.83031627983128</c:v>
                </c:pt>
                <c:pt idx="380">
                  <c:v>106.54251972959298</c:v>
                </c:pt>
                <c:pt idx="381">
                  <c:v>108.21962330565671</c:v>
                </c:pt>
                <c:pt idx="382">
                  <c:v>109.8600386407673</c:v>
                </c:pt>
                <c:pt idx="383">
                  <c:v>111.46243675801557</c:v>
                </c:pt>
                <c:pt idx="384">
                  <c:v>113.02573865214319</c:v>
                </c:pt>
                <c:pt idx="385">
                  <c:v>114.5491028469262</c:v>
                </c:pt>
                <c:pt idx="386">
                  <c:v>116.03191060865565</c:v>
                </c:pt>
                <c:pt idx="387">
                  <c:v>117.4737494683515</c:v>
                </c:pt>
                <c:pt idx="388">
                  <c:v>118.87439565556963</c:v>
                </c:pt>
                <c:pt idx="389">
                  <c:v>120.23379598149984</c:v>
                </c:pt>
                <c:pt idx="390">
                  <c:v>121.55204963486551</c:v>
                </c:pt>
                <c:pt idx="391">
                  <c:v>122.82939027653018</c:v>
                </c:pt>
                <c:pt idx="392">
                  <c:v>124.06616874206621</c:v>
                </c:pt>
                <c:pt idx="393">
                  <c:v>125.26283658921294</c:v>
                </c:pt>
                <c:pt idx="394">
                  <c:v>126.41993066140459</c:v>
                </c:pt>
                <c:pt idx="395">
                  <c:v>127.53805878074579</c:v>
                </c:pt>
                <c:pt idx="396">
                  <c:v>128.61788663451253</c:v>
                </c:pt>
                <c:pt idx="397">
                  <c:v>129.66012587851304</c:v>
                </c:pt>
                <c:pt idx="398">
                  <c:v>130.66552344798544</c:v>
                </c:pt>
                <c:pt idx="399">
                  <c:v>131.63485204148006</c:v>
                </c:pt>
                <c:pt idx="400">
                  <c:v>132.56890172448135</c:v>
                </c:pt>
                <c:pt idx="401">
                  <c:v>133.46847258647949</c:v>
                </c:pt>
                <c:pt idx="402">
                  <c:v>134.33436837683783</c:v>
                </c:pt>
                <c:pt idx="403">
                  <c:v>135.16739104029111</c:v>
                </c:pt>
                <c:pt idx="404">
                  <c:v>135.96833607141758</c:v>
                </c:pt>
                <c:pt idx="405">
                  <c:v>136.73798860827512</c:v>
                </c:pt>
                <c:pt idx="406">
                  <c:v>137.47712018797191</c:v>
                </c:pt>
                <c:pt idx="407">
                  <c:v>138.18648609074708</c:v>
                </c:pt>
                <c:pt idx="408">
                  <c:v>138.86682320375928</c:v>
                </c:pt>
                <c:pt idx="409">
                  <c:v>139.51884834088528</c:v>
                </c:pt>
                <c:pt idx="410">
                  <c:v>140.14325696016942</c:v>
                </c:pt>
                <c:pt idx="411">
                  <c:v>140.74072222593168</c:v>
                </c:pt>
                <c:pt idx="412">
                  <c:v>141.31189436778757</c:v>
                </c:pt>
                <c:pt idx="413">
                  <c:v>141.85740029388356</c:v>
                </c:pt>
                <c:pt idx="414">
                  <c:v>142.3778434203935</c:v>
                </c:pt>
                <c:pt idx="415">
                  <c:v>142.87380368375207</c:v>
                </c:pt>
                <c:pt idx="416">
                  <c:v>143.34583770617519</c:v>
                </c:pt>
                <c:pt idx="417">
                  <c:v>143.79447908873848</c:v>
                </c:pt>
                <c:pt idx="418">
                  <c:v>144.2202388096463</c:v>
                </c:pt>
                <c:pt idx="419">
                  <c:v>144.62360570836131</c:v>
                </c:pt>
                <c:pt idx="420">
                  <c:v>145.0050470389603</c:v>
                </c:pt>
                <c:pt idx="421">
                  <c:v>145.36500907849688</c:v>
                </c:pt>
                <c:pt idx="422">
                  <c:v>145.70391777827234</c:v>
                </c:pt>
                <c:pt idx="423">
                  <c:v>146.02217944779562</c:v>
                </c:pt>
                <c:pt idx="424">
                  <c:v>146.32018146285375</c:v>
                </c:pt>
                <c:pt idx="425">
                  <c:v>146.59829299055079</c:v>
                </c:pt>
                <c:pt idx="426">
                  <c:v>146.85686572542352</c:v>
                </c:pt>
                <c:pt idx="427">
                  <c:v>147.09623463181848</c:v>
                </c:pt>
                <c:pt idx="428">
                  <c:v>147.31671868865686</c:v>
                </c:pt>
                <c:pt idx="429">
                  <c:v>147.51862163351277</c:v>
                </c:pt>
                <c:pt idx="430">
                  <c:v>147.70223270361137</c:v>
                </c:pt>
                <c:pt idx="431">
                  <c:v>147.86782737194744</c:v>
                </c:pt>
                <c:pt idx="432">
                  <c:v>148.01566807721093</c:v>
                </c:pt>
                <c:pt idx="433">
                  <c:v>148.14600494662307</c:v>
                </c:pt>
                <c:pt idx="434">
                  <c:v>148.25907651113079</c:v>
                </c:pt>
                <c:pt idx="435">
                  <c:v>148.35511041268794</c:v>
                </c:pt>
                <c:pt idx="436">
                  <c:v>148.43432410358767</c:v>
                </c:pt>
                <c:pt idx="437">
                  <c:v>148.49692553798229</c:v>
                </c:pt>
                <c:pt idx="438">
                  <c:v>148.54311385587167</c:v>
                </c:pt>
                <c:pt idx="439">
                  <c:v>148.573080059945</c:v>
                </c:pt>
                <c:pt idx="440">
                  <c:v>148.58700768572206</c:v>
                </c:pt>
                <c:pt idx="441">
                  <c:v>148.58507346548916</c:v>
                </c:pt>
                <c:pt idx="442">
                  <c:v>148.56744798652622</c:v>
                </c:pt>
                <c:pt idx="443">
                  <c:v>148.53429634412186</c:v>
                </c:pt>
                <c:pt idx="444">
                  <c:v>148.48577878982931</c:v>
                </c:pt>
                <c:pt idx="445">
                  <c:v>148.42205137536951</c:v>
                </c:pt>
                <c:pt idx="446">
                  <c:v>148.34326659251454</c:v>
                </c:pt>
                <c:pt idx="447">
                  <c:v>148.2495740091957</c:v>
                </c:pt>
                <c:pt idx="448">
                  <c:v>148.14112090197878</c:v>
                </c:pt>
                <c:pt idx="449">
                  <c:v>148.01805288492756</c:v>
                </c:pt>
                <c:pt idx="450">
                  <c:v>147.88051453475256</c:v>
                </c:pt>
                <c:pt idx="451">
                  <c:v>147.72865001199165</c:v>
                </c:pt>
                <c:pt idx="452">
                  <c:v>147.56260367782289</c:v>
                </c:pt>
                <c:pt idx="453">
                  <c:v>147.3825207059414</c:v>
                </c:pt>
                <c:pt idx="454">
                  <c:v>147.18854768876344</c:v>
                </c:pt>
                <c:pt idx="455">
                  <c:v>146.98083323704606</c:v>
                </c:pt>
                <c:pt idx="456">
                  <c:v>146.75952857182182</c:v>
                </c:pt>
                <c:pt idx="457">
                  <c:v>146.52478810736397</c:v>
                </c:pt>
                <c:pt idx="458">
                  <c:v>146.2767700237126</c:v>
                </c:pt>
                <c:pt idx="459">
                  <c:v>146.01563682709977</c:v>
                </c:pt>
                <c:pt idx="460">
                  <c:v>145.74155589642905</c:v>
                </c:pt>
                <c:pt idx="461">
                  <c:v>145.45470001378817</c:v>
                </c:pt>
                <c:pt idx="462">
                  <c:v>145.15524787679581</c:v>
                </c:pt>
                <c:pt idx="463">
                  <c:v>144.84338459043471</c:v>
                </c:pt>
                <c:pt idx="464">
                  <c:v>144.51930213586294</c:v>
                </c:pt>
                <c:pt idx="465">
                  <c:v>144.18319981358169</c:v>
                </c:pt>
                <c:pt idx="466">
                  <c:v>143.83528465821672</c:v>
                </c:pt>
                <c:pt idx="467">
                  <c:v>143.47577182210074</c:v>
                </c:pt>
                <c:pt idx="468">
                  <c:v>143.1048849247743</c:v>
                </c:pt>
                <c:pt idx="469">
                  <c:v>142.72285636550711</c:v>
                </c:pt>
                <c:pt idx="470">
                  <c:v>142.32992759594615</c:v>
                </c:pt>
                <c:pt idx="471">
                  <c:v>141.92634935004077</c:v>
                </c:pt>
                <c:pt idx="472">
                  <c:v>141.51238182848144</c:v>
                </c:pt>
                <c:pt idx="473">
                  <c:v>141.08829483501316</c:v>
                </c:pt>
                <c:pt idx="474">
                  <c:v>140.65436786214872</c:v>
                </c:pt>
                <c:pt idx="475">
                  <c:v>140.21089012402777</c:v>
                </c:pt>
                <c:pt idx="476">
                  <c:v>139.75816053441147</c:v>
                </c:pt>
                <c:pt idx="477">
                  <c:v>139.29648762811181</c:v>
                </c:pt>
                <c:pt idx="478">
                  <c:v>138.82618942448877</c:v>
                </c:pt>
                <c:pt idx="479">
                  <c:v>138.34759323203667</c:v>
                </c:pt>
                <c:pt idx="480">
                  <c:v>137.86103539349051</c:v>
                </c:pt>
                <c:pt idx="481">
                  <c:v>137.36686097134455</c:v>
                </c:pt>
                <c:pt idx="482">
                  <c:v>136.86542337414699</c:v>
                </c:pt>
                <c:pt idx="483">
                  <c:v>136.35708392443917</c:v>
                </c:pt>
                <c:pt idx="484">
                  <c:v>135.84221136972354</c:v>
                </c:pt>
                <c:pt idx="485">
                  <c:v>135.3211813383727</c:v>
                </c:pt>
                <c:pt idx="486">
                  <c:v>134.79437574291958</c:v>
                </c:pt>
                <c:pt idx="487">
                  <c:v>134.26218213367966</c:v>
                </c:pt>
                <c:pt idx="488">
                  <c:v>133.7249930061742</c:v>
                </c:pt>
                <c:pt idx="489">
                  <c:v>133.18320506628771</c:v>
                </c:pt>
                <c:pt idx="490">
                  <c:v>132.63721845755381</c:v>
                </c:pt>
                <c:pt idx="491">
                  <c:v>132.08743595535688</c:v>
                </c:pt>
                <c:pt idx="492">
                  <c:v>131.53426213320995</c:v>
                </c:pt>
                <c:pt idx="493">
                  <c:v>130.97810250655962</c:v>
                </c:pt>
                <c:pt idx="494">
                  <c:v>130.41936265982434</c:v>
                </c:pt>
                <c:pt idx="495">
                  <c:v>129.85844736254418</c:v>
                </c:pt>
                <c:pt idx="496">
                  <c:v>129.29575968063489</c:v>
                </c:pt>
                <c:pt idx="497">
                  <c:v>128.7317000887779</c:v>
                </c:pt>
                <c:pt idx="498">
                  <c:v>128.16666558994433</c:v>
                </c:pt>
                <c:pt idx="499">
                  <c:v>127.60104884795598</c:v>
                </c:pt>
                <c:pt idx="500">
                  <c:v>127.03523733880333</c:v>
                </c:pt>
                <c:pt idx="501">
                  <c:v>126.46961252621617</c:v>
                </c:pt>
                <c:pt idx="502">
                  <c:v>125.90454906667399</c:v>
                </c:pt>
                <c:pt idx="503">
                  <c:v>125.34041404869353</c:v>
                </c:pt>
                <c:pt idx="504">
                  <c:v>124.77756627082611</c:v>
                </c:pt>
                <c:pt idx="505">
                  <c:v>124.21635556235232</c:v>
                </c:pt>
                <c:pt idx="506">
                  <c:v>123.65712215017749</c:v>
                </c:pt>
                <c:pt idx="507">
                  <c:v>123.10019607493034</c:v>
                </c:pt>
                <c:pt idx="508">
                  <c:v>122.54589665873996</c:v>
                </c:pt>
                <c:pt idx="509">
                  <c:v>121.994532026629</c:v>
                </c:pt>
                <c:pt idx="510">
                  <c:v>121.44639868293709</c:v>
                </c:pt>
                <c:pt idx="511">
                  <c:v>120.90178114364785</c:v>
                </c:pt>
                <c:pt idx="512">
                  <c:v>120.3609516249884</c:v>
                </c:pt>
                <c:pt idx="513">
                  <c:v>119.8241697881701</c:v>
                </c:pt>
                <c:pt idx="514">
                  <c:v>119.29168253968105</c:v>
                </c:pt>
                <c:pt idx="515">
                  <c:v>118.76372388609272</c:v>
                </c:pt>
                <c:pt idx="516">
                  <c:v>118.24051484195849</c:v>
                </c:pt>
                <c:pt idx="517">
                  <c:v>117.72226338900926</c:v>
                </c:pt>
                <c:pt idx="518">
                  <c:v>117.20916448453755</c:v>
                </c:pt>
                <c:pt idx="519">
                  <c:v>116.70140011658624</c:v>
                </c:pt>
                <c:pt idx="520">
                  <c:v>116.19913940332113</c:v>
                </c:pt>
                <c:pt idx="521">
                  <c:v>115.70253873377889</c:v>
                </c:pt>
                <c:pt idx="522">
                  <c:v>115.21174194703728</c:v>
                </c:pt>
                <c:pt idx="523">
                  <c:v>114.72688054674238</c:v>
                </c:pt>
                <c:pt idx="524">
                  <c:v>114.2480739478641</c:v>
                </c:pt>
                <c:pt idx="525">
                  <c:v>113.77542975252453</c:v>
                </c:pt>
                <c:pt idx="526">
                  <c:v>113.30904405173467</c:v>
                </c:pt>
                <c:pt idx="527">
                  <c:v>112.84900174992261</c:v>
                </c:pt>
                <c:pt idx="528">
                  <c:v>112.39537690918721</c:v>
                </c:pt>
                <c:pt idx="529">
                  <c:v>111.94823311030123</c:v>
                </c:pt>
                <c:pt idx="530">
                  <c:v>111.50762382759433</c:v>
                </c:pt>
                <c:pt idx="531">
                  <c:v>111.07359281496539</c:v>
                </c:pt>
                <c:pt idx="532">
                  <c:v>110.64617450042023</c:v>
                </c:pt>
                <c:pt idx="533">
                  <c:v>110.22539438666834</c:v>
                </c:pt>
                <c:pt idx="534">
                  <c:v>109.8112694554805</c:v>
                </c:pt>
                <c:pt idx="535">
                  <c:v>109.40380857366677</c:v>
                </c:pt>
                <c:pt idx="536">
                  <c:v>109.00301289870339</c:v>
                </c:pt>
                <c:pt idx="537">
                  <c:v>108.60887628220293</c:v>
                </c:pt>
                <c:pt idx="538">
                  <c:v>108.22138566958952</c:v>
                </c:pt>
                <c:pt idx="539">
                  <c:v>107.84052149450862</c:v>
                </c:pt>
                <c:pt idx="540">
                  <c:v>107.466258066656</c:v>
                </c:pt>
                <c:pt idx="541">
                  <c:v>107.09856395186804</c:v>
                </c:pt>
              </c:numCache>
            </c:numRef>
          </c:yVal>
          <c:smooth val="1"/>
          <c:extLst>
            <c:ext xmlns:c16="http://schemas.microsoft.com/office/drawing/2014/chart" uri="{C3380CC4-5D6E-409C-BE32-E72D297353CC}">
              <c16:uniqueId val="{00000001-B561-4C80-890B-643E0BF90D63}"/>
            </c:ext>
          </c:extLst>
        </c:ser>
        <c:dLbls>
          <c:showLegendKey val="0"/>
          <c:showVal val="0"/>
          <c:showCatName val="0"/>
          <c:showSerName val="0"/>
          <c:showPercent val="0"/>
          <c:showBubbleSize val="0"/>
        </c:dLbls>
        <c:axId val="162527872"/>
        <c:axId val="162526336"/>
      </c:scatterChart>
      <c:valAx>
        <c:axId val="16249766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2499584"/>
        <c:crosses val="autoZero"/>
        <c:crossBetween val="midCat"/>
      </c:valAx>
      <c:valAx>
        <c:axId val="162499584"/>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162497664"/>
        <c:crosses val="autoZero"/>
        <c:crossBetween val="midCat"/>
        <c:majorUnit val="20"/>
        <c:minorUnit val="10"/>
      </c:valAx>
      <c:valAx>
        <c:axId val="162526336"/>
        <c:scaling>
          <c:orientation val="minMax"/>
          <c:max val="180"/>
          <c:min val="-180"/>
        </c:scaling>
        <c:delete val="0"/>
        <c:axPos val="r"/>
        <c:numFmt formatCode="General" sourceLinked="1"/>
        <c:majorTickMark val="out"/>
        <c:minorTickMark val="none"/>
        <c:tickLblPos val="nextTo"/>
        <c:crossAx val="162527872"/>
        <c:crosses val="max"/>
        <c:crossBetween val="midCat"/>
        <c:majorUnit val="90"/>
        <c:minorUnit val="45"/>
      </c:valAx>
      <c:valAx>
        <c:axId val="162527872"/>
        <c:scaling>
          <c:logBase val="10"/>
          <c:orientation val="minMax"/>
        </c:scaling>
        <c:delete val="1"/>
        <c:axPos val="b"/>
        <c:numFmt formatCode="0.00" sourceLinked="1"/>
        <c:majorTickMark val="out"/>
        <c:minorTickMark val="none"/>
        <c:tickLblPos val="nextTo"/>
        <c:crossAx val="162526336"/>
        <c:crosses val="autoZero"/>
        <c:crossBetween val="midCat"/>
      </c:valAx>
    </c:plotArea>
    <c:legend>
      <c:legendPos val="r"/>
      <c:layout>
        <c:manualLayout>
          <c:xMode val="edge"/>
          <c:yMode val="edge"/>
          <c:x val="0.79880558209512509"/>
          <c:y val="0.14321997959862004"/>
          <c:w val="0.13459449276057311"/>
          <c:h val="0.10691609861199437"/>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Error</a:t>
            </a:r>
            <a:r>
              <a:rPr lang="en-US" baseline="0"/>
              <a:t> Amplifier Transfer</a:t>
            </a:r>
          </a:p>
        </c:rich>
      </c:tx>
      <c:overlay val="0"/>
    </c:title>
    <c:autoTitleDeleted val="0"/>
    <c:plotArea>
      <c:layout/>
      <c:scatterChart>
        <c:scatterStyle val="smoothMarker"/>
        <c:varyColors val="0"/>
        <c:ser>
          <c:idx val="0"/>
          <c:order val="0"/>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Loop_Modeling!$AQ$19:$AQ$560</c:f>
              <c:numCache>
                <c:formatCode>General</c:formatCode>
                <c:ptCount val="542"/>
                <c:pt idx="0">
                  <c:v>3.5366738887476634</c:v>
                </c:pt>
                <c:pt idx="1">
                  <c:v>3.3424020282670339</c:v>
                </c:pt>
                <c:pt idx="2">
                  <c:v>3.1483920400507777</c:v>
                </c:pt>
                <c:pt idx="3">
                  <c:v>2.9546555100160781</c:v>
                </c:pt>
                <c:pt idx="4">
                  <c:v>2.761204500697291</c:v>
                </c:pt>
                <c:pt idx="5">
                  <c:v>2.5680515675074709</c:v>
                </c:pt>
                <c:pt idx="6">
                  <c:v>2.3752097752368333</c:v>
                </c:pt>
                <c:pt idx="7">
                  <c:v>2.1826927147578519</c:v>
                </c:pt>
                <c:pt idx="8">
                  <c:v>1.9905145199023999</c:v>
                </c:pt>
                <c:pt idx="9">
                  <c:v>1.7986898844705275</c:v>
                </c:pt>
                <c:pt idx="10">
                  <c:v>1.6072340793288054</c:v>
                </c:pt>
                <c:pt idx="11">
                  <c:v>1.4161629695465141</c:v>
                </c:pt>
                <c:pt idx="12">
                  <c:v>1.2254930315159291</c:v>
                </c:pt>
                <c:pt idx="13">
                  <c:v>1.0352413699960037</c:v>
                </c:pt>
                <c:pt idx="14">
                  <c:v>0.84542573501203622</c:v>
                </c:pt>
                <c:pt idx="15">
                  <c:v>0.65606453853694391</c:v>
                </c:pt>
                <c:pt idx="16">
                  <c:v>0.4671768708751296</c:v>
                </c:pt>
                <c:pt idx="17">
                  <c:v>0.27878251665995235</c:v>
                </c:pt>
                <c:pt idx="18">
                  <c:v>9.0901970370126151E-2</c:v>
                </c:pt>
                <c:pt idx="19">
                  <c:v>-9.6443548738649174E-2</c:v>
                </c:pt>
                <c:pt idx="20">
                  <c:v>-0.28323208239651365</c:v>
                </c:pt>
                <c:pt idx="21">
                  <c:v>-0.46944091989760067</c:v>
                </c:pt>
                <c:pt idx="22">
                  <c:v>-0.65504658561940787</c:v>
                </c:pt>
                <c:pt idx="23">
                  <c:v>-0.84002482762145814</c:v>
                </c:pt>
                <c:pt idx="24">
                  <c:v>-1.0243506074650859</c:v>
                </c:pt>
                <c:pt idx="25">
                  <c:v>-1.2079980914093023</c:v>
                </c:pt>
                <c:pt idx="26">
                  <c:v>-1.390940643143266</c:v>
                </c:pt>
                <c:pt idx="27">
                  <c:v>-1.5731508182230458</c:v>
                </c:pt>
                <c:pt idx="28">
                  <c:v>-1.7546003603916152</c:v>
                </c:pt>
                <c:pt idx="29">
                  <c:v>-1.9352601999635048</c:v>
                </c:pt>
                <c:pt idx="30">
                  <c:v>-2.1151004544658298</c:v>
                </c:pt>
                <c:pt idx="31">
                  <c:v>-2.2940904317307478</c:v>
                </c:pt>
                <c:pt idx="32">
                  <c:v>-2.4721986356400176</c:v>
                </c:pt>
                <c:pt idx="33">
                  <c:v>-2.6493927747258148</c:v>
                </c:pt>
                <c:pt idx="34">
                  <c:v>-2.825639773833803</c:v>
                </c:pt>
                <c:pt idx="35">
                  <c:v>-3.0009057890554356</c:v>
                </c:pt>
                <c:pt idx="36">
                  <c:v>-3.1751562261356319</c:v>
                </c:pt>
                <c:pt idx="37">
                  <c:v>-3.3483557625580387</c:v>
                </c:pt>
                <c:pt idx="38">
                  <c:v>-3.5204683735058531</c:v>
                </c:pt>
                <c:pt idx="39">
                  <c:v>-3.6914573618884541</c:v>
                </c:pt>
                <c:pt idx="40">
                  <c:v>-3.8612853926129191</c:v>
                </c:pt>
                <c:pt idx="41">
                  <c:v>-4.0299145312681812</c:v>
                </c:pt>
                <c:pt idx="42">
                  <c:v>-4.1973062873721743</c:v>
                </c:pt>
                <c:pt idx="43">
                  <c:v>-4.3634216623142512</c:v>
                </c:pt>
                <c:pt idx="44">
                  <c:v>-4.5282212021022552</c:v>
                </c:pt>
                <c:pt idx="45">
                  <c:v>-4.6916650549983929</c:v>
                </c:pt>
                <c:pt idx="46">
                  <c:v>-4.8537130340985248</c:v>
                </c:pt>
                <c:pt idx="47">
                  <c:v>-5.0143246848773302</c:v>
                </c:pt>
                <c:pt idx="48">
                  <c:v>-5.1734593576859966</c:v>
                </c:pt>
                <c:pt idx="49">
                  <c:v>-5.3310762851491544</c:v>
                </c:pt>
                <c:pt idx="50">
                  <c:v>-5.4871346643663674</c:v>
                </c:pt>
                <c:pt idx="51">
                  <c:v>-5.6415937437783121</c:v>
                </c:pt>
                <c:pt idx="52">
                  <c:v>-5.7944129145087606</c:v>
                </c:pt>
                <c:pt idx="53">
                  <c:v>-5.9455518059456249</c:v>
                </c:pt>
                <c:pt idx="54">
                  <c:v>-6.0949703852712886</c:v>
                </c:pt>
                <c:pt idx="55">
                  <c:v>-6.2426290606006409</c:v>
                </c:pt>
                <c:pt idx="56">
                  <c:v>-6.3884887873315659</c:v>
                </c:pt>
                <c:pt idx="57">
                  <c:v>-6.5325111772605213</c:v>
                </c:pt>
                <c:pt idx="58">
                  <c:v>-6.6746586099635339</c:v>
                </c:pt>
                <c:pt idx="59">
                  <c:v>-6.814894345893431</c:v>
                </c:pt>
                <c:pt idx="60">
                  <c:v>-6.9531826405962116</c:v>
                </c:pt>
                <c:pt idx="61">
                  <c:v>-7.0894888594069361</c:v>
                </c:pt>
                <c:pt idx="62">
                  <c:v>-7.2237795919459717</c:v>
                </c:pt>
                <c:pt idx="63">
                  <c:v>-7.3560227657022388</c:v>
                </c:pt>
                <c:pt idx="64">
                  <c:v>-7.4861877579642435</c:v>
                </c:pt>
                <c:pt idx="65">
                  <c:v>-7.6142455053383653</c:v>
                </c:pt>
                <c:pt idx="66">
                  <c:v>-7.7401686100818274</c:v>
                </c:pt>
                <c:pt idx="67">
                  <c:v>-7.8639314424743754</c:v>
                </c:pt>
                <c:pt idx="68">
                  <c:v>-7.9855102384570156</c:v>
                </c:pt>
                <c:pt idx="69">
                  <c:v>-8.1048831917816351</c:v>
                </c:pt>
                <c:pt idx="70">
                  <c:v>-8.2220305399385989</c:v>
                </c:pt>
                <c:pt idx="71">
                  <c:v>-8.3369346431632216</c:v>
                </c:pt>
                <c:pt idx="72">
                  <c:v>-8.4495800558655336</c:v>
                </c:pt>
                <c:pt idx="73">
                  <c:v>-8.5599535898792087</c:v>
                </c:pt>
                <c:pt idx="74">
                  <c:v>-8.6680443689872604</c:v>
                </c:pt>
                <c:pt idx="75">
                  <c:v>-8.7738438742496765</c:v>
                </c:pt>
                <c:pt idx="76">
                  <c:v>-8.8773459797348302</c:v>
                </c:pt>
                <c:pt idx="77">
                  <c:v>-8.9785469783375138</c:v>
                </c:pt>
                <c:pt idx="78">
                  <c:v>-9.0774455974531278</c:v>
                </c:pt>
                <c:pt idx="79">
                  <c:v>-9.1740430043675225</c:v>
                </c:pt>
                <c:pt idx="80">
                  <c:v>-9.2683428013139064</c:v>
                </c:pt>
                <c:pt idx="81">
                  <c:v>-9.3603510102414802</c:v>
                </c:pt>
                <c:pt idx="82">
                  <c:v>-9.4500760474321392</c:v>
                </c:pt>
                <c:pt idx="83">
                  <c:v>-9.5375286881922641</c:v>
                </c:pt>
                <c:pt idx="84">
                  <c:v>-9.6227220219324074</c:v>
                </c:pt>
                <c:pt idx="85">
                  <c:v>-9.7056713980306313</c:v>
                </c:pt>
                <c:pt idx="86">
                  <c:v>-9.7863943629501708</c:v>
                </c:pt>
                <c:pt idx="87">
                  <c:v>-9.8649105891517248</c:v>
                </c:pt>
                <c:pt idx="88">
                  <c:v>-9.9412417964016875</c:v>
                </c:pt>
                <c:pt idx="89">
                  <c:v>-10.015411666130127</c:v>
                </c:pt>
                <c:pt idx="90">
                  <c:v>-10.087445749535371</c:v>
                </c:pt>
                <c:pt idx="91">
                  <c:v>-10.157371370167672</c:v>
                </c:pt>
                <c:pt idx="92">
                  <c:v>-10.225217521746607</c:v>
                </c:pt>
                <c:pt idx="93">
                  <c:v>-10.291014761983668</c:v>
                </c:pt>
                <c:pt idx="94">
                  <c:v>-10.354795103186035</c:v>
                </c:pt>
                <c:pt idx="95">
                  <c:v>-10.416591900414648</c:v>
                </c:pt>
                <c:pt idx="96">
                  <c:v>-10.476439737957186</c:v>
                </c:pt>
                <c:pt idx="97">
                  <c:v>-10.534374314856406</c:v>
                </c:pt>
                <c:pt idx="98">
                  <c:v>-10.590432330209772</c:v>
                </c:pt>
                <c:pt idx="99">
                  <c:v>-10.644651368918595</c:v>
                </c:pt>
                <c:pt idx="100">
                  <c:v>-10.6970697885305</c:v>
                </c:pt>
                <c:pt idx="101">
                  <c:v>-10.747726607772796</c:v>
                </c:pt>
                <c:pt idx="102">
                  <c:v>-10.796661397329061</c:v>
                </c:pt>
                <c:pt idx="103">
                  <c:v>-10.843914173359707</c:v>
                </c:pt>
                <c:pt idx="104">
                  <c:v>-10.889525294216929</c:v>
                </c:pt>
                <c:pt idx="105">
                  <c:v>-10.933535360751641</c:v>
                </c:pt>
                <c:pt idx="106">
                  <c:v>-10.975985120556073</c:v>
                </c:pt>
                <c:pt idx="107">
                  <c:v>-11.016915376433367</c:v>
                </c:pt>
                <c:pt idx="108">
                  <c:v>-11.056366899334432</c:v>
                </c:pt>
                <c:pt idx="109">
                  <c:v>-11.094380345952274</c:v>
                </c:pt>
                <c:pt idx="110">
                  <c:v>-11.13099618111562</c:v>
                </c:pt>
                <c:pt idx="111">
                  <c:v>-11.166254605078588</c:v>
                </c:pt>
                <c:pt idx="112">
                  <c:v>-11.200195485761778</c:v>
                </c:pt>
                <c:pt idx="113">
                  <c:v>-11.23285829595903</c:v>
                </c:pt>
                <c:pt idx="114">
                  <c:v>-11.264282055489499</c:v>
                </c:pt>
                <c:pt idx="115">
                  <c:v>-11.294505278241644</c:v>
                </c:pt>
                <c:pt idx="116">
                  <c:v>-11.323565924026225</c:v>
                </c:pt>
                <c:pt idx="117">
                  <c:v>-11.351501355129159</c:v>
                </c:pt>
                <c:pt idx="118">
                  <c:v>-11.378348297434195</c:v>
                </c:pt>
                <c:pt idx="119">
                  <c:v>-11.404142805965098</c:v>
                </c:pt>
                <c:pt idx="120">
                  <c:v>-11.4289202346799</c:v>
                </c:pt>
                <c:pt idx="121">
                  <c:v>-11.452715210339457</c:v>
                </c:pt>
                <c:pt idx="122">
                  <c:v>-11.475561610259335</c:v>
                </c:pt>
                <c:pt idx="123">
                  <c:v>-11.497492543748933</c:v>
                </c:pt>
                <c:pt idx="124">
                  <c:v>-11.518540337034294</c:v>
                </c:pt>
                <c:pt idx="125">
                  <c:v>-11.538736521458823</c:v>
                </c:pt>
                <c:pt idx="126">
                  <c:v>-11.558111824756285</c:v>
                </c:pt>
                <c:pt idx="127">
                  <c:v>-11.576696165187631</c:v>
                </c:pt>
                <c:pt idx="128">
                  <c:v>-11.59451864834053</c:v>
                </c:pt>
                <c:pt idx="129">
                  <c:v>-11.611607566387065</c:v>
                </c:pt>
                <c:pt idx="130">
                  <c:v>-11.627990399607384</c:v>
                </c:pt>
                <c:pt idx="131">
                  <c:v>-11.643693819986204</c:v>
                </c:pt>
                <c:pt idx="132">
                  <c:v>-11.658743696699762</c:v>
                </c:pt>
                <c:pt idx="133">
                  <c:v>-11.673165103315114</c:v>
                </c:pt>
                <c:pt idx="134">
                  <c:v>-11.686982326533499</c:v>
                </c:pt>
                <c:pt idx="135">
                  <c:v>-11.700218876315677</c:v>
                </c:pt>
                <c:pt idx="136">
                  <c:v>-11.712897497236188</c:v>
                </c:pt>
                <c:pt idx="137">
                  <c:v>-11.725040180921827</c:v>
                </c:pt>
                <c:pt idx="138">
                  <c:v>-11.736668179438714</c:v>
                </c:pt>
                <c:pt idx="139">
                  <c:v>-11.747802019497973</c:v>
                </c:pt>
                <c:pt idx="140">
                  <c:v>-11.758461517363216</c:v>
                </c:pt>
                <c:pt idx="141">
                  <c:v>-11.768665794346107</c:v>
                </c:pt>
                <c:pt idx="142">
                  <c:v>-11.778433292787778</c:v>
                </c:pt>
                <c:pt idx="143">
                  <c:v>-11.78778179243082</c:v>
                </c:pt>
                <c:pt idx="144">
                  <c:v>-11.796728427092578</c:v>
                </c:pt>
                <c:pt idx="145">
                  <c:v>-11.805289701560183</c:v>
                </c:pt>
                <c:pt idx="146">
                  <c:v>-11.813481508632455</c:v>
                </c:pt>
                <c:pt idx="147">
                  <c:v>-11.821319146241782</c:v>
                </c:pt>
                <c:pt idx="148">
                  <c:v>-11.828817334594932</c:v>
                </c:pt>
                <c:pt idx="149">
                  <c:v>-11.83599023327721</c:v>
                </c:pt>
                <c:pt idx="150">
                  <c:v>-11.842851458270527</c:v>
                </c:pt>
                <c:pt idx="151">
                  <c:v>-11.849414098841295</c:v>
                </c:pt>
                <c:pt idx="152">
                  <c:v>-11.855690734257875</c:v>
                </c:pt>
                <c:pt idx="153">
                  <c:v>-11.86169345030337</c:v>
                </c:pt>
                <c:pt idx="154">
                  <c:v>-11.867433855552708</c:v>
                </c:pt>
                <c:pt idx="155">
                  <c:v>-11.872923097387471</c:v>
                </c:pt>
                <c:pt idx="156">
                  <c:v>-11.878171877724908</c:v>
                </c:pt>
                <c:pt idx="157">
                  <c:v>-11.883190468441958</c:v>
                </c:pt>
                <c:pt idx="158">
                  <c:v>-11.887988726477216</c:v>
                </c:pt>
                <c:pt idx="159">
                  <c:v>-11.892576108597556</c:v>
                </c:pt>
                <c:pt idx="160">
                  <c:v>-11.896961685817127</c:v>
                </c:pt>
                <c:pt idx="161">
                  <c:v>-11.901154157461441</c:v>
                </c:pt>
                <c:pt idx="162">
                  <c:v>-11.905161864868138</c:v>
                </c:pt>
                <c:pt idx="163">
                  <c:v>-11.908992804721109</c:v>
                </c:pt>
                <c:pt idx="164">
                  <c:v>-11.912654642013925</c:v>
                </c:pt>
                <c:pt idx="165">
                  <c:v>-11.916154722641906</c:v>
                </c:pt>
                <c:pt idx="166">
                  <c:v>-11.91950008562223</c:v>
                </c:pt>
                <c:pt idx="167">
                  <c:v>-11.922697474943513</c:v>
                </c:pt>
                <c:pt idx="168">
                  <c:v>-11.925753351047758</c:v>
                </c:pt>
                <c:pt idx="169">
                  <c:v>-11.92867390194678</c:v>
                </c:pt>
                <c:pt idx="170">
                  <c:v>-11.931465053978673</c:v>
                </c:pt>
                <c:pt idx="171">
                  <c:v>-11.934132482208613</c:v>
                </c:pt>
                <c:pt idx="172">
                  <c:v>-11.936681620479522</c:v>
                </c:pt>
                <c:pt idx="173">
                  <c:v>-11.939117671119055</c:v>
                </c:pt>
                <c:pt idx="174">
                  <c:v>-11.941445614309815</c:v>
                </c:pt>
                <c:pt idx="175">
                  <c:v>-11.943670217129171</c:v>
                </c:pt>
                <c:pt idx="176">
                  <c:v>-11.945796042266924</c:v>
                </c:pt>
                <c:pt idx="177">
                  <c:v>-11.947827456427634</c:v>
                </c:pt>
                <c:pt idx="178">
                  <c:v>-11.949768638426301</c:v>
                </c:pt>
                <c:pt idx="179">
                  <c:v>-11.951623586985159</c:v>
                </c:pt>
                <c:pt idx="180">
                  <c:v>-11.953396128239183</c:v>
                </c:pt>
                <c:pt idx="181">
                  <c:v>-11.955089922959663</c:v>
                </c:pt>
                <c:pt idx="182">
                  <c:v>-11.956708473503049</c:v>
                </c:pt>
                <c:pt idx="183">
                  <c:v>-11.958255130494205</c:v>
                </c:pt>
                <c:pt idx="184">
                  <c:v>-11.959733099251268</c:v>
                </c:pt>
                <c:pt idx="185">
                  <c:v>-11.961145445961591</c:v>
                </c:pt>
                <c:pt idx="186">
                  <c:v>-11.96249510361579</c:v>
                </c:pt>
                <c:pt idx="187">
                  <c:v>-11.963784877708472</c:v>
                </c:pt>
                <c:pt idx="188">
                  <c:v>-11.965017451713608</c:v>
                </c:pt>
                <c:pt idx="189">
                  <c:v>-11.966195392341801</c:v>
                </c:pt>
                <c:pt idx="190">
                  <c:v>-11.967321154587472</c:v>
                </c:pt>
                <c:pt idx="191">
                  <c:v>-11.968397086573859</c:v>
                </c:pt>
                <c:pt idx="192">
                  <c:v>-11.969425434202138</c:v>
                </c:pt>
                <c:pt idx="193">
                  <c:v>-11.970408345612707</c:v>
                </c:pt>
                <c:pt idx="194">
                  <c:v>-11.971347875465243</c:v>
                </c:pt>
                <c:pt idx="195">
                  <c:v>-11.972245989044604</c:v>
                </c:pt>
                <c:pt idx="196">
                  <c:v>-11.973104566198824</c:v>
                </c:pt>
                <c:pt idx="197">
                  <c:v>-11.973925405116086</c:v>
                </c:pt>
                <c:pt idx="198">
                  <c:v>-11.97471022594665</c:v>
                </c:pt>
                <c:pt idx="199">
                  <c:v>-11.975460674275896</c:v>
                </c:pt>
                <c:pt idx="200">
                  <c:v>-11.976178324454896</c:v>
                </c:pt>
                <c:pt idx="201">
                  <c:v>-11.976864682793007</c:v>
                </c:pt>
                <c:pt idx="202">
                  <c:v>-11.97752119062006</c:v>
                </c:pt>
                <c:pt idx="203">
                  <c:v>-11.978149227221092</c:v>
                </c:pt>
                <c:pt idx="204">
                  <c:v>-11.978750112650738</c:v>
                </c:pt>
                <c:pt idx="205">
                  <c:v>-11.979325110432097</c:v>
                </c:pt>
                <c:pt idx="206">
                  <c:v>-11.979875430143439</c:v>
                </c:pt>
                <c:pt idx="207">
                  <c:v>-11.980402229899772</c:v>
                </c:pt>
                <c:pt idx="208">
                  <c:v>-11.980906618731561</c:v>
                </c:pt>
                <c:pt idx="209">
                  <c:v>-11.981389658866989</c:v>
                </c:pt>
                <c:pt idx="210">
                  <c:v>-11.981852367920453</c:v>
                </c:pt>
                <c:pt idx="211">
                  <c:v>-11.982295720992369</c:v>
                </c:pt>
                <c:pt idx="212">
                  <c:v>-11.982720652683822</c:v>
                </c:pt>
                <c:pt idx="213">
                  <c:v>-11.983128059030104</c:v>
                </c:pt>
                <c:pt idx="214">
                  <c:v>-11.9835187993564</c:v>
                </c:pt>
                <c:pt idx="215">
                  <c:v>-11.983893698059871</c:v>
                </c:pt>
                <c:pt idx="216">
                  <c:v>-11.984253546321128</c:v>
                </c:pt>
                <c:pt idx="217">
                  <c:v>-11.984599103748458</c:v>
                </c:pt>
                <c:pt idx="218">
                  <c:v>-11.984931099957423</c:v>
                </c:pt>
                <c:pt idx="219">
                  <c:v>-11.985250236091137</c:v>
                </c:pt>
                <c:pt idx="220">
                  <c:v>-11.985557186280806</c:v>
                </c:pt>
                <c:pt idx="221">
                  <c:v>-11.98585259905226</c:v>
                </c:pt>
                <c:pt idx="222">
                  <c:v>-11.986137098679849</c:v>
                </c:pt>
                <c:pt idx="223">
                  <c:v>-11.986411286491176</c:v>
                </c:pt>
                <c:pt idx="224">
                  <c:v>-11.986675742124211</c:v>
                </c:pt>
                <c:pt idx="225">
                  <c:v>-11.986931024740553</c:v>
                </c:pt>
                <c:pt idx="226">
                  <c:v>-11.987177674196101</c:v>
                </c:pt>
                <c:pt idx="227">
                  <c:v>-11.987416212172556</c:v>
                </c:pt>
                <c:pt idx="228">
                  <c:v>-11.987647143271484</c:v>
                </c:pt>
                <c:pt idx="229">
                  <c:v>-11.987870956072623</c:v>
                </c:pt>
                <c:pt idx="230">
                  <c:v>-11.988088124159976</c:v>
                </c:pt>
                <c:pt idx="231">
                  <c:v>-11.988299107116365</c:v>
                </c:pt>
                <c:pt idx="232">
                  <c:v>-11.988504351489533</c:v>
                </c:pt>
                <c:pt idx="233">
                  <c:v>-11.988704291730844</c:v>
                </c:pt>
                <c:pt idx="234">
                  <c:v>-11.988899351109225</c:v>
                </c:pt>
                <c:pt idx="235">
                  <c:v>-11.989089942602099</c:v>
                </c:pt>
                <c:pt idx="236">
                  <c:v>-11.989276469764686</c:v>
                </c:pt>
                <c:pt idx="237">
                  <c:v>-11.989459327580009</c:v>
                </c:pt>
                <c:pt idx="238">
                  <c:v>-11.989638903291063</c:v>
                </c:pt>
                <c:pt idx="239">
                  <c:v>-11.989815577216827</c:v>
                </c:pt>
                <c:pt idx="240">
                  <c:v>-11.989989723554277</c:v>
                </c:pt>
                <c:pt idx="241">
                  <c:v>-11.9901617111672</c:v>
                </c:pt>
                <c:pt idx="242">
                  <c:v>-11.990331904364071</c:v>
                </c:pt>
                <c:pt idx="243">
                  <c:v>-11.990500663666886</c:v>
                </c:pt>
                <c:pt idx="244">
                  <c:v>-11.990668346571633</c:v>
                </c:pt>
                <c:pt idx="245">
                  <c:v>-11.990835308302614</c:v>
                </c:pt>
                <c:pt idx="246">
                  <c:v>-11.991001902561981</c:v>
                </c:pt>
                <c:pt idx="247">
                  <c:v>-11.991168482276509</c:v>
                </c:pt>
                <c:pt idx="248">
                  <c:v>-11.991335400342143</c:v>
                </c:pt>
                <c:pt idx="249">
                  <c:v>-11.991503010369035</c:v>
                </c:pt>
                <c:pt idx="250">
                  <c:v>-11.991671667427632</c:v>
                </c:pt>
                <c:pt idx="251">
                  <c:v>-11.991841728798043</c:v>
                </c:pt>
                <c:pt idx="252">
                  <c:v>-11.99201355472416</c:v>
                </c:pt>
                <c:pt idx="253">
                  <c:v>-11.99218750917324</c:v>
                </c:pt>
                <c:pt idx="254">
                  <c:v>-11.992363960604299</c:v>
                </c:pt>
                <c:pt idx="255">
                  <c:v>-11.992543282744677</c:v>
                </c:pt>
                <c:pt idx="256">
                  <c:v>-11.992725855378453</c:v>
                </c:pt>
                <c:pt idx="257">
                  <c:v>-11.992912065147072</c:v>
                </c:pt>
                <c:pt idx="258">
                  <c:v>-11.99310230636412</c:v>
                </c:pt>
                <c:pt idx="259">
                  <c:v>-11.993296981846012</c:v>
                </c:pt>
                <c:pt idx="260">
                  <c:v>-11.993496503760637</c:v>
                </c:pt>
                <c:pt idx="261">
                  <c:v>-11.993701294494951</c:v>
                </c:pt>
                <c:pt idx="262">
                  <c:v>-11.99391178754402</c:v>
                </c:pt>
                <c:pt idx="263">
                  <c:v>-11.994128428422915</c:v>
                </c:pt>
                <c:pt idx="264">
                  <c:v>-11.9943516756035</c:v>
                </c:pt>
                <c:pt idx="265">
                  <c:v>-11.994582001478058</c:v>
                </c:pt>
                <c:pt idx="266">
                  <c:v>-11.994819893351593</c:v>
                </c:pt>
                <c:pt idx="267">
                  <c:v>-11.995065854464729</c:v>
                </c:pt>
                <c:pt idx="268">
                  <c:v>-11.995320405050068</c:v>
                </c:pt>
                <c:pt idx="269">
                  <c:v>-11.995584083422637</c:v>
                </c:pt>
                <c:pt idx="270">
                  <c:v>-11.995857447108367</c:v>
                </c:pt>
                <c:pt idx="271">
                  <c:v>-11.996141074011595</c:v>
                </c:pt>
                <c:pt idx="272">
                  <c:v>-11.996435563624299</c:v>
                </c:pt>
                <c:pt idx="273">
                  <c:v>-11.996741538280236</c:v>
                </c:pt>
                <c:pt idx="274">
                  <c:v>-11.997059644454966</c:v>
                </c:pt>
                <c:pt idx="275">
                  <c:v>-11.997390554115942</c:v>
                </c:pt>
                <c:pt idx="276">
                  <c:v>-11.99773496612414</c:v>
                </c:pt>
                <c:pt idx="277">
                  <c:v>-11.998093607691152</c:v>
                </c:pt>
                <c:pt idx="278">
                  <c:v>-11.998467235892932</c:v>
                </c:pt>
                <c:pt idx="279">
                  <c:v>-11.998856639245519</c:v>
                </c:pt>
                <c:pt idx="280">
                  <c:v>-11.999262639343304</c:v>
                </c:pt>
                <c:pt idx="281">
                  <c:v>-11.99968609256511</c:v>
                </c:pt>
                <c:pt idx="282">
                  <c:v>-12.000127891849864</c:v>
                </c:pt>
                <c:pt idx="283">
                  <c:v>-12.000588968546698</c:v>
                </c:pt>
                <c:pt idx="284">
                  <c:v>-12.001070294341492</c:v>
                </c:pt>
                <c:pt idx="285">
                  <c:v>-12.001572883264725</c:v>
                </c:pt>
                <c:pt idx="286">
                  <c:v>-12.002097793784447</c:v>
                </c:pt>
                <c:pt idx="287">
                  <c:v>-12.00264613098687</c:v>
                </c:pt>
                <c:pt idx="288">
                  <c:v>-12.003219048850919</c:v>
                </c:pt>
                <c:pt idx="289">
                  <c:v>-12.003817752619085</c:v>
                </c:pt>
                <c:pt idx="290">
                  <c:v>-12.004443501269806</c:v>
                </c:pt>
                <c:pt idx="291">
                  <c:v>-12.005097610095754</c:v>
                </c:pt>
                <c:pt idx="292">
                  <c:v>-12.00578145339332</c:v>
                </c:pt>
                <c:pt idx="293">
                  <c:v>-12.006496467266789</c:v>
                </c:pt>
                <c:pt idx="294">
                  <c:v>-12.007244152553607</c:v>
                </c:pt>
                <c:pt idx="295">
                  <c:v>-12.008026077875137</c:v>
                </c:pt>
                <c:pt idx="296">
                  <c:v>-12.008843882819196</c:v>
                </c:pt>
                <c:pt idx="297">
                  <c:v>-12.009699281258071</c:v>
                </c:pt>
                <c:pt idx="298">
                  <c:v>-12.010594064810347</c:v>
                </c:pt>
                <c:pt idx="299">
                  <c:v>-12.011530106449799</c:v>
                </c:pt>
                <c:pt idx="300">
                  <c:v>-12.012509364269734</c:v>
                </c:pt>
                <c:pt idx="301">
                  <c:v>-12.013533885407279</c:v>
                </c:pt>
                <c:pt idx="302">
                  <c:v>-12.014605810135194</c:v>
                </c:pt>
                <c:pt idx="303">
                  <c:v>-12.015727376127487</c:v>
                </c:pt>
                <c:pt idx="304">
                  <c:v>-12.01690092290497</c:v>
                </c:pt>
                <c:pt idx="305">
                  <c:v>-12.018128896469396</c:v>
                </c:pt>
                <c:pt idx="306">
                  <c:v>-12.019413854131455</c:v>
                </c:pt>
                <c:pt idx="307">
                  <c:v>-12.020758469541157</c:v>
                </c:pt>
                <c:pt idx="308">
                  <c:v>-12.022165537927552</c:v>
                </c:pt>
                <c:pt idx="309">
                  <c:v>-12.02363798155581</c:v>
                </c:pt>
                <c:pt idx="310">
                  <c:v>-12.02517885540912</c:v>
                </c:pt>
                <c:pt idx="311">
                  <c:v>-12.026791353103015</c:v>
                </c:pt>
                <c:pt idx="312">
                  <c:v>-12.02847881304114</c:v>
                </c:pt>
                <c:pt idx="313">
                  <c:v>-12.030244724819404</c:v>
                </c:pt>
                <c:pt idx="314">
                  <c:v>-12.032092735887518</c:v>
                </c:pt>
                <c:pt idx="315">
                  <c:v>-12.034026658475607</c:v>
                </c:pt>
                <c:pt idx="316">
                  <c:v>-12.036050476794898</c:v>
                </c:pt>
                <c:pt idx="317">
                  <c:v>-12.038168354519609</c:v>
                </c:pt>
                <c:pt idx="318">
                  <c:v>-12.040384642559264</c:v>
                </c:pt>
                <c:pt idx="319">
                  <c:v>-12.042703887129759</c:v>
                </c:pt>
                <c:pt idx="320">
                  <c:v>-12.045130838129863</c:v>
                </c:pt>
                <c:pt idx="321">
                  <c:v>-12.047670457832673</c:v>
                </c:pt>
                <c:pt idx="322">
                  <c:v>-12.050327929898401</c:v>
                </c:pt>
                <c:pt idx="323">
                  <c:v>-12.053108668717572</c:v>
                </c:pt>
                <c:pt idx="324">
                  <c:v>-12.056018329089415</c:v>
                </c:pt>
                <c:pt idx="325">
                  <c:v>-12.059062816243886</c:v>
                </c:pt>
                <c:pt idx="326">
                  <c:v>-12.062248296214392</c:v>
                </c:pt>
                <c:pt idx="327">
                  <c:v>-12.065581206563131</c:v>
                </c:pt>
                <c:pt idx="328">
                  <c:v>-12.069068267469438</c:v>
                </c:pt>
                <c:pt idx="329">
                  <c:v>-12.072716493179891</c:v>
                </c:pt>
                <c:pt idx="330">
                  <c:v>-12.076533203828374</c:v>
                </c:pt>
                <c:pt idx="331">
                  <c:v>-12.080526037625281</c:v>
                </c:pt>
                <c:pt idx="332">
                  <c:v>-12.084702963419087</c:v>
                </c:pt>
                <c:pt idx="333">
                  <c:v>-12.08907229362903</c:v>
                </c:pt>
                <c:pt idx="334">
                  <c:v>-12.093642697548546</c:v>
                </c:pt>
                <c:pt idx="335">
                  <c:v>-12.098423215016394</c:v>
                </c:pt>
                <c:pt idx="336">
                  <c:v>-12.103423270450868</c:v>
                </c:pt>
                <c:pt idx="337">
                  <c:v>-12.10865268723969</c:v>
                </c:pt>
                <c:pt idx="338">
                  <c:v>-12.114121702478409</c:v>
                </c:pt>
                <c:pt idx="339">
                  <c:v>-12.119840982045286</c:v>
                </c:pt>
                <c:pt idx="340">
                  <c:v>-12.125821635999305</c:v>
                </c:pt>
                <c:pt idx="341">
                  <c:v>-12.13207523428469</c:v>
                </c:pt>
                <c:pt idx="342">
                  <c:v>-12.138613822723128</c:v>
                </c:pt>
                <c:pt idx="343">
                  <c:v>-12.145449939270076</c:v>
                </c:pt>
                <c:pt idx="344">
                  <c:v>-12.152596630509167</c:v>
                </c:pt>
                <c:pt idx="345">
                  <c:v>-12.160067468354175</c:v>
                </c:pt>
                <c:pt idx="346">
                  <c:v>-12.167876566924317</c:v>
                </c:pt>
                <c:pt idx="347">
                  <c:v>-12.176038599552959</c:v>
                </c:pt>
                <c:pt idx="348">
                  <c:v>-12.184568815886852</c:v>
                </c:pt>
                <c:pt idx="349">
                  <c:v>-12.193483059025587</c:v>
                </c:pt>
                <c:pt idx="350">
                  <c:v>-12.202797782647236</c:v>
                </c:pt>
                <c:pt idx="351">
                  <c:v>-12.212530068059799</c:v>
                </c:pt>
                <c:pt idx="352">
                  <c:v>-12.222697641110463</c:v>
                </c:pt>
                <c:pt idx="353">
                  <c:v>-12.233318888880619</c:v>
                </c:pt>
                <c:pt idx="354">
                  <c:v>-12.24441287608542</c:v>
                </c:pt>
                <c:pt idx="355">
                  <c:v>-12.255999361091538</c:v>
                </c:pt>
                <c:pt idx="356">
                  <c:v>-12.268098811456067</c:v>
                </c:pt>
                <c:pt idx="357">
                  <c:v>-12.2807324188867</c:v>
                </c:pt>
                <c:pt idx="358">
                  <c:v>-12.293922113510057</c:v>
                </c:pt>
                <c:pt idx="359">
                  <c:v>-12.307690577330536</c:v>
                </c:pt>
                <c:pt idx="360">
                  <c:v>-12.322061256752161</c:v>
                </c:pt>
                <c:pt idx="361">
                  <c:v>-12.337058374027725</c:v>
                </c:pt>
                <c:pt idx="362">
                  <c:v>-12.352706937491112</c:v>
                </c:pt>
                <c:pt idx="363">
                  <c:v>-12.36903275042051</c:v>
                </c:pt>
                <c:pt idx="364">
                  <c:v>-12.386062418371422</c:v>
                </c:pt>
                <c:pt idx="365">
                  <c:v>-12.403823354811411</c:v>
                </c:pt>
                <c:pt idx="366">
                  <c:v>-12.422343784879324</c:v>
                </c:pt>
                <c:pt idx="367">
                  <c:v>-12.441652747086662</c:v>
                </c:pt>
                <c:pt idx="368">
                  <c:v>-12.461780092770301</c:v>
                </c:pt>
                <c:pt idx="369">
                  <c:v>-12.482756483101294</c:v>
                </c:pt>
                <c:pt idx="370">
                  <c:v>-12.504613383449723</c:v>
                </c:pt>
                <c:pt idx="371">
                  <c:v>-12.527383054900906</c:v>
                </c:pt>
                <c:pt idx="372">
                  <c:v>-12.551098542717913</c:v>
                </c:pt>
                <c:pt idx="373">
                  <c:v>-12.57579366154209</c:v>
                </c:pt>
                <c:pt idx="374">
                  <c:v>-12.601502977127346</c:v>
                </c:pt>
                <c:pt idx="375">
                  <c:v>-12.628261784403417</c:v>
                </c:pt>
                <c:pt idx="376">
                  <c:v>-12.656106081672089</c:v>
                </c:pt>
                <c:pt idx="377">
                  <c:v>-12.685072540744518</c:v>
                </c:pt>
                <c:pt idx="378">
                  <c:v>-12.715198472840232</c:v>
                </c:pt>
                <c:pt idx="379">
                  <c:v>-12.746521790079999</c:v>
                </c:pt>
                <c:pt idx="380">
                  <c:v>-12.779080962421139</c:v>
                </c:pt>
                <c:pt idx="381">
                  <c:v>-12.812914969902353</c:v>
                </c:pt>
                <c:pt idx="382">
                  <c:v>-12.848063250087838</c:v>
                </c:pt>
                <c:pt idx="383">
                  <c:v>-12.884565640624643</c:v>
                </c:pt>
                <c:pt idx="384">
                  <c:v>-12.922462316859402</c:v>
                </c:pt>
                <c:pt idx="385">
                  <c:v>-12.961793724487833</c:v>
                </c:pt>
                <c:pt idx="386">
                  <c:v>-13.002600507251923</c:v>
                </c:pt>
                <c:pt idx="387">
                  <c:v>-13.044923429733783</c:v>
                </c:pt>
                <c:pt idx="388">
                  <c:v>-13.088803295341314</c:v>
                </c:pt>
                <c:pt idx="389">
                  <c:v>-13.134280859622042</c:v>
                </c:pt>
                <c:pt idx="390">
                  <c:v>-13.1813967390932</c:v>
                </c:pt>
                <c:pt idx="391">
                  <c:v>-13.230191315822545</c:v>
                </c:pt>
                <c:pt idx="392">
                  <c:v>-13.280704638047089</c:v>
                </c:pt>
                <c:pt idx="393">
                  <c:v>-13.332976317170019</c:v>
                </c:pt>
                <c:pt idx="394">
                  <c:v>-13.387045421529194</c:v>
                </c:pt>
                <c:pt idx="395">
                  <c:v>-13.442950367380316</c:v>
                </c:pt>
                <c:pt idx="396">
                  <c:v>-13.500728807596259</c:v>
                </c:pt>
                <c:pt idx="397">
                  <c:v>-13.560417518626162</c:v>
                </c:pt>
                <c:pt idx="398">
                  <c:v>-13.622052286311689</c:v>
                </c:pt>
                <c:pt idx="399">
                  <c:v>-13.685667791197746</c:v>
                </c:pt>
                <c:pt idx="400">
                  <c:v>-13.751297494015839</c:v>
                </c:pt>
                <c:pt idx="401">
                  <c:v>-13.818973522051408</c:v>
                </c:pt>
                <c:pt idx="402">
                  <c:v>-13.888726557134124</c:v>
                </c:pt>
                <c:pt idx="403">
                  <c:v>-13.96058572601129</c:v>
                </c:pt>
                <c:pt idx="404">
                  <c:v>-14.034578493875266</c:v>
                </c:pt>
                <c:pt idx="405">
                  <c:v>-14.110730561822376</c:v>
                </c:pt>
                <c:pt idx="406">
                  <c:v>-14.189065769014523</c:v>
                </c:pt>
                <c:pt idx="407">
                  <c:v>-14.269606000300774</c:v>
                </c:pt>
                <c:pt idx="408">
                  <c:v>-14.352371100032473</c:v>
                </c:pt>
                <c:pt idx="409">
                  <c:v>-14.437378792773226</c:v>
                </c:pt>
                <c:pt idx="410">
                  <c:v>-14.524644611560547</c:v>
                </c:pt>
                <c:pt idx="411">
                  <c:v>-14.614181834325642</c:v>
                </c:pt>
                <c:pt idx="412">
                  <c:v>-14.70600142901667</c:v>
                </c:pt>
                <c:pt idx="413">
                  <c:v>-14.800112007902815</c:v>
                </c:pt>
                <c:pt idx="414">
                  <c:v>-14.896519791459955</c:v>
                </c:pt>
                <c:pt idx="415">
                  <c:v>-14.995228582159708</c:v>
                </c:pt>
                <c:pt idx="416">
                  <c:v>-15.096239748394225</c:v>
                </c:pt>
                <c:pt idx="417">
                  <c:v>-15.199552218681976</c:v>
                </c:pt>
                <c:pt idx="418">
                  <c:v>-15.305162486205839</c:v>
                </c:pt>
                <c:pt idx="419">
                  <c:v>-15.413064623644086</c:v>
                </c:pt>
                <c:pt idx="420">
                  <c:v>-15.523250308158445</c:v>
                </c:pt>
                <c:pt idx="421">
                  <c:v>-15.63570885631975</c:v>
                </c:pt>
                <c:pt idx="422">
                  <c:v>-15.750427268658306</c:v>
                </c:pt>
                <c:pt idx="423">
                  <c:v>-15.867390283446985</c:v>
                </c:pt>
                <c:pt idx="424">
                  <c:v>-15.98658043925214</c:v>
                </c:pt>
                <c:pt idx="425">
                  <c:v>-16.107978145709755</c:v>
                </c:pt>
                <c:pt idx="426">
                  <c:v>-16.231561761931474</c:v>
                </c:pt>
                <c:pt idx="427">
                  <c:v>-16.357307681887882</c:v>
                </c:pt>
                <c:pt idx="428">
                  <c:v>-16.485190426071956</c:v>
                </c:pt>
                <c:pt idx="429">
                  <c:v>-16.615182738713528</c:v>
                </c:pt>
                <c:pt idx="430">
                  <c:v>-16.747255689790077</c:v>
                </c:pt>
                <c:pt idx="431">
                  <c:v>-16.881378781062175</c:v>
                </c:pt>
                <c:pt idx="432">
                  <c:v>-17.017520055358471</c:v>
                </c:pt>
                <c:pt idx="433">
                  <c:v>-17.155646208336876</c:v>
                </c:pt>
                <c:pt idx="434">
                  <c:v>-17.295722701959598</c:v>
                </c:pt>
                <c:pt idx="435">
                  <c:v>-17.437713878942084</c:v>
                </c:pt>
                <c:pt idx="436">
                  <c:v>-17.581583077457719</c:v>
                </c:pt>
                <c:pt idx="437">
                  <c:v>-17.72729274541943</c:v>
                </c:pt>
                <c:pt idx="438">
                  <c:v>-17.874804553691881</c:v>
                </c:pt>
                <c:pt idx="439">
                  <c:v>-18.024079507635577</c:v>
                </c:pt>
                <c:pt idx="440">
                  <c:v>-18.175078056428646</c:v>
                </c:pt>
                <c:pt idx="441">
                  <c:v>-18.327760199663356</c:v>
                </c:pt>
                <c:pt idx="442">
                  <c:v>-18.482085590764289</c:v>
                </c:pt>
                <c:pt idx="443">
                  <c:v>-18.638013636830149</c:v>
                </c:pt>
                <c:pt idx="444">
                  <c:v>-18.795503594551906</c:v>
                </c:pt>
                <c:pt idx="445">
                  <c:v>-18.954514661914008</c:v>
                </c:pt>
                <c:pt idx="446">
                  <c:v>-19.11500606543753</c:v>
                </c:pt>
                <c:pt idx="447">
                  <c:v>-19.276937142772091</c:v>
                </c:pt>
                <c:pt idx="448">
                  <c:v>-19.440267420493214</c:v>
                </c:pt>
                <c:pt idx="449">
                  <c:v>-19.604956687006705</c:v>
                </c:pt>
                <c:pt idx="450">
                  <c:v>-19.770965060502782</c:v>
                </c:pt>
                <c:pt idx="451">
                  <c:v>-19.938253051945019</c:v>
                </c:pt>
                <c:pt idx="452">
                  <c:v>-20.106781623111736</c:v>
                </c:pt>
                <c:pt idx="453">
                  <c:v>-20.276512239743521</c:v>
                </c:pt>
                <c:pt idx="454">
                  <c:v>-20.447406919878183</c:v>
                </c:pt>
                <c:pt idx="455">
                  <c:v>-20.619428277480139</c:v>
                </c:pt>
                <c:pt idx="456">
                  <c:v>-20.792539561495296</c:v>
                </c:pt>
                <c:pt idx="457">
                  <c:v>-20.966704690480668</c:v>
                </c:pt>
                <c:pt idx="458">
                  <c:v>-21.14188828297392</c:v>
                </c:pt>
                <c:pt idx="459">
                  <c:v>-21.318055683782688</c:v>
                </c:pt>
                <c:pt idx="460">
                  <c:v>-21.495172986381938</c:v>
                </c:pt>
                <c:pt idx="461">
                  <c:v>-21.673207051617176</c:v>
                </c:pt>
                <c:pt idx="462">
                  <c:v>-21.852125522915713</c:v>
                </c:pt>
                <c:pt idx="463">
                  <c:v>-22.031896838211424</c:v>
                </c:pt>
                <c:pt idx="464">
                  <c:v>-22.212490238790181</c:v>
                </c:pt>
                <c:pt idx="465">
                  <c:v>-22.393875775262273</c:v>
                </c:pt>
                <c:pt idx="466">
                  <c:v>-22.576024310865815</c:v>
                </c:pt>
                <c:pt idx="467">
                  <c:v>-22.758907522302501</c:v>
                </c:pt>
                <c:pt idx="468">
                  <c:v>-22.942497898301141</c:v>
                </c:pt>
                <c:pt idx="469">
                  <c:v>-23.126768736100335</c:v>
                </c:pt>
                <c:pt idx="470">
                  <c:v>-23.311694136034671</c:v>
                </c:pt>
                <c:pt idx="471">
                  <c:v>-23.497248994400415</c:v>
                </c:pt>
                <c:pt idx="472">
                  <c:v>-23.683408994771995</c:v>
                </c:pt>
                <c:pt idx="473">
                  <c:v>-23.870150597929861</c:v>
                </c:pt>
                <c:pt idx="474">
                  <c:v>-24.0574510305537</c:v>
                </c:pt>
                <c:pt idx="475">
                  <c:v>-24.245288272825796</c:v>
                </c:pt>
                <c:pt idx="476">
                  <c:v>-24.433641045081835</c:v>
                </c:pt>
                <c:pt idx="477">
                  <c:v>-24.622488793636315</c:v>
                </c:pt>
                <c:pt idx="478">
                  <c:v>-24.811811675903961</c:v>
                </c:pt>
                <c:pt idx="479">
                  <c:v>-25.001590544927247</c:v>
                </c:pt>
                <c:pt idx="480">
                  <c:v>-25.191806933415251</c:v>
                </c:pt>
                <c:pt idx="481">
                  <c:v>-25.382443037387958</c:v>
                </c:pt>
                <c:pt idx="482">
                  <c:v>-25.573481699516627</c:v>
                </c:pt>
                <c:pt idx="483">
                  <c:v>-25.764906392238885</c:v>
                </c:pt>
                <c:pt idx="484">
                  <c:v>-25.95670120072468</c:v>
                </c:pt>
                <c:pt idx="485">
                  <c:v>-26.148850805759874</c:v>
                </c:pt>
                <c:pt idx="486">
                  <c:v>-26.3413404666086</c:v>
                </c:pt>
                <c:pt idx="487">
                  <c:v>-26.534156003910901</c:v>
                </c:pt>
                <c:pt idx="488">
                  <c:v>-26.727283782663896</c:v>
                </c:pt>
                <c:pt idx="489">
                  <c:v>-26.920710695332914</c:v>
                </c:pt>
                <c:pt idx="490">
                  <c:v>-27.114424145130187</c:v>
                </c:pt>
                <c:pt idx="491">
                  <c:v>-27.308412029498704</c:v>
                </c:pt>
                <c:pt idx="492">
                  <c:v>-27.502662723829886</c:v>
                </c:pt>
                <c:pt idx="493">
                  <c:v>-27.697165065443116</c:v>
                </c:pt>
                <c:pt idx="494">
                  <c:v>-27.891908337850527</c:v>
                </c:pt>
                <c:pt idx="495">
                  <c:v>-28.086882255325889</c:v>
                </c:pt>
                <c:pt idx="496">
                  <c:v>-28.282076947795805</c:v>
                </c:pt>
                <c:pt idx="497">
                  <c:v>-28.477482946065734</c:v>
                </c:pt>
                <c:pt idx="498">
                  <c:v>-28.673091167393356</c:v>
                </c:pt>
                <c:pt idx="499">
                  <c:v>-28.868892901417379</c:v>
                </c:pt>
                <c:pt idx="500">
                  <c:v>-29.064879796449024</c:v>
                </c:pt>
                <c:pt idx="501">
                  <c:v>-29.26104384613091</c:v>
                </c:pt>
                <c:pt idx="502">
                  <c:v>-29.457377376466759</c:v>
                </c:pt>
                <c:pt idx="503">
                  <c:v>-29.65387303322272</c:v>
                </c:pt>
                <c:pt idx="504">
                  <c:v>-29.850523769700743</c:v>
                </c:pt>
                <c:pt idx="505">
                  <c:v>-30.04732283488368</c:v>
                </c:pt>
                <c:pt idx="506">
                  <c:v>-30.244263761948037</c:v>
                </c:pt>
                <c:pt idx="507">
                  <c:v>-30.441340357142622</c:v>
                </c:pt>
                <c:pt idx="508">
                  <c:v>-30.638546689028388</c:v>
                </c:pt>
                <c:pt idx="509">
                  <c:v>-30.835877078074375</c:v>
                </c:pt>
                <c:pt idx="510">
                  <c:v>-31.033326086604131</c:v>
                </c:pt>
                <c:pt idx="511">
                  <c:v>-31.230888509086917</c:v>
                </c:pt>
                <c:pt idx="512">
                  <c:v>-31.428559362766965</c:v>
                </c:pt>
                <c:pt idx="513">
                  <c:v>-31.626333878623051</c:v>
                </c:pt>
                <c:pt idx="514">
                  <c:v>-31.824207492651833</c:v>
                </c:pt>
                <c:pt idx="515">
                  <c:v>-32.022175837466769</c:v>
                </c:pt>
                <c:pt idx="516">
                  <c:v>-32.220234734205697</c:v>
                </c:pt>
                <c:pt idx="517">
                  <c:v>-32.418380184737231</c:v>
                </c:pt>
                <c:pt idx="518">
                  <c:v>-32.616608364160079</c:v>
                </c:pt>
                <c:pt idx="519">
                  <c:v>-32.814915613585129</c:v>
                </c:pt>
                <c:pt idx="520">
                  <c:v>-33.013298433193647</c:v>
                </c:pt>
                <c:pt idx="521">
                  <c:v>-33.211753475562006</c:v>
                </c:pt>
                <c:pt idx="522">
                  <c:v>-33.41027753924574</c:v>
                </c:pt>
                <c:pt idx="523">
                  <c:v>-33.608867562614336</c:v>
                </c:pt>
                <c:pt idx="524">
                  <c:v>-33.807520617928709</c:v>
                </c:pt>
                <c:pt idx="525">
                  <c:v>-34.006233905653417</c:v>
                </c:pt>
                <c:pt idx="526">
                  <c:v>-34.205004748995933</c:v>
                </c:pt>
                <c:pt idx="527">
                  <c:v>-34.403830588664597</c:v>
                </c:pt>
                <c:pt idx="528">
                  <c:v>-34.602708977838624</c:v>
                </c:pt>
                <c:pt idx="529">
                  <c:v>-34.801637577342312</c:v>
                </c:pt>
                <c:pt idx="530">
                  <c:v>-35.000614151015341</c:v>
                </c:pt>
                <c:pt idx="531">
                  <c:v>-35.199636561273806</c:v>
                </c:pt>
                <c:pt idx="532">
                  <c:v>-35.398702764852885</c:v>
                </c:pt>
                <c:pt idx="533">
                  <c:v>-35.597810808726571</c:v>
                </c:pt>
                <c:pt idx="534">
                  <c:v>-35.796958826196082</c:v>
                </c:pt>
                <c:pt idx="535">
                  <c:v>-35.996145033142106</c:v>
                </c:pt>
                <c:pt idx="536">
                  <c:v>-36.195367724432558</c:v>
                </c:pt>
                <c:pt idx="537">
                  <c:v>-36.394625270482749</c:v>
                </c:pt>
                <c:pt idx="538">
                  <c:v>-36.593916113958628</c:v>
                </c:pt>
                <c:pt idx="539">
                  <c:v>-36.793238766621315</c:v>
                </c:pt>
                <c:pt idx="540">
                  <c:v>-36.992591806303665</c:v>
                </c:pt>
                <c:pt idx="541">
                  <c:v>-37.191973874016085</c:v>
                </c:pt>
              </c:numCache>
            </c:numRef>
          </c:yVal>
          <c:smooth val="1"/>
          <c:extLst>
            <c:ext xmlns:c16="http://schemas.microsoft.com/office/drawing/2014/chart" uri="{C3380CC4-5D6E-409C-BE32-E72D297353CC}">
              <c16:uniqueId val="{00000000-C95D-4273-8D1D-E8C586949522}"/>
            </c:ext>
          </c:extLst>
        </c:ser>
        <c:dLbls>
          <c:showLegendKey val="0"/>
          <c:showVal val="0"/>
          <c:showCatName val="0"/>
          <c:showSerName val="0"/>
          <c:showPercent val="0"/>
          <c:showBubbleSize val="0"/>
        </c:dLbls>
        <c:axId val="160531200"/>
        <c:axId val="160533120"/>
      </c:scatterChart>
      <c:scatterChart>
        <c:scatterStyle val="smoothMarker"/>
        <c:varyColors val="0"/>
        <c:ser>
          <c:idx val="1"/>
          <c:order val="1"/>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Loop_Modeling!$AR$19:$AR$560</c:f>
              <c:numCache>
                <c:formatCode>General</c:formatCode>
                <c:ptCount val="542"/>
                <c:pt idx="0">
                  <c:v>99.629506903714926</c:v>
                </c:pt>
                <c:pt idx="1">
                  <c:v>99.849457051580742</c:v>
                </c:pt>
                <c:pt idx="2">
                  <c:v>100.07422694850952</c:v>
                </c:pt>
                <c:pt idx="3">
                  <c:v>100.30390804783138</c:v>
                </c:pt>
                <c:pt idx="4">
                  <c:v>100.53859254970089</c:v>
                </c:pt>
                <c:pt idx="5">
                  <c:v>100.77837333166681</c:v>
                </c:pt>
                <c:pt idx="6">
                  <c:v>101.02334387277466</c:v>
                </c:pt>
                <c:pt idx="7">
                  <c:v>101.27359817085055</c:v>
                </c:pt>
                <c:pt idx="8">
                  <c:v>101.52923065260805</c:v>
                </c:pt>
                <c:pt idx="9">
                  <c:v>101.7903360762124</c:v>
                </c:pt>
                <c:pt idx="10">
                  <c:v>102.05700942593157</c:v>
                </c:pt>
                <c:pt idx="11">
                  <c:v>102.32934579850097</c:v>
                </c:pt>
                <c:pt idx="12">
                  <c:v>102.60744028082577</c:v>
                </c:pt>
                <c:pt idx="13">
                  <c:v>102.89138781864618</c:v>
                </c:pt>
                <c:pt idx="14">
                  <c:v>103.181283075793</c:v>
                </c:pt>
                <c:pt idx="15">
                  <c:v>103.47722028366972</c:v>
                </c:pt>
                <c:pt idx="16">
                  <c:v>103.77929308060138</c:v>
                </c:pt>
                <c:pt idx="17">
                  <c:v>104.08759434070755</c:v>
                </c:pt>
                <c:pt idx="18">
                  <c:v>104.40221599197135</c:v>
                </c:pt>
                <c:pt idx="19">
                  <c:v>104.72324882319663</c:v>
                </c:pt>
                <c:pt idx="20">
                  <c:v>105.05078227957158</c:v>
                </c:pt>
                <c:pt idx="21">
                  <c:v>105.38490424658762</c:v>
                </c:pt>
                <c:pt idx="22">
                  <c:v>105.72570082209847</c:v>
                </c:pt>
                <c:pt idx="23">
                  <c:v>106.07325607634655</c:v>
                </c:pt>
                <c:pt idx="24">
                  <c:v>106.42765179983117</c:v>
                </c:pt>
                <c:pt idx="25">
                  <c:v>106.7889672389522</c:v>
                </c:pt>
                <c:pt idx="26">
                  <c:v>107.15727881941829</c:v>
                </c:pt>
                <c:pt idx="27">
                  <c:v>107.5326598574897</c:v>
                </c:pt>
                <c:pt idx="28">
                  <c:v>107.91518025919198</c:v>
                </c:pt>
                <c:pt idx="29">
                  <c:v>108.30490620773459</c:v>
                </c:pt>
                <c:pt idx="30">
                  <c:v>108.70189983945342</c:v>
                </c:pt>
                <c:pt idx="31">
                  <c:v>109.10621890870972</c:v>
                </c:pt>
                <c:pt idx="32">
                  <c:v>109.51791644227917</c:v>
                </c:pt>
                <c:pt idx="33">
                  <c:v>109.93704038389745</c:v>
                </c:pt>
                <c:pt idx="34">
                  <c:v>110.36363322974613</c:v>
                </c:pt>
                <c:pt idx="35">
                  <c:v>110.79773165580998</c:v>
                </c:pt>
                <c:pt idx="36">
                  <c:v>111.23936613817436</c:v>
                </c:pt>
                <c:pt idx="37">
                  <c:v>111.68856056748507</c:v>
                </c:pt>
                <c:pt idx="38">
                  <c:v>112.14533185895344</c:v>
                </c:pt>
                <c:pt idx="39">
                  <c:v>112.6096895594461</c:v>
                </c:pt>
                <c:pt idx="40">
                  <c:v>113.081635453369</c:v>
                </c:pt>
                <c:pt idx="41">
                  <c:v>113.56116316922325</c:v>
                </c:pt>
                <c:pt idx="42">
                  <c:v>114.04825778887238</c:v>
                </c:pt>
                <c:pt idx="43">
                  <c:v>114.54289546173661</c:v>
                </c:pt>
                <c:pt idx="44">
                  <c:v>115.04504302628213</c:v>
                </c:pt>
                <c:pt idx="45">
                  <c:v>115.55465764133321</c:v>
                </c:pt>
                <c:pt idx="46">
                  <c:v>116.07168642988256</c:v>
                </c:pt>
                <c:pt idx="47">
                  <c:v>116.59606613820196</c:v>
                </c:pt>
                <c:pt idx="48">
                  <c:v>117.12772281318311</c:v>
                </c:pt>
                <c:pt idx="49">
                  <c:v>117.66657150092615</c:v>
                </c:pt>
                <c:pt idx="50">
                  <c:v>118.21251596968069</c:v>
                </c:pt>
                <c:pt idx="51">
                  <c:v>118.76544846029026</c:v>
                </c:pt>
                <c:pt idx="52">
                  <c:v>119.32524946731536</c:v>
                </c:pt>
                <c:pt idx="53">
                  <c:v>119.89178755400336</c:v>
                </c:pt>
                <c:pt idx="54">
                  <c:v>120.46491920422497</c:v>
                </c:pt>
                <c:pt idx="55">
                  <c:v>121.04448871442521</c:v>
                </c:pt>
                <c:pt idx="56">
                  <c:v>121.63032812850493</c:v>
                </c:pt>
                <c:pt idx="57">
                  <c:v>122.22225721839604</c:v>
                </c:pt>
                <c:pt idx="58">
                  <c:v>122.82008351288408</c:v>
                </c:pt>
                <c:pt idx="59">
                  <c:v>123.42360237698247</c:v>
                </c:pt>
                <c:pt idx="60">
                  <c:v>124.03259714387512</c:v>
                </c:pt>
                <c:pt idx="61">
                  <c:v>124.64683930110731</c:v>
                </c:pt>
                <c:pt idx="62">
                  <c:v>125.26608873232928</c:v>
                </c:pt>
                <c:pt idx="63">
                  <c:v>125.89009401548914</c:v>
                </c:pt>
                <c:pt idx="64">
                  <c:v>126.51859277791897</c:v>
                </c:pt>
                <c:pt idx="65">
                  <c:v>127.15131210828881</c:v>
                </c:pt>
                <c:pt idx="66">
                  <c:v>127.78796902489481</c:v>
                </c:pt>
                <c:pt idx="67">
                  <c:v>128.42827099923829</c:v>
                </c:pt>
                <c:pt idx="68">
                  <c:v>129.07191653331353</c:v>
                </c:pt>
                <c:pt idx="69">
                  <c:v>129.71859578849478</c:v>
                </c:pt>
                <c:pt idx="70">
                  <c:v>130.36799126337954</c:v>
                </c:pt>
                <c:pt idx="71">
                  <c:v>131.01977851743351</c:v>
                </c:pt>
                <c:pt idx="72">
                  <c:v>131.67362693677688</c:v>
                </c:pt>
                <c:pt idx="73">
                  <c:v>132.32920053800032</c:v>
                </c:pt>
                <c:pt idx="74">
                  <c:v>132.98615880545051</c:v>
                </c:pt>
                <c:pt idx="75">
                  <c:v>133.64415755706045</c:v>
                </c:pt>
                <c:pt idx="76">
                  <c:v>134.30284983345359</c:v>
                </c:pt>
                <c:pt idx="77">
                  <c:v>134.96188680478289</c:v>
                </c:pt>
                <c:pt idx="78">
                  <c:v>135.62091868955599</c:v>
                </c:pt>
                <c:pt idx="79">
                  <c:v>136.27959567955165</c:v>
                </c:pt>
                <c:pt idx="80">
                  <c:v>136.93756886486253</c:v>
                </c:pt>
                <c:pt idx="81">
                  <c:v>137.59449115309613</c:v>
                </c:pt>
                <c:pt idx="82">
                  <c:v>138.25001817683409</c:v>
                </c:pt>
                <c:pt idx="83">
                  <c:v>138.90380918359514</c:v>
                </c:pt>
                <c:pt idx="84">
                  <c:v>139.55552790275058</c:v>
                </c:pt>
                <c:pt idx="85">
                  <c:v>140.20484338411057</c:v>
                </c:pt>
                <c:pt idx="86">
                  <c:v>140.85143080323681</c:v>
                </c:pt>
                <c:pt idx="87">
                  <c:v>141.49497222890986</c:v>
                </c:pt>
                <c:pt idx="88">
                  <c:v>142.13515734861366</c:v>
                </c:pt>
                <c:pt idx="89">
                  <c:v>142.77168414836032</c:v>
                </c:pt>
                <c:pt idx="90">
                  <c:v>143.40425954367723</c:v>
                </c:pt>
                <c:pt idx="91">
                  <c:v>144.03259995909232</c:v>
                </c:pt>
                <c:pt idx="92">
                  <c:v>144.6564318539792</c:v>
                </c:pt>
                <c:pt idx="93">
                  <c:v>145.27549219316688</c:v>
                </c:pt>
                <c:pt idx="94">
                  <c:v>145.88952886123826</c:v>
                </c:pt>
                <c:pt idx="95">
                  <c:v>146.49830101996707</c:v>
                </c:pt>
                <c:pt idx="96">
                  <c:v>147.10157940884471</c:v>
                </c:pt>
                <c:pt idx="97">
                  <c:v>147.69914658912225</c:v>
                </c:pt>
                <c:pt idx="98">
                  <c:v>148.29079713224297</c:v>
                </c:pt>
                <c:pt idx="99">
                  <c:v>148.87633775395557</c:v>
                </c:pt>
                <c:pt idx="100">
                  <c:v>149.4555873957722</c:v>
                </c:pt>
                <c:pt idx="101">
                  <c:v>150.02837725576964</c:v>
                </c:pt>
                <c:pt idx="102">
                  <c:v>150.59455077103487</c:v>
                </c:pt>
                <c:pt idx="103">
                  <c:v>151.15396355429024</c:v>
                </c:pt>
                <c:pt idx="104">
                  <c:v>151.70648328745762</c:v>
                </c:pt>
                <c:pt idx="105">
                  <c:v>152.25198957507132</c:v>
                </c:pt>
                <c:pt idx="106">
                  <c:v>152.79037376058329</c:v>
                </c:pt>
                <c:pt idx="107">
                  <c:v>153.32153870867364</c:v>
                </c:pt>
                <c:pt idx="108">
                  <c:v>153.84539855674001</c:v>
                </c:pt>
                <c:pt idx="109">
                  <c:v>154.3618784387352</c:v>
                </c:pt>
                <c:pt idx="110">
                  <c:v>154.87091418451047</c:v>
                </c:pt>
                <c:pt idx="111">
                  <c:v>155.37245199776615</c:v>
                </c:pt>
                <c:pt idx="112">
                  <c:v>155.86644811563738</c:v>
                </c:pt>
                <c:pt idx="113">
                  <c:v>156.35286845284452</c:v>
                </c:pt>
                <c:pt idx="114">
                  <c:v>156.83168823321714</c:v>
                </c:pt>
                <c:pt idx="115">
                  <c:v>157.30289161127371</c:v>
                </c:pt>
                <c:pt idx="116">
                  <c:v>157.76647128638919</c:v>
                </c:pt>
                <c:pt idx="117">
                  <c:v>158.22242811192876</c:v>
                </c:pt>
                <c:pt idx="118">
                  <c:v>158.67077070156623</c:v>
                </c:pt>
                <c:pt idx="119">
                  <c:v>159.11151503483447</c:v>
                </c:pt>
                <c:pt idx="120">
                  <c:v>159.54468406379712</c:v>
                </c:pt>
                <c:pt idx="121">
                  <c:v>159.97030732255112</c:v>
                </c:pt>
                <c:pt idx="122">
                  <c:v>160.38842054111211</c:v>
                </c:pt>
                <c:pt idx="123">
                  <c:v>160.79906526507</c:v>
                </c:pt>
                <c:pt idx="124">
                  <c:v>161.20228848224133</c:v>
                </c:pt>
                <c:pt idx="125">
                  <c:v>161.5981422573997</c:v>
                </c:pt>
                <c:pt idx="126">
                  <c:v>161.98668337601308</c:v>
                </c:pt>
                <c:pt idx="127">
                  <c:v>162.36797299778544</c:v>
                </c:pt>
                <c:pt idx="128">
                  <c:v>162.74207632066586</c:v>
                </c:pt>
                <c:pt idx="129">
                  <c:v>163.10906225587314</c:v>
                </c:pt>
                <c:pt idx="130">
                  <c:v>163.46900311436335</c:v>
                </c:pt>
                <c:pt idx="131">
                  <c:v>163.82197430507156</c:v>
                </c:pt>
                <c:pt idx="132">
                  <c:v>164.16805404515827</c:v>
                </c:pt>
                <c:pt idx="133">
                  <c:v>164.50732308240754</c:v>
                </c:pt>
                <c:pt idx="134">
                  <c:v>164.83986442984244</c:v>
                </c:pt>
                <c:pt idx="135">
                  <c:v>165.1657631125552</c:v>
                </c:pt>
                <c:pt idx="136">
                  <c:v>165.48510592668524</c:v>
                </c:pt>
                <c:pt idx="137">
                  <c:v>165.79798121042228</c:v>
                </c:pt>
                <c:pt idx="138">
                  <c:v>166.104478626862</c:v>
                </c:pt>
                <c:pt idx="139">
                  <c:v>166.40468895850481</c:v>
                </c:pt>
                <c:pt idx="140">
                  <c:v>166.6987039131408</c:v>
                </c:pt>
                <c:pt idx="141">
                  <c:v>166.98661594084692</c:v>
                </c:pt>
                <c:pt idx="142">
                  <c:v>167.26851806178473</c:v>
                </c:pt>
                <c:pt idx="143">
                  <c:v>167.54450370447353</c:v>
                </c:pt>
                <c:pt idx="144">
                  <c:v>167.81466655419428</c:v>
                </c:pt>
                <c:pt idx="145">
                  <c:v>168.07910041116725</c:v>
                </c:pt>
                <c:pt idx="146">
                  <c:v>168.33789905813799</c:v>
                </c:pt>
                <c:pt idx="147">
                  <c:v>168.59115613699859</c:v>
                </c:pt>
                <c:pt idx="148">
                  <c:v>168.83896503407036</c:v>
                </c:pt>
                <c:pt idx="149">
                  <c:v>169.0814187736708</c:v>
                </c:pt>
                <c:pt idx="150">
                  <c:v>169.31860991959141</c:v>
                </c:pt>
                <c:pt idx="151">
                  <c:v>169.55063048411492</c:v>
                </c:pt>
                <c:pt idx="152">
                  <c:v>169.77757184420602</c:v>
                </c:pt>
                <c:pt idx="153">
                  <c:v>169.9995246645168</c:v>
                </c:pt>
                <c:pt idx="154">
                  <c:v>170.21657882685344</c:v>
                </c:pt>
                <c:pt idx="155">
                  <c:v>170.42882336576315</c:v>
                </c:pt>
                <c:pt idx="156">
                  <c:v>170.63634640990608</c:v>
                </c:pt>
                <c:pt idx="157">
                  <c:v>170.83923512888924</c:v>
                </c:pt>
                <c:pt idx="158">
                  <c:v>171.03757568524969</c:v>
                </c:pt>
                <c:pt idx="159">
                  <c:v>171.23145319128412</c:v>
                </c:pt>
                <c:pt idx="160">
                  <c:v>171.4209516704355</c:v>
                </c:pt>
                <c:pt idx="161">
                  <c:v>171.60615402295616</c:v>
                </c:pt>
                <c:pt idx="162">
                  <c:v>171.78714199558033</c:v>
                </c:pt>
                <c:pt idx="163">
                  <c:v>171.96399615494957</c:v>
                </c:pt>
                <c:pt idx="164">
                  <c:v>172.13679586454623</c:v>
                </c:pt>
                <c:pt idx="165">
                  <c:v>172.30561926490105</c:v>
                </c:pt>
                <c:pt idx="166">
                  <c:v>172.47054325685264</c:v>
                </c:pt>
                <c:pt idx="167">
                  <c:v>172.63164348764704</c:v>
                </c:pt>
                <c:pt idx="168">
                  <c:v>172.78899433967604</c:v>
                </c:pt>
                <c:pt idx="169">
                  <c:v>172.94266892166416</c:v>
                </c:pt>
                <c:pt idx="170">
                  <c:v>173.09273906212266</c:v>
                </c:pt>
                <c:pt idx="171">
                  <c:v>173.23927530490005</c:v>
                </c:pt>
                <c:pt idx="172">
                  <c:v>173.38234690666783</c:v>
                </c:pt>
                <c:pt idx="173">
                  <c:v>173.52202183618775</c:v>
                </c:pt>
                <c:pt idx="174">
                  <c:v>173.65836677521733</c:v>
                </c:pt>
                <c:pt idx="175">
                  <c:v>173.79144712091789</c:v>
                </c:pt>
                <c:pt idx="176">
                  <c:v>173.92132698963727</c:v>
                </c:pt>
                <c:pt idx="177">
                  <c:v>174.04806922194692</c:v>
                </c:pt>
                <c:pt idx="178">
                  <c:v>174.17173538882079</c:v>
                </c:pt>
                <c:pt idx="179">
                  <c:v>174.29238579884972</c:v>
                </c:pt>
                <c:pt idx="180">
                  <c:v>174.41007950639246</c:v>
                </c:pt>
                <c:pt idx="181">
                  <c:v>174.52487432056995</c:v>
                </c:pt>
                <c:pt idx="182">
                  <c:v>174.63682681501504</c:v>
                </c:pt>
                <c:pt idx="183">
                  <c:v>174.74599233829753</c:v>
                </c:pt>
                <c:pt idx="184">
                  <c:v>174.85242502494691</c:v>
                </c:pt>
                <c:pt idx="185">
                  <c:v>174.95617780700246</c:v>
                </c:pt>
                <c:pt idx="186">
                  <c:v>175.05730242602414</c:v>
                </c:pt>
                <c:pt idx="187">
                  <c:v>175.15584944550173</c:v>
                </c:pt>
                <c:pt idx="188">
                  <c:v>175.25186826360581</c:v>
                </c:pt>
                <c:pt idx="189">
                  <c:v>175.34540712622572</c:v>
                </c:pt>
                <c:pt idx="190">
                  <c:v>175.43651314024518</c:v>
                </c:pt>
                <c:pt idx="191">
                  <c:v>175.52523228700912</c:v>
                </c:pt>
                <c:pt idx="192">
                  <c:v>175.61160943593868</c:v>
                </c:pt>
                <c:pt idx="193">
                  <c:v>175.69568835825439</c:v>
                </c:pt>
                <c:pt idx="194">
                  <c:v>175.77751174077073</c:v>
                </c:pt>
                <c:pt idx="195">
                  <c:v>175.85712119972771</c:v>
                </c:pt>
                <c:pt idx="196">
                  <c:v>175.93455729462769</c:v>
                </c:pt>
                <c:pt idx="197">
                  <c:v>176.00985954204879</c:v>
                </c:pt>
                <c:pt idx="198">
                  <c:v>176.08306642940704</c:v>
                </c:pt>
                <c:pt idx="199">
                  <c:v>176.15421542864343</c:v>
                </c:pt>
                <c:pt idx="200">
                  <c:v>176.22334300981177</c:v>
                </c:pt>
                <c:pt idx="201">
                  <c:v>176.29048465454787</c:v>
                </c:pt>
                <c:pt idx="202">
                  <c:v>176.35567486939874</c:v>
                </c:pt>
                <c:pt idx="203">
                  <c:v>176.41894719899608</c:v>
                </c:pt>
                <c:pt idx="204">
                  <c:v>176.48033423905659</c:v>
                </c:pt>
                <c:pt idx="205">
                  <c:v>176.53986764919421</c:v>
                </c:pt>
                <c:pt idx="206">
                  <c:v>176.59757816553167</c:v>
                </c:pt>
                <c:pt idx="207">
                  <c:v>176.65349561309799</c:v>
                </c:pt>
                <c:pt idx="208">
                  <c:v>176.7076489180011</c:v>
                </c:pt>
                <c:pt idx="209">
                  <c:v>176.76006611936523</c:v>
                </c:pt>
                <c:pt idx="210">
                  <c:v>176.81077438102443</c:v>
                </c:pt>
                <c:pt idx="211">
                  <c:v>176.85980000296229</c:v>
                </c:pt>
                <c:pt idx="212">
                  <c:v>176.90716843249214</c:v>
                </c:pt>
                <c:pt idx="213">
                  <c:v>176.95290427516969</c:v>
                </c:pt>
                <c:pt idx="214">
                  <c:v>176.9970313054319</c:v>
                </c:pt>
                <c:pt idx="215">
                  <c:v>177.03957247695777</c:v>
                </c:pt>
                <c:pt idx="216">
                  <c:v>177.08054993274482</c:v>
                </c:pt>
                <c:pt idx="217">
                  <c:v>177.11998501489714</c:v>
                </c:pt>
                <c:pt idx="218">
                  <c:v>177.15789827412246</c:v>
                </c:pt>
                <c:pt idx="219">
                  <c:v>177.19430947893244</c:v>
                </c:pt>
                <c:pt idx="220">
                  <c:v>177.22923762454553</c:v>
                </c:pt>
                <c:pt idx="221">
                  <c:v>177.26270094148813</c:v>
                </c:pt>
                <c:pt idx="222">
                  <c:v>177.29471690389252</c:v>
                </c:pt>
                <c:pt idx="223">
                  <c:v>177.32530223748932</c:v>
                </c:pt>
                <c:pt idx="224">
                  <c:v>177.35447292729293</c:v>
                </c:pt>
                <c:pt idx="225">
                  <c:v>177.38224422497822</c:v>
                </c:pt>
                <c:pt idx="226">
                  <c:v>177.40863065594763</c:v>
                </c:pt>
                <c:pt idx="227">
                  <c:v>177.43364602608708</c:v>
                </c:pt>
                <c:pt idx="228">
                  <c:v>177.45730342821057</c:v>
                </c:pt>
                <c:pt idx="229">
                  <c:v>177.47961524819206</c:v>
                </c:pt>
                <c:pt idx="230">
                  <c:v>177.50059317078455</c:v>
                </c:pt>
                <c:pt idx="231">
                  <c:v>177.52024818512589</c:v>
                </c:pt>
                <c:pt idx="232">
                  <c:v>177.53859058993055</c:v>
                </c:pt>
                <c:pt idx="233">
                  <c:v>177.55562999836775</c:v>
                </c:pt>
                <c:pt idx="234">
                  <c:v>177.5713753426254</c:v>
                </c:pt>
                <c:pt idx="235">
                  <c:v>177.58583487815997</c:v>
                </c:pt>
                <c:pt idx="236">
                  <c:v>177.5990161876318</c:v>
                </c:pt>
                <c:pt idx="237">
                  <c:v>177.61092618452668</c:v>
                </c:pt>
                <c:pt idx="238">
                  <c:v>177.62157111646266</c:v>
                </c:pt>
                <c:pt idx="239">
                  <c:v>177.63095656818356</c:v>
                </c:pt>
                <c:pt idx="240">
                  <c:v>177.63908746423749</c:v>
                </c:pt>
                <c:pt idx="241">
                  <c:v>177.64596807134222</c:v>
                </c:pt>
                <c:pt idx="242">
                  <c:v>177.65160200043618</c:v>
                </c:pt>
                <c:pt idx="243">
                  <c:v>177.65599220841608</c:v>
                </c:pt>
                <c:pt idx="244">
                  <c:v>177.65914099956049</c:v>
                </c:pt>
                <c:pt idx="245">
                  <c:v>177.66105002664014</c:v>
                </c:pt>
                <c:pt idx="246">
                  <c:v>177.66172029171446</c:v>
                </c:pt>
                <c:pt idx="247">
                  <c:v>177.66115214661471</c:v>
                </c:pt>
                <c:pt idx="248">
                  <c:v>177.6593452931136</c:v>
                </c:pt>
                <c:pt idx="249">
                  <c:v>177.65629878278156</c:v>
                </c:pt>
                <c:pt idx="250">
                  <c:v>177.6520110165294</c:v>
                </c:pt>
                <c:pt idx="251">
                  <c:v>177.64647974383757</c:v>
                </c:pt>
                <c:pt idx="252">
                  <c:v>177.63970206167193</c:v>
                </c:pt>
                <c:pt idx="253">
                  <c:v>177.63167441308573</c:v>
                </c:pt>
                <c:pt idx="254">
                  <c:v>177.62239258550809</c:v>
                </c:pt>
                <c:pt idx="255">
                  <c:v>177.61185170871875</c:v>
                </c:pt>
                <c:pt idx="256">
                  <c:v>177.60004625250875</c:v>
                </c:pt>
                <c:pt idx="257">
                  <c:v>177.58697002402747</c:v>
                </c:pt>
                <c:pt idx="258">
                  <c:v>177.57261616481546</c:v>
                </c:pt>
                <c:pt idx="259">
                  <c:v>177.5569771475231</c:v>
                </c:pt>
                <c:pt idx="260">
                  <c:v>177.54004477231533</c:v>
                </c:pt>
                <c:pt idx="261">
                  <c:v>177.52181016296186</c:v>
                </c:pt>
                <c:pt idx="262">
                  <c:v>177.5022637626135</c:v>
                </c:pt>
                <c:pt idx="263">
                  <c:v>177.48139532926396</c:v>
                </c:pt>
                <c:pt idx="264">
                  <c:v>177.45919393089778</c:v>
                </c:pt>
                <c:pt idx="265">
                  <c:v>177.43564794032426</c:v>
                </c:pt>
                <c:pt idx="266">
                  <c:v>177.41074502969761</c:v>
                </c:pt>
                <c:pt idx="267">
                  <c:v>177.3844721647236</c:v>
                </c:pt>
                <c:pt idx="268">
                  <c:v>177.3568155985536</c:v>
                </c:pt>
                <c:pt idx="269">
                  <c:v>177.32776086536569</c:v>
                </c:pt>
                <c:pt idx="270">
                  <c:v>177.29729277363421</c:v>
                </c:pt>
                <c:pt idx="271">
                  <c:v>177.26539539908865</c:v>
                </c:pt>
                <c:pt idx="272">
                  <c:v>177.23205207736208</c:v>
                </c:pt>
                <c:pt idx="273">
                  <c:v>177.19724539633131</c:v>
                </c:pt>
                <c:pt idx="274">
                  <c:v>177.16095718814964</c:v>
                </c:pt>
                <c:pt idx="275">
                  <c:v>177.1231685209741</c:v>
                </c:pt>
                <c:pt idx="276">
                  <c:v>177.08385969038903</c:v>
                </c:pt>
                <c:pt idx="277">
                  <c:v>177.04301021052831</c:v>
                </c:pt>
                <c:pt idx="278">
                  <c:v>177.00059880489911</c:v>
                </c:pt>
                <c:pt idx="279">
                  <c:v>176.95660339690951</c:v>
                </c:pt>
                <c:pt idx="280">
                  <c:v>176.91100110010422</c:v>
                </c:pt>
                <c:pt idx="281">
                  <c:v>176.8637682081114</c:v>
                </c:pt>
                <c:pt idx="282">
                  <c:v>176.81488018430568</c:v>
                </c:pt>
                <c:pt idx="283">
                  <c:v>176.76431165119163</c:v>
                </c:pt>
                <c:pt idx="284">
                  <c:v>176.71203637951348</c:v>
                </c:pt>
                <c:pt idx="285">
                  <c:v>176.65802727709701</c:v>
                </c:pt>
                <c:pt idx="286">
                  <c:v>176.60225637743065</c:v>
                </c:pt>
                <c:pt idx="287">
                  <c:v>176.54469482799274</c:v>
                </c:pt>
                <c:pt idx="288">
                  <c:v>176.48531287833393</c:v>
                </c:pt>
                <c:pt idx="289">
                  <c:v>176.42407986792358</c:v>
                </c:pt>
                <c:pt idx="290">
                  <c:v>176.36096421377005</c:v>
                </c:pt>
                <c:pt idx="291">
                  <c:v>176.29593339782707</c:v>
                </c:pt>
                <c:pt idx="292">
                  <c:v>176.22895395419681</c:v>
                </c:pt>
                <c:pt idx="293">
                  <c:v>176.15999145614484</c:v>
                </c:pt>
                <c:pt idx="294">
                  <c:v>176.08901050294062</c:v>
                </c:pt>
                <c:pt idx="295">
                  <c:v>176.01597470653988</c:v>
                </c:pt>
                <c:pt idx="296">
                  <c:v>175.9408466781268</c:v>
                </c:pt>
                <c:pt idx="297">
                  <c:v>175.86358801453483</c:v>
                </c:pt>
                <c:pt idx="298">
                  <c:v>175.78415928456724</c:v>
                </c:pt>
                <c:pt idx="299">
                  <c:v>175.70252001523991</c:v>
                </c:pt>
                <c:pt idx="300">
                  <c:v>175.61862867797169</c:v>
                </c:pt>
                <c:pt idx="301">
                  <c:v>175.53244267474781</c:v>
                </c:pt>
                <c:pt idx="302">
                  <c:v>175.44391832428715</c:v>
                </c:pt>
                <c:pt idx="303">
                  <c:v>175.35301084824323</c:v>
                </c:pt>
                <c:pt idx="304">
                  <c:v>175.25967435747367</c:v>
                </c:pt>
                <c:pt idx="305">
                  <c:v>175.16386183841499</c:v>
                </c:pt>
                <c:pt idx="306">
                  <c:v>175.06552513960193</c:v>
                </c:pt>
                <c:pt idx="307">
                  <c:v>174.96461495837437</c:v>
                </c:pt>
                <c:pt idx="308">
                  <c:v>174.86108082781766</c:v>
                </c:pt>
                <c:pt idx="309">
                  <c:v>174.75487110398649</c:v>
                </c:pt>
                <c:pt idx="310">
                  <c:v>174.64593295346506</c:v>
                </c:pt>
                <c:pt idx="311">
                  <c:v>174.53421234132117</c:v>
                </c:pt>
                <c:pt idx="312">
                  <c:v>174.4196540195158</c:v>
                </c:pt>
                <c:pt idx="313">
                  <c:v>174.30220151583399</c:v>
                </c:pt>
                <c:pt idx="314">
                  <c:v>174.18179712340799</c:v>
                </c:pt>
                <c:pt idx="315">
                  <c:v>174.05838189090872</c:v>
                </c:pt>
                <c:pt idx="316">
                  <c:v>173.93189561348584</c:v>
                </c:pt>
                <c:pt idx="317">
                  <c:v>173.80227682454409</c:v>
                </c:pt>
                <c:pt idx="318">
                  <c:v>173.66946278844779</c:v>
                </c:pt>
                <c:pt idx="319">
                  <c:v>173.5333894942525</c:v>
                </c:pt>
                <c:pt idx="320">
                  <c:v>173.39399165056992</c:v>
                </c:pt>
                <c:pt idx="321">
                  <c:v>173.25120268167694</c:v>
                </c:pt>
                <c:pt idx="322">
                  <c:v>173.10495472499005</c:v>
                </c:pt>
                <c:pt idx="323">
                  <c:v>172.9551786300305</c:v>
                </c:pt>
                <c:pt idx="324">
                  <c:v>172.80180395901655</c:v>
                </c:pt>
                <c:pt idx="325">
                  <c:v>172.64475898922544</c:v>
                </c:pt>
                <c:pt idx="326">
                  <c:v>172.48397071727729</c:v>
                </c:pt>
                <c:pt idx="327">
                  <c:v>172.31936486550163</c:v>
                </c:pt>
                <c:pt idx="328">
                  <c:v>172.15086589055727</c:v>
                </c:pt>
                <c:pt idx="329">
                  <c:v>171.97839699448426</c:v>
                </c:pt>
                <c:pt idx="330">
                  <c:v>171.80188013838023</c:v>
                </c:pt>
                <c:pt idx="331">
                  <c:v>171.62123605889786</c:v>
                </c:pt>
                <c:pt idx="332">
                  <c:v>171.43638428777814</c:v>
                </c:pt>
                <c:pt idx="333">
                  <c:v>171.24724317463779</c:v>
                </c:pt>
                <c:pt idx="334">
                  <c:v>171.05372991324583</c:v>
                </c:pt>
                <c:pt idx="335">
                  <c:v>170.85576057153148</c:v>
                </c:pt>
                <c:pt idx="336">
                  <c:v>170.6532501255812</c:v>
                </c:pt>
                <c:pt idx="337">
                  <c:v>170.44611249788863</c:v>
                </c:pt>
                <c:pt idx="338">
                  <c:v>170.23426060013833</c:v>
                </c:pt>
                <c:pt idx="339">
                  <c:v>170.01760638081166</c:v>
                </c:pt>
                <c:pt idx="340">
                  <c:v>169.79606087791711</c:v>
                </c:pt>
                <c:pt idx="341">
                  <c:v>169.56953427715521</c:v>
                </c:pt>
                <c:pt idx="342">
                  <c:v>169.33793597584258</c:v>
                </c:pt>
                <c:pt idx="343">
                  <c:v>169.10117465292754</c:v>
                </c:pt>
                <c:pt idx="344">
                  <c:v>168.85915834543869</c:v>
                </c:pt>
                <c:pt idx="345">
                  <c:v>168.61179453171883</c:v>
                </c:pt>
                <c:pt idx="346">
                  <c:v>168.358990221802</c:v>
                </c:pt>
                <c:pt idx="347">
                  <c:v>168.10065205530131</c:v>
                </c:pt>
                <c:pt idx="348">
                  <c:v>167.83668640717391</c:v>
                </c:pt>
                <c:pt idx="349">
                  <c:v>167.56699950174209</c:v>
                </c:pt>
                <c:pt idx="350">
                  <c:v>167.29149753534318</c:v>
                </c:pt>
                <c:pt idx="351">
                  <c:v>167.01008680798441</c:v>
                </c:pt>
                <c:pt idx="352">
                  <c:v>166.72267386437571</c:v>
                </c:pt>
                <c:pt idx="353">
                  <c:v>166.42916564470642</c:v>
                </c:pt>
                <c:pt idx="354">
                  <c:v>166.12946964552307</c:v>
                </c:pt>
                <c:pt idx="355">
                  <c:v>165.82349409105524</c:v>
                </c:pt>
                <c:pt idx="356">
                  <c:v>165.51114811531687</c:v>
                </c:pt>
                <c:pt idx="357">
                  <c:v>165.19234195529225</c:v>
                </c:pt>
                <c:pt idx="358">
                  <c:v>164.86698715549051</c:v>
                </c:pt>
                <c:pt idx="359">
                  <c:v>164.53499678411964</c:v>
                </c:pt>
                <c:pt idx="360">
                  <c:v>164.19628566109975</c:v>
                </c:pt>
                <c:pt idx="361">
                  <c:v>163.85077059808771</c:v>
                </c:pt>
                <c:pt idx="362">
                  <c:v>163.49837065064281</c:v>
                </c:pt>
                <c:pt idx="363">
                  <c:v>163.13900738260185</c:v>
                </c:pt>
                <c:pt idx="364">
                  <c:v>162.77260514267621</c:v>
                </c:pt>
                <c:pt idx="365">
                  <c:v>162.39909135320738</c:v>
                </c:pt>
                <c:pt idx="366">
                  <c:v>162.01839681094273</c:v>
                </c:pt>
                <c:pt idx="367">
                  <c:v>161.6304559996085</c:v>
                </c:pt>
                <c:pt idx="368">
                  <c:v>161.23520741395609</c:v>
                </c:pt>
                <c:pt idx="369">
                  <c:v>160.83259389486429</c:v>
                </c:pt>
                <c:pt idx="370">
                  <c:v>160.42256297495712</c:v>
                </c:pt>
                <c:pt idx="371">
                  <c:v>160.00506723408731</c:v>
                </c:pt>
                <c:pt idx="372">
                  <c:v>159.58006466389548</c:v>
                </c:pt>
                <c:pt idx="373">
                  <c:v>159.14751904053151</c:v>
                </c:pt>
                <c:pt idx="374">
                  <c:v>158.70740030446552</c:v>
                </c:pt>
                <c:pt idx="375">
                  <c:v>158.25968494617771</c:v>
                </c:pt>
                <c:pt idx="376">
                  <c:v>157.80435639634973</c:v>
                </c:pt>
                <c:pt idx="377">
                  <c:v>157.34140541902366</c:v>
                </c:pt>
                <c:pt idx="378">
                  <c:v>156.87083050602689</c:v>
                </c:pt>
                <c:pt idx="379">
                  <c:v>156.39263827079253</c:v>
                </c:pt>
                <c:pt idx="380">
                  <c:v>155.90684383953982</c:v>
                </c:pt>
                <c:pt idx="381">
                  <c:v>155.41347123760883</c:v>
                </c:pt>
                <c:pt idx="382">
                  <c:v>154.91255376858706</c:v>
                </c:pt>
                <c:pt idx="383">
                  <c:v>154.40413438370317</c:v>
                </c:pt>
                <c:pt idx="384">
                  <c:v>153.88826603882293</c:v>
                </c:pt>
                <c:pt idx="385">
                  <c:v>153.36501203624582</c:v>
                </c:pt>
                <c:pt idx="386">
                  <c:v>152.83444634838278</c:v>
                </c:pt>
                <c:pt idx="387">
                  <c:v>152.29665392029176</c:v>
                </c:pt>
                <c:pt idx="388">
                  <c:v>151.75173094797876</c:v>
                </c:pt>
                <c:pt idx="389">
                  <c:v>151.19978512931084</c:v>
                </c:pt>
                <c:pt idx="390">
                  <c:v>150.64093588436458</c:v>
                </c:pt>
                <c:pt idx="391">
                  <c:v>150.07531454204343</c:v>
                </c:pt>
                <c:pt idx="392">
                  <c:v>149.50306448984148</c:v>
                </c:pt>
                <c:pt idx="393">
                  <c:v>148.92434128370328</c:v>
                </c:pt>
                <c:pt idx="394">
                  <c:v>148.33931271505256</c:v>
                </c:pt>
                <c:pt idx="395">
                  <c:v>147.7481588322282</c:v>
                </c:pt>
                <c:pt idx="396">
                  <c:v>147.15107191375822</c:v>
                </c:pt>
                <c:pt idx="397">
                  <c:v>146.54825639115944</c:v>
                </c:pt>
                <c:pt idx="398">
                  <c:v>145.93992871923365</c:v>
                </c:pt>
                <c:pt idx="399">
                  <c:v>145.32631719217019</c:v>
                </c:pt>
                <c:pt idx="400">
                  <c:v>144.70766170412426</c:v>
                </c:pt>
                <c:pt idx="401">
                  <c:v>144.08421345337445</c:v>
                </c:pt>
                <c:pt idx="402">
                  <c:v>143.45623458958045</c:v>
                </c:pt>
                <c:pt idx="403">
                  <c:v>142.82399780416029</c:v>
                </c:pt>
                <c:pt idx="404">
                  <c:v>142.18778586429056</c:v>
                </c:pt>
                <c:pt idx="405">
                  <c:v>141.54789109156189</c:v>
                </c:pt>
                <c:pt idx="406">
                  <c:v>140.90461478684423</c:v>
                </c:pt>
                <c:pt idx="407">
                  <c:v>140.25826660345197</c:v>
                </c:pt>
                <c:pt idx="408">
                  <c:v>139.60916387123359</c:v>
                </c:pt>
                <c:pt idx="409">
                  <c:v>138.95763087471886</c:v>
                </c:pt>
                <c:pt idx="410">
                  <c:v>138.30399808896223</c:v>
                </c:pt>
                <c:pt idx="411">
                  <c:v>137.64860137718603</c:v>
                </c:pt>
                <c:pt idx="412">
                  <c:v>136.99178115475331</c:v>
                </c:pt>
                <c:pt idx="413">
                  <c:v>136.33388152439198</c:v>
                </c:pt>
                <c:pt idx="414">
                  <c:v>135.67524938792897</c:v>
                </c:pt>
                <c:pt idx="415">
                  <c:v>135.01623354005497</c:v>
                </c:pt>
                <c:pt idx="416">
                  <c:v>134.35718374987175</c:v>
                </c:pt>
                <c:pt idx="417">
                  <c:v>133.69844983610508</c:v>
                </c:pt>
                <c:pt idx="418">
                  <c:v>133.04038074195154</c:v>
                </c:pt>
                <c:pt idx="419">
                  <c:v>132.38332361552781</c:v>
                </c:pt>
                <c:pt idx="420">
                  <c:v>131.72762290182229</c:v>
                </c:pt>
                <c:pt idx="421">
                  <c:v>131.07361945191502</c:v>
                </c:pt>
                <c:pt idx="422">
                  <c:v>130.42164965502829</c:v>
                </c:pt>
                <c:pt idx="423">
                  <c:v>129.77204459869102</c:v>
                </c:pt>
                <c:pt idx="424">
                  <c:v>129.12512926198994</c:v>
                </c:pt>
                <c:pt idx="425">
                  <c:v>128.48122174648196</c:v>
                </c:pt>
                <c:pt idx="426">
                  <c:v>127.8406325489308</c:v>
                </c:pt>
                <c:pt idx="427">
                  <c:v>127.20366387956187</c:v>
                </c:pt>
                <c:pt idx="428">
                  <c:v>126.57060902903066</c:v>
                </c:pt>
                <c:pt idx="429">
                  <c:v>125.9417517867906</c:v>
                </c:pt>
                <c:pt idx="430">
                  <c:v>125.31736591302298</c:v>
                </c:pt>
                <c:pt idx="431">
                  <c:v>124.69771466573833</c:v>
                </c:pt>
                <c:pt idx="432">
                  <c:v>124.08305038415402</c:v>
                </c:pt>
                <c:pt idx="433">
                  <c:v>123.47361412890909</c:v>
                </c:pt>
                <c:pt idx="434">
                  <c:v>122.86963537918994</c:v>
                </c:pt>
                <c:pt idx="435">
                  <c:v>122.27133178636284</c:v>
                </c:pt>
                <c:pt idx="436">
                  <c:v>121.67890898324397</c:v>
                </c:pt>
                <c:pt idx="437">
                  <c:v>121.09256044774347</c:v>
                </c:pt>
                <c:pt idx="438">
                  <c:v>120.51246741922799</c:v>
                </c:pt>
                <c:pt idx="439">
                  <c:v>119.93879886561341</c:v>
                </c:pt>
                <c:pt idx="440">
                  <c:v>119.37171149890509</c:v>
                </c:pt>
                <c:pt idx="441">
                  <c:v>118.81134983665021</c:v>
                </c:pt>
                <c:pt idx="442">
                  <c:v>118.25784630655542</c:v>
                </c:pt>
                <c:pt idx="443">
                  <c:v>117.71132139136503</c:v>
                </c:pt>
                <c:pt idx="444">
                  <c:v>117.1718838109599</c:v>
                </c:pt>
                <c:pt idx="445">
                  <c:v>116.63963073856254</c:v>
                </c:pt>
                <c:pt idx="446">
                  <c:v>116.11464804788426</c:v>
                </c:pt>
                <c:pt idx="447">
                  <c:v>115.59701058803493</c:v>
                </c:pt>
                <c:pt idx="448">
                  <c:v>115.0867824830451</c:v>
                </c:pt>
                <c:pt idx="449">
                  <c:v>114.58401745288899</c:v>
                </c:pt>
                <c:pt idx="450">
                  <c:v>114.08875915298229</c:v>
                </c:pt>
                <c:pt idx="451">
                  <c:v>113.60104152921816</c:v>
                </c:pt>
                <c:pt idx="452">
                  <c:v>113.12088918572826</c:v>
                </c:pt>
                <c:pt idx="453">
                  <c:v>112.6483177626798</c:v>
                </c:pt>
                <c:pt idx="454">
                  <c:v>112.18333432157311</c:v>
                </c:pt>
                <c:pt idx="455">
                  <c:v>111.72593773565262</c:v>
                </c:pt>
                <c:pt idx="456">
                  <c:v>111.2761190832083</c:v>
                </c:pt>
                <c:pt idx="457">
                  <c:v>110.83386204170858</c:v>
                </c:pt>
                <c:pt idx="458">
                  <c:v>110.39914328087745</c:v>
                </c:pt>
                <c:pt idx="459">
                  <c:v>109.97193285299002</c:v>
                </c:pt>
                <c:pt idx="460">
                  <c:v>109.55219457883452</c:v>
                </c:pt>
                <c:pt idx="461">
                  <c:v>109.13988642794467</c:v>
                </c:pt>
                <c:pt idx="462">
                  <c:v>108.73496089186702</c:v>
                </c:pt>
                <c:pt idx="463">
                  <c:v>108.33736534938205</c:v>
                </c:pt>
                <c:pt idx="464">
                  <c:v>107.94704242273808</c:v>
                </c:pt>
                <c:pt idx="465">
                  <c:v>107.56393032409943</c:v>
                </c:pt>
                <c:pt idx="466">
                  <c:v>107.18796319153741</c:v>
                </c:pt>
                <c:pt idx="467">
                  <c:v>106.8190714140143</c:v>
                </c:pt>
                <c:pt idx="468">
                  <c:v>106.45718194492663</c:v>
                </c:pt>
                <c:pt idx="469">
                  <c:v>106.10221860387266</c:v>
                </c:pt>
                <c:pt idx="470">
                  <c:v>105.75410236640847</c:v>
                </c:pt>
                <c:pt idx="471">
                  <c:v>105.41275164164556</c:v>
                </c:pt>
                <c:pt idx="472">
                  <c:v>105.07808253761827</c:v>
                </c:pt>
                <c:pt idx="473">
                  <c:v>104.75000911442002</c:v>
                </c:pt>
                <c:pt idx="474">
                  <c:v>104.4284436251765</c:v>
                </c:pt>
                <c:pt idx="475">
                  <c:v>104.11329674497298</c:v>
                </c:pt>
                <c:pt idx="476">
                  <c:v>103.80447778790494</c:v>
                </c:pt>
                <c:pt idx="477">
                  <c:v>103.5018949124662</c:v>
                </c:pt>
                <c:pt idx="478">
                  <c:v>103.20545531552055</c:v>
                </c:pt>
                <c:pt idx="479">
                  <c:v>102.91506541513823</c:v>
                </c:pt>
                <c:pt idx="480">
                  <c:v>102.63063102260128</c:v>
                </c:pt>
                <c:pt idx="481">
                  <c:v>102.35205750390558</c:v>
                </c:pt>
                <c:pt idx="482">
                  <c:v>102.07924993110095</c:v>
                </c:pt>
                <c:pt idx="483">
                  <c:v>101.81211322382801</c:v>
                </c:pt>
                <c:pt idx="484">
                  <c:v>101.55055228141475</c:v>
                </c:pt>
                <c:pt idx="485">
                  <c:v>101.29447210590487</c:v>
                </c:pt>
                <c:pt idx="486">
                  <c:v>101.04377791639359</c:v>
                </c:pt>
                <c:pt idx="487">
                  <c:v>100.79837525504537</c:v>
                </c:pt>
                <c:pt idx="488">
                  <c:v>100.55817008516816</c:v>
                </c:pt>
                <c:pt idx="489">
                  <c:v>100.32306888171476</c:v>
                </c:pt>
                <c:pt idx="490">
                  <c:v>100.09297871457696</c:v>
                </c:pt>
                <c:pt idx="491">
                  <c:v>99.86780732503189</c:v>
                </c:pt>
                <c:pt idx="492">
                  <c:v>99.647463195692325</c:v>
                </c:pt>
                <c:pt idx="493">
                  <c:v>99.431855614303728</c:v>
                </c:pt>
                <c:pt idx="494">
                  <c:v>99.220894731722282</c:v>
                </c:pt>
                <c:pt idx="495">
                  <c:v>99.014491614396462</c:v>
                </c:pt>
                <c:pt idx="496">
                  <c:v>98.812558291665795</c:v>
                </c:pt>
                <c:pt idx="497">
                  <c:v>98.615007798178908</c:v>
                </c:pt>
                <c:pt idx="498">
                  <c:v>98.421754211720511</c:v>
                </c:pt>
                <c:pt idx="499">
                  <c:v>98.232712686727723</c:v>
                </c:pt>
                <c:pt idx="500">
                  <c:v>98.047799483762361</c:v>
                </c:pt>
                <c:pt idx="501">
                  <c:v>97.866931995196779</c:v>
                </c:pt>
                <c:pt idx="502">
                  <c:v>97.690028767356551</c:v>
                </c:pt>
                <c:pt idx="503">
                  <c:v>97.517009519354644</c:v>
                </c:pt>
                <c:pt idx="504">
                  <c:v>97.347795158839133</c:v>
                </c:pt>
                <c:pt idx="505">
                  <c:v>97.182307794866048</c:v>
                </c:pt>
                <c:pt idx="506">
                  <c:v>97.020470748097949</c:v>
                </c:pt>
                <c:pt idx="507">
                  <c:v>96.862208558519512</c:v>
                </c:pt>
                <c:pt idx="508">
                  <c:v>96.707446990849476</c:v>
                </c:pt>
                <c:pt idx="509">
                  <c:v>96.556113037821049</c:v>
                </c:pt>
                <c:pt idx="510">
                  <c:v>96.408134921491055</c:v>
                </c:pt>
                <c:pt idx="511">
                  <c:v>96.263442092730799</c:v>
                </c:pt>
                <c:pt idx="512">
                  <c:v>96.121965229042175</c:v>
                </c:pt>
                <c:pt idx="513">
                  <c:v>95.98363623083398</c:v>
                </c:pt>
                <c:pt idx="514">
                  <c:v>95.848388216286295</c:v>
                </c:pt>
                <c:pt idx="515">
                  <c:v>95.716155514922249</c:v>
                </c:pt>
                <c:pt idx="516">
                  <c:v>95.586873659999654</c:v>
                </c:pt>
                <c:pt idx="517">
                  <c:v>95.460479379827959</c:v>
                </c:pt>
                <c:pt idx="518">
                  <c:v>95.336910588109461</c:v>
                </c:pt>
                <c:pt idx="519">
                  <c:v>95.216106373396983</c:v>
                </c:pt>
                <c:pt idx="520">
                  <c:v>95.098006987755028</c:v>
                </c:pt>
                <c:pt idx="521">
                  <c:v>94.982553834705172</c:v>
                </c:pt>
                <c:pt idx="522">
                  <c:v>94.86968945653112</c:v>
                </c:pt>
                <c:pt idx="523">
                  <c:v>94.759357521013825</c:v>
                </c:pt>
                <c:pt idx="524">
                  <c:v>94.651502807662965</c:v>
                </c:pt>
                <c:pt idx="525">
                  <c:v>94.546071193504844</c:v>
                </c:pt>
                <c:pt idx="526">
                  <c:v>94.443009638485208</c:v>
                </c:pt>
                <c:pt idx="527">
                  <c:v>94.342266170537712</c:v>
                </c:pt>
                <c:pt idx="528">
                  <c:v>94.243789870369213</c:v>
                </c:pt>
                <c:pt idx="529">
                  <c:v>94.147530856005943</c:v>
                </c:pt>
                <c:pt idx="530">
                  <c:v>94.053440267143131</c:v>
                </c:pt>
                <c:pt idx="531">
                  <c:v>93.961470249337239</c:v>
                </c:pt>
                <c:pt idx="532">
                  <c:v>93.871573938076637</c:v>
                </c:pt>
                <c:pt idx="533">
                  <c:v>93.783705442763619</c:v>
                </c:pt>
                <c:pt idx="534">
                  <c:v>93.697819830639105</c:v>
                </c:pt>
                <c:pt idx="535">
                  <c:v>93.613873110677233</c:v>
                </c:pt>
                <c:pt idx="536">
                  <c:v>93.531822217476957</c:v>
                </c:pt>
                <c:pt idx="537">
                  <c:v>93.45162499517275</c:v>
                </c:pt>
                <c:pt idx="538">
                  <c:v>93.373240181387814</c:v>
                </c:pt>
                <c:pt idx="539">
                  <c:v>93.296627391248521</c:v>
                </c:pt>
                <c:pt idx="540">
                  <c:v>93.221747101478584</c:v>
                </c:pt>
                <c:pt idx="541">
                  <c:v>93.148560634589387</c:v>
                </c:pt>
              </c:numCache>
            </c:numRef>
          </c:yVal>
          <c:smooth val="1"/>
          <c:extLst>
            <c:ext xmlns:c16="http://schemas.microsoft.com/office/drawing/2014/chart" uri="{C3380CC4-5D6E-409C-BE32-E72D297353CC}">
              <c16:uniqueId val="{00000001-C95D-4273-8D1D-E8C586949522}"/>
            </c:ext>
          </c:extLst>
        </c:ser>
        <c:dLbls>
          <c:showLegendKey val="0"/>
          <c:showVal val="0"/>
          <c:showCatName val="0"/>
          <c:showSerName val="0"/>
          <c:showPercent val="0"/>
          <c:showBubbleSize val="0"/>
        </c:dLbls>
        <c:axId val="160545024"/>
        <c:axId val="160543488"/>
      </c:scatterChart>
      <c:valAx>
        <c:axId val="160531200"/>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0533120"/>
        <c:crosses val="autoZero"/>
        <c:crossBetween val="midCat"/>
      </c:valAx>
      <c:valAx>
        <c:axId val="160533120"/>
        <c:scaling>
          <c:orientation val="minMax"/>
          <c:max val="40"/>
          <c:min val="-40"/>
        </c:scaling>
        <c:delete val="0"/>
        <c:axPos val="l"/>
        <c:majorGridlines/>
        <c:minorGridlines/>
        <c:title>
          <c:tx>
            <c:rich>
              <a:bodyPr rot="-5400000" vert="horz"/>
              <a:lstStyle/>
              <a:p>
                <a:pPr>
                  <a:defRPr/>
                </a:pPr>
                <a:r>
                  <a:rPr lang="en-US"/>
                  <a:t>Gain</a:t>
                </a:r>
                <a:r>
                  <a:rPr lang="en-US" baseline="0"/>
                  <a:t> (dB)</a:t>
                </a:r>
                <a:endParaRPr lang="en-US"/>
              </a:p>
            </c:rich>
          </c:tx>
          <c:overlay val="0"/>
        </c:title>
        <c:numFmt formatCode="General" sourceLinked="0"/>
        <c:majorTickMark val="out"/>
        <c:minorTickMark val="none"/>
        <c:tickLblPos val="nextTo"/>
        <c:crossAx val="160531200"/>
        <c:crosses val="autoZero"/>
        <c:crossBetween val="midCat"/>
        <c:majorUnit val="20"/>
        <c:minorUnit val="10"/>
      </c:valAx>
      <c:valAx>
        <c:axId val="160543488"/>
        <c:scaling>
          <c:orientation val="minMax"/>
          <c:max val="180"/>
          <c:min val="-180"/>
        </c:scaling>
        <c:delete val="0"/>
        <c:axPos val="r"/>
        <c:numFmt formatCode="General" sourceLinked="1"/>
        <c:majorTickMark val="out"/>
        <c:minorTickMark val="none"/>
        <c:tickLblPos val="nextTo"/>
        <c:crossAx val="160545024"/>
        <c:crosses val="max"/>
        <c:crossBetween val="midCat"/>
        <c:majorUnit val="90"/>
        <c:minorUnit val="45"/>
      </c:valAx>
      <c:valAx>
        <c:axId val="160545024"/>
        <c:scaling>
          <c:logBase val="10"/>
          <c:orientation val="minMax"/>
        </c:scaling>
        <c:delete val="1"/>
        <c:axPos val="b"/>
        <c:numFmt formatCode="0.00" sourceLinked="1"/>
        <c:majorTickMark val="out"/>
        <c:minorTickMark val="none"/>
        <c:tickLblPos val="nextTo"/>
        <c:crossAx val="160543488"/>
        <c:crosses val="autoZero"/>
        <c:crossBetween val="midCat"/>
      </c:valAx>
    </c:plotArea>
    <c:legend>
      <c:legendPos val="r"/>
      <c:layout>
        <c:manualLayout>
          <c:xMode val="edge"/>
          <c:yMode val="edge"/>
          <c:x val="0.79880558209512509"/>
          <c:y val="0.14321997959862004"/>
          <c:w val="0.13485048155591431"/>
          <c:h val="0.10528624969913696"/>
        </c:manualLayout>
      </c:layout>
      <c:overlay val="1"/>
      <c:spPr>
        <a:solidFill>
          <a:schemeClr val="bg1"/>
        </a:solidFill>
      </c:sp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baseline="0"/>
              <a:t>Control Loop Transfer Function</a:t>
            </a:r>
          </a:p>
        </c:rich>
      </c:tx>
      <c:overlay val="0"/>
    </c:title>
    <c:autoTitleDeleted val="0"/>
    <c:plotArea>
      <c:layout/>
      <c:scatterChart>
        <c:scatterStyle val="smoothMarker"/>
        <c:varyColors val="0"/>
        <c:ser>
          <c:idx val="0"/>
          <c:order val="0"/>
          <c:tx>
            <c:v>Gain (dB)</c:v>
          </c:tx>
          <c:spPr>
            <a:ln w="38100">
              <a:solidFill>
                <a:srgbClr val="FF0000"/>
              </a:solidFill>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Loop_Modeling!$AT$19:$AT$560</c:f>
              <c:numCache>
                <c:formatCode>0.000</c:formatCode>
                <c:ptCount val="542"/>
                <c:pt idx="0">
                  <c:v>56.749311521135056</c:v>
                </c:pt>
                <c:pt idx="1">
                  <c:v>56.368380741465359</c:v>
                </c:pt>
                <c:pt idx="2">
                  <c:v>55.987155485890121</c:v>
                </c:pt>
                <c:pt idx="3">
                  <c:v>55.605669528723553</c:v>
                </c:pt>
                <c:pt idx="4">
                  <c:v>55.223956387272949</c:v>
                </c:pt>
                <c:pt idx="5">
                  <c:v>54.842049352577547</c:v>
                </c:pt>
                <c:pt idx="6">
                  <c:v>54.459981521108034</c:v>
                </c:pt>
                <c:pt idx="7">
                  <c:v>54.077785827284629</c:v>
                </c:pt>
                <c:pt idx="8">
                  <c:v>53.69549507667675</c:v>
                </c:pt>
                <c:pt idx="9">
                  <c:v>53.313141979747236</c:v>
                </c:pt>
                <c:pt idx="10">
                  <c:v>52.930759186012381</c:v>
                </c:pt>
                <c:pt idx="11">
                  <c:v>52.548379318485672</c:v>
                </c:pt>
                <c:pt idx="12">
                  <c:v>52.166035008276559</c:v>
                </c:pt>
                <c:pt idx="13">
                  <c:v>51.783758929218735</c:v>
                </c:pt>
                <c:pt idx="14">
                  <c:v>51.401583832397876</c:v>
                </c:pt>
                <c:pt idx="15">
                  <c:v>51.019542580451748</c:v>
                </c:pt>
                <c:pt idx="16">
                  <c:v>50.637668181513085</c:v>
                </c:pt>
                <c:pt idx="17">
                  <c:v>50.255993822663925</c:v>
                </c:pt>
                <c:pt idx="18">
                  <c:v>49.874552902767057</c:v>
                </c:pt>
                <c:pt idx="19">
                  <c:v>49.493379064537436</c:v>
                </c:pt>
                <c:pt idx="20">
                  <c:v>49.112506225714093</c:v>
                </c:pt>
                <c:pt idx="21">
                  <c:v>48.731968609185429</c:v>
                </c:pt>
                <c:pt idx="22">
                  <c:v>48.351800771921098</c:v>
                </c:pt>
                <c:pt idx="23">
                  <c:v>47.972037632552201</c:v>
                </c:pt>
                <c:pt idx="24">
                  <c:v>47.592714497444945</c:v>
                </c:pt>
                <c:pt idx="25">
                  <c:v>47.213867085097746</c:v>
                </c:pt>
                <c:pt idx="26">
                  <c:v>46.835531548693623</c:v>
                </c:pt>
                <c:pt idx="27">
                  <c:v>46.45774449663179</c:v>
                </c:pt>
                <c:pt idx="28">
                  <c:v>46.080543010854683</c:v>
                </c:pt>
                <c:pt idx="29">
                  <c:v>45.70396466278595</c:v>
                </c:pt>
                <c:pt idx="30">
                  <c:v>45.328047526686703</c:v>
                </c:pt>
                <c:pt idx="31">
                  <c:v>44.952830190234749</c:v>
                </c:pt>
                <c:pt idx="32">
                  <c:v>44.5783517621296</c:v>
                </c:pt>
                <c:pt idx="33">
                  <c:v>44.20465187652043</c:v>
                </c:pt>
                <c:pt idx="34">
                  <c:v>43.831770694057646</c:v>
                </c:pt>
                <c:pt idx="35">
                  <c:v>43.459748899364989</c:v>
                </c:pt>
                <c:pt idx="36">
                  <c:v>43.088627694733937</c:v>
                </c:pt>
                <c:pt idx="37">
                  <c:v>42.718448789845169</c:v>
                </c:pt>
                <c:pt idx="38">
                  <c:v>42.34925438732737</c:v>
                </c:pt>
                <c:pt idx="39">
                  <c:v>41.98108716397244</c:v>
                </c:pt>
                <c:pt idx="40">
                  <c:v>41.613990247437407</c:v>
                </c:pt>
                <c:pt idx="41">
                  <c:v>41.248007188274926</c:v>
                </c:pt>
                <c:pt idx="42">
                  <c:v>40.883181927153871</c:v>
                </c:pt>
                <c:pt idx="43">
                  <c:v>40.519558757147351</c:v>
                </c:pt>
                <c:pt idx="44">
                  <c:v>40.157182280990604</c:v>
                </c:pt>
                <c:pt idx="45">
                  <c:v>39.796097363236989</c:v>
                </c:pt>
                <c:pt idx="46">
                  <c:v>39.436349077267323</c:v>
                </c:pt>
                <c:pt idx="47">
                  <c:v>39.077982647144609</c:v>
                </c:pt>
                <c:pt idx="48">
                  <c:v>38.721043384339055</c:v>
                </c:pt>
                <c:pt idx="49">
                  <c:v>38.365576619386701</c:v>
                </c:pt>
                <c:pt idx="50">
                  <c:v>38.011627628593132</c:v>
                </c:pt>
                <c:pt idx="51">
                  <c:v>37.659241555931715</c:v>
                </c:pt>
                <c:pt idx="52">
                  <c:v>37.308463330338625</c:v>
                </c:pt>
                <c:pt idx="53">
                  <c:v>36.959337578655315</c:v>
                </c:pt>
                <c:pt idx="54">
                  <c:v>36.611908534519287</c:v>
                </c:pt>
                <c:pt idx="55">
                  <c:v>36.266219943560202</c:v>
                </c:pt>
                <c:pt idx="56">
                  <c:v>35.922314965306718</c:v>
                </c:pt>
                <c:pt idx="57">
                  <c:v>35.580236072266544</c:v>
                </c:pt>
                <c:pt idx="58">
                  <c:v>35.240024946691825</c:v>
                </c:pt>
                <c:pt idx="59">
                  <c:v>34.901722375591135</c:v>
                </c:pt>
                <c:pt idx="60">
                  <c:v>34.565368144600761</c:v>
                </c:pt>
                <c:pt idx="61">
                  <c:v>34.231000931363866</c:v>
                </c:pt>
                <c:pt idx="62">
                  <c:v>33.898658199114841</c:v>
                </c:pt>
                <c:pt idx="63">
                  <c:v>33.568376091190672</c:v>
                </c:pt>
                <c:pt idx="64">
                  <c:v>33.240189327224307</c:v>
                </c:pt>
                <c:pt idx="65">
                  <c:v>32.914131101793153</c:v>
                </c:pt>
                <c:pt idx="66">
                  <c:v>32.59023298630779</c:v>
                </c:pt>
                <c:pt idx="67">
                  <c:v>32.26852483492975</c:v>
                </c:pt>
                <c:pt idx="68">
                  <c:v>31.949034695304469</c:v>
                </c:pt>
                <c:pt idx="69">
                  <c:v>31.631788724876412</c:v>
                </c:pt>
                <c:pt idx="70">
                  <c:v>31.316811113533944</c:v>
                </c:pt>
                <c:pt idx="71">
                  <c:v>31.004124013295751</c:v>
                </c:pt>
                <c:pt idx="72">
                  <c:v>30.693747475705422</c:v>
                </c:pt>
                <c:pt idx="73">
                  <c:v>30.385699397553715</c:v>
                </c:pt>
                <c:pt idx="74">
                  <c:v>30.079995475481812</c:v>
                </c:pt>
                <c:pt idx="75">
                  <c:v>29.776649169952719</c:v>
                </c:pt>
                <c:pt idx="76">
                  <c:v>29.475671679002996</c:v>
                </c:pt>
                <c:pt idx="77">
                  <c:v>29.177071922102058</c:v>
                </c:pt>
                <c:pt idx="78">
                  <c:v>28.880856534363446</c:v>
                </c:pt>
                <c:pt idx="79">
                  <c:v>28.587029871258999</c:v>
                </c:pt>
                <c:pt idx="80">
                  <c:v>28.29559402389641</c:v>
                </c:pt>
                <c:pt idx="81">
                  <c:v>28.006548844827176</c:v>
                </c:pt>
                <c:pt idx="82">
                  <c:v>27.719891984258478</c:v>
                </c:pt>
                <c:pt idx="83">
                  <c:v>27.435618936453231</c:v>
                </c:pt>
                <c:pt idx="84">
                  <c:v>27.153723096014613</c:v>
                </c:pt>
                <c:pt idx="85">
                  <c:v>26.874195823669496</c:v>
                </c:pt>
                <c:pt idx="86">
                  <c:v>26.597026521087578</c:v>
                </c:pt>
                <c:pt idx="87">
                  <c:v>26.322202714205879</c:v>
                </c:pt>
                <c:pt idx="88">
                  <c:v>26.049710144461329</c:v>
                </c:pt>
                <c:pt idx="89">
                  <c:v>25.779532867287539</c:v>
                </c:pt>
                <c:pt idx="90">
                  <c:v>25.511653357181309</c:v>
                </c:pt>
                <c:pt idx="91">
                  <c:v>25.246052618611468</c:v>
                </c:pt>
                <c:pt idx="92">
                  <c:v>24.9827103020184</c:v>
                </c:pt>
                <c:pt idx="93">
                  <c:v>24.72160482413414</c:v>
                </c:pt>
                <c:pt idx="94">
                  <c:v>24.462713491845509</c:v>
                </c:pt>
                <c:pt idx="95">
                  <c:v>24.206012628827494</c:v>
                </c:pt>
                <c:pt idx="96">
                  <c:v>23.951477704180224</c:v>
                </c:pt>
                <c:pt idx="97">
                  <c:v>23.699083462324239</c:v>
                </c:pt>
                <c:pt idx="98">
                  <c:v>23.448804053429413</c:v>
                </c:pt>
                <c:pt idx="99">
                  <c:v>23.200613163688345</c:v>
                </c:pt>
                <c:pt idx="100">
                  <c:v>22.954484144776796</c:v>
                </c:pt>
                <c:pt idx="101">
                  <c:v>22.710390141886442</c:v>
                </c:pt>
                <c:pt idx="102">
                  <c:v>22.468304219759098</c:v>
                </c:pt>
                <c:pt idx="103">
                  <c:v>22.228199486195134</c:v>
                </c:pt>
                <c:pt idx="104">
                  <c:v>21.990049212562091</c:v>
                </c:pt>
                <c:pt idx="105">
                  <c:v>21.753826950870391</c:v>
                </c:pt>
                <c:pt idx="106">
                  <c:v>21.519506647039812</c:v>
                </c:pt>
                <c:pt idx="107">
                  <c:v>21.287062750021466</c:v>
                </c:pt>
                <c:pt idx="108">
                  <c:v>21.056470316491961</c:v>
                </c:pt>
                <c:pt idx="109">
                  <c:v>20.82770511087584</c:v>
                </c:pt>
                <c:pt idx="110">
                  <c:v>20.600743700498331</c:v>
                </c:pt>
                <c:pt idx="111">
                  <c:v>20.375563545708513</c:v>
                </c:pt>
                <c:pt idx="112">
                  <c:v>20.152143084847079</c:v>
                </c:pt>
                <c:pt idx="113">
                  <c:v>19.93046181396814</c:v>
                </c:pt>
                <c:pt idx="114">
                  <c:v>19.710500361251988</c:v>
                </c:pt>
                <c:pt idx="115">
                  <c:v>19.492240556070989</c:v>
                </c:pt>
                <c:pt idx="116">
                  <c:v>19.275665492692422</c:v>
                </c:pt>
                <c:pt idx="117">
                  <c:v>19.060759588621391</c:v>
                </c:pt>
                <c:pt idx="118">
                  <c:v>18.847508637597912</c:v>
                </c:pt>
                <c:pt idx="119">
                  <c:v>18.63589985727695</c:v>
                </c:pt>
                <c:pt idx="120">
                  <c:v>18.425921931625101</c:v>
                </c:pt>
                <c:pt idx="121">
                  <c:v>18.217565048073812</c:v>
                </c:pt>
                <c:pt idx="122">
                  <c:v>18.010820929470349</c:v>
                </c:pt>
                <c:pt idx="123">
                  <c:v>17.805682860865268</c:v>
                </c:pt>
                <c:pt idx="124">
                  <c:v>17.602145711176618</c:v>
                </c:pt>
                <c:pt idx="125">
                  <c:v>17.400205949762807</c:v>
                </c:pt>
                <c:pt idx="126">
                  <c:v>17.19986165792907</c:v>
                </c:pt>
                <c:pt idx="127">
                  <c:v>17.001112535390508</c:v>
                </c:pt>
                <c:pt idx="128">
                  <c:v>16.803959901699276</c:v>
                </c:pt>
                <c:pt idx="129">
                  <c:v>16.608406692641324</c:v>
                </c:pt>
                <c:pt idx="130">
                  <c:v>16.414457451594735</c:v>
                </c:pt>
                <c:pt idx="131">
                  <c:v>16.222118315835537</c:v>
                </c:pt>
                <c:pt idx="132">
                  <c:v>16.031396997769107</c:v>
                </c:pt>
                <c:pt idx="133">
                  <c:v>15.842302761056889</c:v>
                </c:pt>
                <c:pt idx="134">
                  <c:v>15.654846391604815</c:v>
                </c:pt>
                <c:pt idx="135">
                  <c:v>15.469040163373894</c:v>
                </c:pt>
                <c:pt idx="136">
                  <c:v>15.284897798973534</c:v>
                </c:pt>
                <c:pt idx="137">
                  <c:v>15.102434424997988</c:v>
                </c:pt>
                <c:pt idx="138">
                  <c:v>14.921666522068644</c:v>
                </c:pt>
                <c:pt idx="139">
                  <c:v>14.742611869553029</c:v>
                </c:pt>
                <c:pt idx="140">
                  <c:v>14.565289484939187</c:v>
                </c:pt>
                <c:pt idx="141">
                  <c:v>14.389719557856843</c:v>
                </c:pt>
                <c:pt idx="142">
                  <c:v>14.215923378753354</c:v>
                </c:pt>
                <c:pt idx="143">
                  <c:v>14.043923262252404</c:v>
                </c:pt>
                <c:pt idx="144">
                  <c:v>13.873742465245984</c:v>
                </c:pt>
                <c:pt idx="145">
                  <c:v>13.705405099798291</c:v>
                </c:pt>
                <c:pt idx="146">
                  <c:v>13.538936040969977</c:v>
                </c:pt>
                <c:pt idx="147">
                  <c:v>13.374360829707888</c:v>
                </c:pt>
                <c:pt idx="148">
                  <c:v>13.211705570978904</c:v>
                </c:pt>
                <c:pt idx="149">
                  <c:v>13.050996827371623</c:v>
                </c:pt>
                <c:pt idx="150">
                  <c:v>12.892261508430545</c:v>
                </c:pt>
                <c:pt idx="151">
                  <c:v>12.735526756032431</c:v>
                </c:pt>
                <c:pt idx="152">
                  <c:v>12.580819826165177</c:v>
                </c:pt>
                <c:pt idx="153">
                  <c:v>12.428167967512923</c:v>
                </c:pt>
                <c:pt idx="154">
                  <c:v>12.277598297304941</c:v>
                </c:pt>
                <c:pt idx="155">
                  <c:v>12.129137674929789</c:v>
                </c:pt>
                <c:pt idx="156">
                  <c:v>11.982812573867466</c:v>
                </c:pt>
                <c:pt idx="157">
                  <c:v>11.83864895253368</c:v>
                </c:pt>
                <c:pt idx="158">
                  <c:v>11.696672124675427</c:v>
                </c:pt>
                <c:pt idx="159">
                  <c:v>11.556906629993849</c:v>
                </c:pt>
                <c:pt idx="160">
                  <c:v>11.419376105704625</c:v>
                </c:pt>
                <c:pt idx="161">
                  <c:v>11.284103159772375</c:v>
                </c:pt>
                <c:pt idx="162">
                  <c:v>11.151109246580436</c:v>
                </c:pt>
                <c:pt idx="163">
                  <c:v>11.020414545805494</c:v>
                </c:pt>
                <c:pt idx="164">
                  <c:v>10.89203784527944</c:v>
                </c:pt>
                <c:pt idx="165">
                  <c:v>10.765996428612073</c:v>
                </c:pt>
                <c:pt idx="166">
                  <c:v>10.642305968339926</c:v>
                </c:pt>
                <c:pt idx="167">
                  <c:v>10.520980425345012</c:v>
                </c:pt>
                <c:pt idx="168">
                  <c:v>10.402031955255456</c:v>
                </c:pt>
                <c:pt idx="169">
                  <c:v>10.285470822501903</c:v>
                </c:pt>
                <c:pt idx="170">
                  <c:v>10.171305322653115</c:v>
                </c:pt>
                <c:pt idx="171">
                  <c:v>10.059541713596341</c:v>
                </c:pt>
                <c:pt idx="172">
                  <c:v>9.9501841560639619</c:v>
                </c:pt>
                <c:pt idx="173">
                  <c:v>9.8432346639322716</c:v>
                </c:pt>
                <c:pt idx="174">
                  <c:v>9.7386930646398611</c:v>
                </c:pt>
                <c:pt idx="175">
                  <c:v>9.6365569699883871</c:v>
                </c:pt>
                <c:pt idx="176">
                  <c:v>9.5368217574992311</c:v>
                </c:pt>
                <c:pt idx="177">
                  <c:v>9.4394805624079829</c:v>
                </c:pt>
                <c:pt idx="178">
                  <c:v>9.3445242802857305</c:v>
                </c:pt>
                <c:pt idx="179">
                  <c:v>9.2519415801833969</c:v>
                </c:pt>
                <c:pt idx="180">
                  <c:v>9.1617189281045466</c:v>
                </c:pt>
                <c:pt idx="181">
                  <c:v>9.0738406205223772</c:v>
                </c:pt>
                <c:pt idx="182">
                  <c:v>8.9882888275739941</c:v>
                </c:pt>
                <c:pt idx="183">
                  <c:v>8.9050436454854047</c:v>
                </c:pt>
                <c:pt idx="184">
                  <c:v>8.8240831577087331</c:v>
                </c:pt>
                <c:pt idx="185">
                  <c:v>8.7453835041881565</c:v>
                </c:pt>
                <c:pt idx="186">
                  <c:v>8.6689189581161283</c:v>
                </c:pt>
                <c:pt idx="187">
                  <c:v>8.5946620094909498</c:v>
                </c:pt>
                <c:pt idx="188">
                  <c:v>8.5225834547522155</c:v>
                </c:pt>
                <c:pt idx="189">
                  <c:v>8.4526524917395278</c:v>
                </c:pt>
                <c:pt idx="190">
                  <c:v>8.3848368192020608</c:v>
                </c:pt>
                <c:pt idx="191">
                  <c:v>8.3191027400755075</c:v>
                </c:pt>
                <c:pt idx="192">
                  <c:v>8.2554152677453452</c:v>
                </c:pt>
                <c:pt idx="193">
                  <c:v>8.1937382345216641</c:v>
                </c:pt>
                <c:pt idx="194">
                  <c:v>8.1340344015668098</c:v>
                </c:pt>
                <c:pt idx="195">
                  <c:v>8.0762655695438585</c:v>
                </c:pt>
                <c:pt idx="196">
                  <c:v>8.0203926892821702</c:v>
                </c:pt>
                <c:pt idx="197">
                  <c:v>7.966375971794398</c:v>
                </c:pt>
                <c:pt idx="198">
                  <c:v>7.9141749970201882</c:v>
                </c:pt>
                <c:pt idx="199">
                  <c:v>7.863748820717678</c:v>
                </c:pt>
                <c:pt idx="200">
                  <c:v>7.8150560789728596</c:v>
                </c:pt>
                <c:pt idx="201">
                  <c:v>7.7680550898494038</c:v>
                </c:pt>
                <c:pt idx="202">
                  <c:v>7.722703951749553</c:v>
                </c:pt>
                <c:pt idx="203">
                  <c:v>7.6789606381174424</c:v>
                </c:pt>
                <c:pt idx="204">
                  <c:v>7.6367830881614909</c:v>
                </c:pt>
                <c:pt idx="205">
                  <c:v>7.5961292933293025</c:v>
                </c:pt>
                <c:pt idx="206">
                  <c:v>7.5569573793200142</c:v>
                </c:pt>
                <c:pt idx="207">
                  <c:v>7.5192256834633122</c:v>
                </c:pt>
                <c:pt idx="208">
                  <c:v>7.4828928273472162</c:v>
                </c:pt>
                <c:pt idx="209">
                  <c:v>7.4479177846146305</c:v>
                </c:pt>
                <c:pt idx="210">
                  <c:v>7.4142599438944998</c:v>
                </c:pt>
                <c:pt idx="211">
                  <c:v>7.3818791668671349</c:v>
                </c:pt>
                <c:pt idx="212">
                  <c:v>7.3507358415009207</c:v>
                </c:pt>
                <c:pt idx="213">
                  <c:v>7.3207909305254866</c:v>
                </c:pt>
                <c:pt idx="214">
                  <c:v>7.2920060152366126</c:v>
                </c:pt>
                <c:pt idx="215">
                  <c:v>7.2643433347500537</c:v>
                </c:pt>
                <c:pt idx="216">
                  <c:v>7.2377658208435411</c:v>
                </c:pt>
                <c:pt idx="217">
                  <c:v>7.2122371285432578</c:v>
                </c:pt>
                <c:pt idx="218">
                  <c:v>7.1877216626264513</c:v>
                </c:pt>
                <c:pt idx="219">
                  <c:v>7.1641846002201826</c:v>
                </c:pt>
                <c:pt idx="220">
                  <c:v>7.1415919096914013</c:v>
                </c:pt>
                <c:pt idx="221">
                  <c:v>7.1199103660230803</c:v>
                </c:pt>
                <c:pt idx="222">
                  <c:v>7.0991075628800724</c:v>
                </c:pt>
                <c:pt idx="223">
                  <c:v>7.0791519215677168</c:v>
                </c:pt>
                <c:pt idx="224">
                  <c:v>7.0600126970892196</c:v>
                </c:pt>
                <c:pt idx="225">
                  <c:v>7.0416599815025567</c:v>
                </c:pt>
                <c:pt idx="226">
                  <c:v>7.0240647047794189</c:v>
                </c:pt>
                <c:pt idx="227">
                  <c:v>7.0071986333600425</c:v>
                </c:pt>
                <c:pt idx="228">
                  <c:v>6.9910343665963701</c:v>
                </c:pt>
                <c:pt idx="229">
                  <c:v>6.9755453312677798</c:v>
                </c:pt>
                <c:pt idx="230">
                  <c:v>6.9607057743477005</c:v>
                </c:pt>
                <c:pt idx="231">
                  <c:v>6.9464907541919461</c:v>
                </c:pt>
                <c:pt idx="232">
                  <c:v>6.9328761303112483</c:v>
                </c:pt>
                <c:pt idx="233">
                  <c:v>6.9198385518843555</c:v>
                </c:pt>
                <c:pt idx="234">
                  <c:v>6.9073554451566501</c:v>
                </c:pt>
                <c:pt idx="235">
                  <c:v>6.8954049998638851</c:v>
                </c:pt>
                <c:pt idx="236">
                  <c:v>6.8839661548100803</c:v>
                </c:pt>
                <c:pt idx="237">
                  <c:v>6.8730185827212811</c:v>
                </c:pt>
                <c:pt idx="238">
                  <c:v>6.8625426744885587</c:v>
                </c:pt>
                <c:pt idx="239">
                  <c:v>6.8525195229049976</c:v>
                </c:pt>
                <c:pt idx="240">
                  <c:v>6.8429309059932288</c:v>
                </c:pt>
                <c:pt idx="241">
                  <c:v>6.8337592700146335</c:v>
                </c:pt>
                <c:pt idx="242">
                  <c:v>6.824987712240369</c:v>
                </c:pt>
                <c:pt idx="243">
                  <c:v>6.8165999635598968</c:v>
                </c:pt>
                <c:pt idx="244">
                  <c:v>6.8085803709954025</c:v>
                </c:pt>
                <c:pt idx="245">
                  <c:v>6.8009138801834945</c:v>
                </c:pt>
                <c:pt idx="246">
                  <c:v>6.7935860178791172</c:v>
                </c:pt>
                <c:pt idx="247">
                  <c:v>6.7865828745319963</c:v>
                </c:pt>
                <c:pt idx="248">
                  <c:v>6.7798910869792808</c:v>
                </c:pt>
                <c:pt idx="249">
                  <c:v>6.7734978212928043</c:v>
                </c:pt>
                <c:pt idx="250">
                  <c:v>6.7673907558161686</c:v>
                </c:pt>
                <c:pt idx="251">
                  <c:v>6.7615580644191455</c:v>
                </c:pt>
                <c:pt idx="252">
                  <c:v>6.7559883999958279</c:v>
                </c:pt>
                <c:pt idx="253">
                  <c:v>6.7506708782270275</c:v>
                </c:pt>
                <c:pt idx="254">
                  <c:v>6.7455950616231144</c:v>
                </c:pt>
                <c:pt idx="255">
                  <c:v>6.7407509438626034</c:v>
                </c:pt>
                <c:pt idx="256">
                  <c:v>6.7361289344349009</c:v>
                </c:pt>
                <c:pt idx="257">
                  <c:v>6.7317198435945302</c:v>
                </c:pt>
                <c:pt idx="258">
                  <c:v>6.7275148676331806</c:v>
                </c:pt>
                <c:pt idx="259">
                  <c:v>6.7235055744666719</c:v>
                </c:pt>
                <c:pt idx="260">
                  <c:v>6.719683889539799</c:v>
                </c:pt>
                <c:pt idx="261">
                  <c:v>6.7160420820418096</c:v>
                </c:pt>
                <c:pt idx="262">
                  <c:v>6.7125727514283628</c:v>
                </c:pt>
                <c:pt idx="263">
                  <c:v>6.7092688142408505</c:v>
                </c:pt>
                <c:pt idx="264">
                  <c:v>6.7061234912113044</c:v>
                </c:pt>
                <c:pt idx="265">
                  <c:v>6.7031302946418201</c:v>
                </c:pt>
                <c:pt idx="266">
                  <c:v>6.7002830160409648</c:v>
                </c:pt>
                <c:pt idx="267">
                  <c:v>6.6975757140026584</c:v>
                </c:pt>
                <c:pt idx="268">
                  <c:v>6.6950027023045635</c:v>
                </c:pt>
                <c:pt idx="269">
                  <c:v>6.6925585382085861</c:v>
                </c:pt>
                <c:pt idx="270">
                  <c:v>6.6902380109357615</c:v>
                </c:pt>
                <c:pt idx="271">
                  <c:v>6.6880361302913389</c:v>
                </c:pt>
                <c:pt idx="272">
                  <c:v>6.6859481154116684</c:v>
                </c:pt>
                <c:pt idx="273">
                  <c:v>6.6839693835999805</c:v>
                </c:pt>
                <c:pt idx="274">
                  <c:v>6.6820955392192571</c:v>
                </c:pt>
                <c:pt idx="275">
                  <c:v>6.6803223626040795</c:v>
                </c:pt>
                <c:pt idx="276">
                  <c:v>6.6786457989510692</c:v>
                </c:pt>
                <c:pt idx="277">
                  <c:v>6.6770619471470924</c:v>
                </c:pt>
                <c:pt idx="278">
                  <c:v>6.6755670484857124</c:v>
                </c:pt>
                <c:pt idx="279">
                  <c:v>6.6741574752213566</c:v>
                </c:pt>
                <c:pt idx="280">
                  <c:v>6.6728297189086074</c:v>
                </c:pt>
                <c:pt idx="281">
                  <c:v>6.6715803784630845</c:v>
                </c:pt>
                <c:pt idx="282">
                  <c:v>6.6704061478822174</c:v>
                </c:pt>
                <c:pt idx="283">
                  <c:v>6.6693038035519692</c:v>
                </c:pt>
                <c:pt idx="284">
                  <c:v>6.6682701910665312</c:v>
                </c:pt>
                <c:pt idx="285">
                  <c:v>6.6673022114731992</c:v>
                </c:pt>
                <c:pt idx="286">
                  <c:v>6.6663968068545874</c:v>
                </c:pt>
                <c:pt idx="287">
                  <c:v>6.6655509451471868</c:v>
                </c:pt>
                <c:pt idx="288">
                  <c:v>6.6647616040880822</c:v>
                </c:pt>
                <c:pt idx="289">
                  <c:v>6.6640257541714778</c:v>
                </c:pt>
                <c:pt idx="290">
                  <c:v>6.6633403404875615</c:v>
                </c:pt>
                <c:pt idx="291">
                  <c:v>6.6627022632990016</c:v>
                </c:pt>
                <c:pt idx="292">
                  <c:v>6.6621083572045192</c:v>
                </c:pt>
                <c:pt idx="293">
                  <c:v>6.661555368718556</c:v>
                </c:pt>
                <c:pt idx="294">
                  <c:v>6.6610399320837086</c:v>
                </c:pt>
                <c:pt idx="295">
                  <c:v>6.6605585431129031</c:v>
                </c:pt>
                <c:pt idx="296">
                  <c:v>6.6601075308408229</c:v>
                </c:pt>
                <c:pt idx="297">
                  <c:v>6.6596830267442142</c:v>
                </c:pt>
                <c:pt idx="298">
                  <c:v>6.6592809312634982</c:v>
                </c:pt>
                <c:pt idx="299">
                  <c:v>6.6588968773387691</c:v>
                </c:pt>
                <c:pt idx="300">
                  <c:v>6.6585261906415987</c:v>
                </c:pt>
                <c:pt idx="301">
                  <c:v>6.6581638461568087</c:v>
                </c:pt>
                <c:pt idx="302">
                  <c:v>6.6578044207345499</c:v>
                </c:pt>
                <c:pt idx="303">
                  <c:v>6.6574420411976742</c:v>
                </c:pt>
                <c:pt idx="304">
                  <c:v>6.6570703275528764</c:v>
                </c:pt>
                <c:pt idx="305">
                  <c:v>6.6566823308080236</c:v>
                </c:pt>
                <c:pt idx="306">
                  <c:v>6.656270464858526</c:v>
                </c:pt>
                <c:pt idx="307">
                  <c:v>6.6558264318509082</c:v>
                </c:pt>
                <c:pt idx="308">
                  <c:v>6.6553411403839471</c:v>
                </c:pt>
                <c:pt idx="309">
                  <c:v>6.6548046158466221</c:v>
                </c:pt>
                <c:pt idx="310">
                  <c:v>6.6542059021349775</c:v>
                </c:pt>
                <c:pt idx="311">
                  <c:v>6.6535329539224684</c:v>
                </c:pt>
                <c:pt idx="312">
                  <c:v>6.6527725185900213</c:v>
                </c:pt>
                <c:pt idx="313">
                  <c:v>6.6519100068495129</c:v>
                </c:pt>
                <c:pt idx="314">
                  <c:v>6.6509293510157965</c:v>
                </c:pt>
                <c:pt idx="315">
                  <c:v>6.6498128498051434</c:v>
                </c:pt>
                <c:pt idx="316">
                  <c:v>6.6485409984506365</c:v>
                </c:pt>
                <c:pt idx="317">
                  <c:v>6.6470923028446718</c:v>
                </c:pt>
                <c:pt idx="318">
                  <c:v>6.6454430763292551</c:v>
                </c:pt>
                <c:pt idx="319">
                  <c:v>6.6435672176713219</c:v>
                </c:pt>
                <c:pt idx="320">
                  <c:v>6.6414359686793309</c:v>
                </c:pt>
                <c:pt idx="321">
                  <c:v>6.6390176498364593</c:v>
                </c:pt>
                <c:pt idx="322">
                  <c:v>6.6362773722624455</c:v>
                </c:pt>
                <c:pt idx="323">
                  <c:v>6.6331767242537349</c:v>
                </c:pt>
                <c:pt idx="324">
                  <c:v>6.6296734306203495</c:v>
                </c:pt>
                <c:pt idx="325">
                  <c:v>6.6257209830167261</c:v>
                </c:pt>
                <c:pt idx="326">
                  <c:v>6.6212682394813784</c:v>
                </c:pt>
                <c:pt idx="327">
                  <c:v>6.6162589914609429</c:v>
                </c:pt>
                <c:pt idx="328">
                  <c:v>6.6106314966924433</c:v>
                </c:pt>
                <c:pt idx="329">
                  <c:v>6.6043179764963984</c:v>
                </c:pt>
                <c:pt idx="330">
                  <c:v>6.5972440762734976</c:v>
                </c:pt>
                <c:pt idx="331">
                  <c:v>6.5893282883462856</c:v>
                </c:pt>
                <c:pt idx="332">
                  <c:v>6.5804813367417871</c:v>
                </c:pt>
                <c:pt idx="333">
                  <c:v>6.5706055241072523</c:v>
                </c:pt>
                <c:pt idx="334">
                  <c:v>6.5595940417047487</c:v>
                </c:pt>
                <c:pt idx="335">
                  <c:v>6.547330244376159</c:v>
                </c:pt>
                <c:pt idx="336">
                  <c:v>6.5336868935293779</c:v>
                </c:pt>
                <c:pt idx="337">
                  <c:v>6.5185253726042003</c:v>
                </c:pt>
                <c:pt idx="338">
                  <c:v>6.501694881154676</c:v>
                </c:pt>
                <c:pt idx="339">
                  <c:v>6.4830316156710115</c:v>
                </c:pt>
                <c:pt idx="340">
                  <c:v>6.4623579475682327</c:v>
                </c:pt>
                <c:pt idx="341">
                  <c:v>6.4394816114153688</c:v>
                </c:pt>
                <c:pt idx="342">
                  <c:v>6.4141949194609662</c:v>
                </c:pt>
                <c:pt idx="343">
                  <c:v>6.3862740218228531</c:v>
                </c:pt>
                <c:pt idx="344">
                  <c:v>6.3554782353018213</c:v>
                </c:pt>
                <c:pt idx="345">
                  <c:v>6.3215494675945783</c:v>
                </c:pt>
                <c:pt idx="346">
                  <c:v>6.2842117675983724</c:v>
                </c:pt>
                <c:pt idx="347">
                  <c:v>6.2431710363840285</c:v>
                </c:pt>
                <c:pt idx="348">
                  <c:v>6.1981149370416011</c:v>
                </c:pt>
                <c:pt idx="349">
                  <c:v>6.1487130447240892</c:v>
                </c:pt>
                <c:pt idx="350">
                  <c:v>6.094617280504</c:v>
                </c:pt>
                <c:pt idx="351">
                  <c:v>6.0354626737290316</c:v>
                </c:pt>
                <c:pt idx="352">
                  <c:v>5.9708684970023089</c:v>
                </c:pt>
                <c:pt idx="353">
                  <c:v>5.9004398152562771</c:v>
                </c:pt>
                <c:pt idx="354">
                  <c:v>5.8237694851914057</c:v>
                </c:pt>
                <c:pt idx="355">
                  <c:v>5.7404406332109961</c:v>
                </c:pt>
                <c:pt idx="356">
                  <c:v>5.6500296285837361</c:v>
                </c:pt>
                <c:pt idx="357">
                  <c:v>5.5521095537702632</c:v>
                </c:pt>
                <c:pt idx="358">
                  <c:v>5.4462541557422206</c:v>
                </c:pt>
                <c:pt idx="359">
                  <c:v>5.3320422410632968</c:v>
                </c:pt>
                <c:pt idx="360">
                  <c:v>5.2090624542342976</c:v>
                </c:pt>
                <c:pt idx="361">
                  <c:v>5.0769183543800196</c:v>
                </c:pt>
                <c:pt idx="362">
                  <c:v>4.9352336812395228</c:v>
                </c:pt>
                <c:pt idx="363">
                  <c:v>4.7836576793123768</c:v>
                </c:pt>
                <c:pt idx="364">
                  <c:v>4.6218703308190321</c:v>
                </c:pt>
                <c:pt idx="365">
                  <c:v>4.4495873357474629</c:v>
                </c:pt>
                <c:pt idx="366">
                  <c:v>4.266564672371417</c:v>
                </c:pt>
                <c:pt idx="367">
                  <c:v>4.0726025755243285</c:v>
                </c:pt>
                <c:pt idx="368">
                  <c:v>3.8675487832285556</c:v>
                </c:pt>
                <c:pt idx="369">
                  <c:v>3.6513009249047275</c:v>
                </c:pt>
                <c:pt idx="370">
                  <c:v>3.42380795532479</c:v>
                </c:pt>
                <c:pt idx="371">
                  <c:v>3.185070575956956</c:v>
                </c:pt>
                <c:pt idx="372">
                  <c:v>2.9351406269119757</c:v>
                </c:pt>
                <c:pt idx="373">
                  <c:v>2.6741194754629443</c:v>
                </c:pt>
                <c:pt idx="374">
                  <c:v>2.4021554680503678</c:v>
                </c:pt>
                <c:pt idx="375">
                  <c:v>2.1194405490025732</c:v>
                </c:pt>
                <c:pt idx="376">
                  <c:v>1.8262061785307817</c:v>
                </c:pt>
                <c:pt idx="377">
                  <c:v>1.5227187033094325</c:v>
                </c:pt>
                <c:pt idx="378">
                  <c:v>1.2092743442935128</c:v>
                </c:pt>
                <c:pt idx="379">
                  <c:v>0.88619396841411358</c:v>
                </c:pt>
                <c:pt idx="380">
                  <c:v>0.55381780422138249</c:v>
                </c:pt>
                <c:pt idx="381">
                  <c:v>0.21250024778414836</c:v>
                </c:pt>
                <c:pt idx="382">
                  <c:v>-0.13739511403538063</c:v>
                </c:pt>
                <c:pt idx="383">
                  <c:v>-0.49550015851716378</c:v>
                </c:pt>
                <c:pt idx="384">
                  <c:v>-0.86144648016963465</c:v>
                </c:pt>
                <c:pt idx="385">
                  <c:v>-1.2348691862337922</c:v>
                </c:pt>
                <c:pt idx="386">
                  <c:v>-1.6154102018119378</c:v>
                </c:pt>
                <c:pt idx="387">
                  <c:v>-2.0027210723678963</c:v>
                </c:pt>
                <c:pt idx="388">
                  <c:v>-2.3964652688440551</c:v>
                </c:pt>
                <c:pt idx="389">
                  <c:v>-2.7963200147860823</c:v>
                </c:pt>
                <c:pt idx="390">
                  <c:v>-3.2019776656308956</c:v>
                </c:pt>
                <c:pt idx="391">
                  <c:v>-3.6131466778784671</c:v>
                </c:pt>
                <c:pt idx="392">
                  <c:v>-4.0295522105595394</c:v>
                </c:pt>
                <c:pt idx="393">
                  <c:v>-4.4509364036619807</c:v>
                </c:pt>
                <c:pt idx="394">
                  <c:v>-4.8770583784265416</c:v>
                </c:pt>
                <c:pt idx="395">
                  <c:v>-5.3076940031194582</c:v>
                </c:pt>
                <c:pt idx="396">
                  <c:v>-5.7426354654656473</c:v>
                </c:pt>
                <c:pt idx="397">
                  <c:v>-6.1816906897242081</c:v>
                </c:pt>
                <c:pt idx="398">
                  <c:v>-6.6246826327438049</c:v>
                </c:pt>
                <c:pt idx="399">
                  <c:v>-7.0714484894777723</c:v>
                </c:pt>
                <c:pt idx="400">
                  <c:v>-7.5218388345741314</c:v>
                </c:pt>
                <c:pt idx="401">
                  <c:v>-7.9757167229179444</c:v>
                </c:pt>
                <c:pt idx="402">
                  <c:v>-8.4329567684951545</c:v>
                </c:pt>
                <c:pt idx="403">
                  <c:v>-8.8934442177270761</c:v>
                </c:pt>
                <c:pt idx="404">
                  <c:v>-9.3570740305228171</c:v>
                </c:pt>
                <c:pt idx="405">
                  <c:v>-9.8237499797356289</c:v>
                </c:pt>
                <c:pt idx="406">
                  <c:v>-10.293383777463351</c:v>
                </c:pt>
                <c:pt idx="407">
                  <c:v>-10.765894234707149</c:v>
                </c:pt>
                <c:pt idx="408">
                  <c:v>-11.241206459258564</c:v>
                </c:pt>
                <c:pt idx="409">
                  <c:v>-11.719251095300937</c:v>
                </c:pt>
                <c:pt idx="410">
                  <c:v>-12.199963607059212</c:v>
                </c:pt>
                <c:pt idx="411">
                  <c:v>-12.683283607878003</c:v>
                </c:pt>
                <c:pt idx="412">
                  <c:v>-13.169154235333513</c:v>
                </c:pt>
                <c:pt idx="413">
                  <c:v>-13.657521572350602</c:v>
                </c:pt>
                <c:pt idx="414">
                  <c:v>-14.148334113795292</c:v>
                </c:pt>
                <c:pt idx="415">
                  <c:v>-14.641542277609837</c:v>
                </c:pt>
                <c:pt idx="416">
                  <c:v>-15.137097959245658</c:v>
                </c:pt>
                <c:pt idx="417">
                  <c:v>-15.634954127905187</c:v>
                </c:pt>
                <c:pt idx="418">
                  <c:v>-16.135064462920621</c:v>
                </c:pt>
                <c:pt idx="419">
                  <c:v>-16.6373830284614</c:v>
                </c:pt>
                <c:pt idx="420">
                  <c:v>-17.141863984662191</c:v>
                </c:pt>
                <c:pt idx="421">
                  <c:v>-17.648461333201549</c:v>
                </c:pt>
                <c:pt idx="422">
                  <c:v>-18.157128695314569</c:v>
                </c:pt>
                <c:pt idx="423">
                  <c:v>-18.667819120210027</c:v>
                </c:pt>
                <c:pt idx="424">
                  <c:v>-19.180484921859787</c:v>
                </c:pt>
                <c:pt idx="425">
                  <c:v>-19.695077542137412</c:v>
                </c:pt>
                <c:pt idx="426">
                  <c:v>-20.211547438317247</c:v>
                </c:pt>
                <c:pt idx="427">
                  <c:v>-20.729843992975784</c:v>
                </c:pt>
                <c:pt idx="428">
                  <c:v>-21.24991544438776</c:v>
                </c:pt>
                <c:pt idx="429">
                  <c:v>-21.77170883556828</c:v>
                </c:pt>
                <c:pt idx="430">
                  <c:v>-22.295169980167667</c:v>
                </c:pt>
                <c:pt idx="431">
                  <c:v>-22.820243443506957</c:v>
                </c:pt>
                <c:pt idx="432">
                  <c:v>-23.3468725371098</c:v>
                </c:pt>
                <c:pt idx="433">
                  <c:v>-23.874999325177235</c:v>
                </c:pt>
                <c:pt idx="434">
                  <c:v>-24.404564641530783</c:v>
                </c:pt>
                <c:pt idx="435">
                  <c:v>-24.935508115647977</c:v>
                </c:pt>
                <c:pt idx="436">
                  <c:v>-25.467768206504285</c:v>
                </c:pt>
                <c:pt idx="437">
                  <c:v>-26.00128224303559</c:v>
                </c:pt>
                <c:pt idx="438">
                  <c:v>-26.535986470131391</c:v>
                </c:pt>
                <c:pt idx="439">
                  <c:v>-27.071816099171162</c:v>
                </c:pt>
                <c:pt idx="440">
                  <c:v>-27.608705362213982</c:v>
                </c:pt>
                <c:pt idx="441">
                  <c:v>-28.146587569054805</c:v>
                </c:pt>
                <c:pt idx="442">
                  <c:v>-28.685395166451592</c:v>
                </c:pt>
                <c:pt idx="443">
                  <c:v>-29.225059798931063</c:v>
                </c:pt>
                <c:pt idx="444">
                  <c:v>-29.765512370667807</c:v>
                </c:pt>
                <c:pt idx="445">
                  <c:v>-30.306683108023719</c:v>
                </c:pt>
                <c:pt idx="446">
                  <c:v>-30.848501622419594</c:v>
                </c:pt>
                <c:pt idx="447">
                  <c:v>-31.390896973289912</c:v>
                </c:pt>
                <c:pt idx="448">
                  <c:v>-31.933797730950062</c:v>
                </c:pt>
                <c:pt idx="449">
                  <c:v>-32.477132039273116</c:v>
                </c:pt>
                <c:pt idx="450">
                  <c:v>-33.020827678137735</c:v>
                </c:pt>
                <c:pt idx="451">
                  <c:v>-33.564812125668972</c:v>
                </c:pt>
                <c:pt idx="452">
                  <c:v>-34.109012620341915</c:v>
                </c:pt>
                <c:pt idx="453">
                  <c:v>-34.653356223067483</c:v>
                </c:pt>
                <c:pt idx="454">
                  <c:v>-35.19776987941357</c:v>
                </c:pt>
                <c:pt idx="455">
                  <c:v>-35.742180482150879</c:v>
                </c:pt>
                <c:pt idx="456">
                  <c:v>-36.286514934331315</c:v>
                </c:pt>
                <c:pt idx="457">
                  <c:v>-36.830700213133888</c:v>
                </c:pt>
                <c:pt idx="458">
                  <c:v>-37.37466343471241</c:v>
                </c:pt>
                <c:pt idx="459">
                  <c:v>-37.918331920293895</c:v>
                </c:pt>
                <c:pt idx="460">
                  <c:v>-38.461633263765734</c:v>
                </c:pt>
                <c:pt idx="461">
                  <c:v>-39.004495400987217</c:v>
                </c:pt>
                <c:pt idx="462">
                  <c:v>-39.546846681039085</c:v>
                </c:pt>
                <c:pt idx="463">
                  <c:v>-40.088615939607656</c:v>
                </c:pt>
                <c:pt idx="464">
                  <c:v>-40.629732574670705</c:v>
                </c:pt>
                <c:pt idx="465">
                  <c:v>-41.170126624617254</c:v>
                </c:pt>
                <c:pt idx="466">
                  <c:v>-41.709728848898962</c:v>
                </c:pt>
                <c:pt idx="467">
                  <c:v>-42.248470811263374</c:v>
                </c:pt>
                <c:pt idx="468">
                  <c:v>-42.786284965574083</c:v>
                </c:pt>
                <c:pt idx="469">
                  <c:v>-43.323104744171673</c:v>
                </c:pt>
                <c:pt idx="470">
                  <c:v>-43.858864648675187</c:v>
                </c:pt>
                <c:pt idx="471">
                  <c:v>-44.393500343065142</c:v>
                </c:pt>
                <c:pt idx="472">
                  <c:v>-44.926948748833922</c:v>
                </c:pt>
                <c:pt idx="473">
                  <c:v>-45.459148141929369</c:v>
                </c:pt>
                <c:pt idx="474">
                  <c:v>-45.990038251158225</c:v>
                </c:pt>
                <c:pt idx="475">
                  <c:v>-46.519560357657255</c:v>
                </c:pt>
                <c:pt idx="476">
                  <c:v>-47.047657394987908</c:v>
                </c:pt>
                <c:pt idx="477">
                  <c:v>-47.574274049352383</c:v>
                </c:pt>
                <c:pt idx="478">
                  <c:v>-48.099356859384095</c:v>
                </c:pt>
                <c:pt idx="479">
                  <c:v>-48.622854314921028</c:v>
                </c:pt>
                <c:pt idx="480">
                  <c:v>-49.144716954129663</c:v>
                </c:pt>
                <c:pt idx="481">
                  <c:v>-49.66489745831921</c:v>
                </c:pt>
                <c:pt idx="482">
                  <c:v>-50.183350743761608</c:v>
                </c:pt>
                <c:pt idx="483">
                  <c:v>-50.700034049815045</c:v>
                </c:pt>
                <c:pt idx="484">
                  <c:v>-51.214907022645171</c:v>
                </c:pt>
                <c:pt idx="485">
                  <c:v>-51.727931793840831</c:v>
                </c:pt>
                <c:pt idx="486">
                  <c:v>-52.239073053231067</c:v>
                </c:pt>
                <c:pt idx="487">
                  <c:v>-52.748298115238114</c:v>
                </c:pt>
                <c:pt idx="488">
                  <c:v>-53.255576978126783</c:v>
                </c:pt>
                <c:pt idx="489">
                  <c:v>-53.760882375560172</c:v>
                </c:pt>
                <c:pt idx="490">
                  <c:v>-54.264189819915515</c:v>
                </c:pt>
                <c:pt idx="491">
                  <c:v>-54.765477636880661</c:v>
                </c:pt>
                <c:pt idx="492">
                  <c:v>-55.264726990915392</c:v>
                </c:pt>
                <c:pt idx="493">
                  <c:v>-55.761921901235326</c:v>
                </c:pt>
                <c:pt idx="494">
                  <c:v>-56.257049248062302</c:v>
                </c:pt>
                <c:pt idx="495">
                  <c:v>-56.750098768963007</c:v>
                </c:pt>
                <c:pt idx="496">
                  <c:v>-57.241063045190863</c:v>
                </c:pt>
                <c:pt idx="497">
                  <c:v>-57.72993747803401</c:v>
                </c:pt>
                <c:pt idx="498">
                  <c:v>-58.216720255261791</c:v>
                </c:pt>
                <c:pt idx="499">
                  <c:v>-58.701412307854085</c:v>
                </c:pt>
                <c:pt idx="500">
                  <c:v>-59.18401725728171</c:v>
                </c:pt>
                <c:pt idx="501">
                  <c:v>-59.664541353690296</c:v>
                </c:pt>
                <c:pt idx="502">
                  <c:v>-60.142993405419212</c:v>
                </c:pt>
                <c:pt idx="503">
                  <c:v>-60.619384700355383</c:v>
                </c:pt>
                <c:pt idx="504">
                  <c:v>-61.093728919690015</c:v>
                </c:pt>
                <c:pt idx="505">
                  <c:v>-61.566042044701348</c:v>
                </c:pt>
                <c:pt idx="506">
                  <c:v>-62.036342257231837</c:v>
                </c:pt>
                <c:pt idx="507">
                  <c:v>-62.504649834571914</c:v>
                </c:pt>
                <c:pt idx="508">
                  <c:v>-62.97098703948712</c:v>
                </c:pt>
                <c:pt idx="509">
                  <c:v>-63.435378006146976</c:v>
                </c:pt>
                <c:pt idx="510">
                  <c:v>-63.897848622724496</c:v>
                </c:pt>
                <c:pt idx="511">
                  <c:v>-64.358426411436781</c:v>
                </c:pt>
                <c:pt idx="512">
                  <c:v>-64.817140406787615</c:v>
                </c:pt>
                <c:pt idx="513">
                  <c:v>-65.274021032759862</c:v>
                </c:pt>
                <c:pt idx="514">
                  <c:v>-65.729099979680271</c:v>
                </c:pt>
                <c:pt idx="515">
                  <c:v>-66.182410081449788</c:v>
                </c:pt>
                <c:pt idx="516">
                  <c:v>-66.633985193798495</c:v>
                </c:pt>
                <c:pt idx="517">
                  <c:v>-67.083860074179483</c:v>
                </c:pt>
                <c:pt idx="518">
                  <c:v>-67.532070263874346</c:v>
                </c:pt>
                <c:pt idx="519">
                  <c:v>-67.978651972833092</c:v>
                </c:pt>
                <c:pt idx="520">
                  <c:v>-68.423641967720741</c:v>
                </c:pt>
                <c:pt idx="521">
                  <c:v>-68.867077463590377</c:v>
                </c:pt>
                <c:pt idx="522">
                  <c:v>-69.308996019549625</c:v>
                </c:pt>
                <c:pt idx="523">
                  <c:v>-69.749435438735205</c:v>
                </c:pt>
                <c:pt idx="524">
                  <c:v>-70.188433672857514</c:v>
                </c:pt>
                <c:pt idx="525">
                  <c:v>-70.626028731525494</c:v>
                </c:pt>
                <c:pt idx="526">
                  <c:v>-71.062258596514653</c:v>
                </c:pt>
                <c:pt idx="527">
                  <c:v>-71.497161141093812</c:v>
                </c:pt>
                <c:pt idx="528">
                  <c:v>-71.930774054480679</c:v>
                </c:pt>
                <c:pt idx="529">
                  <c:v>-72.363134771460622</c:v>
                </c:pt>
                <c:pt idx="530">
                  <c:v>-72.794280407154503</c:v>
                </c:pt>
                <c:pt idx="531">
                  <c:v>-73.224247696901443</c:v>
                </c:pt>
                <c:pt idx="532">
                  <c:v>-73.653072941176902</c:v>
                </c:pt>
                <c:pt idx="533">
                  <c:v>-74.080791955451716</c:v>
                </c:pt>
                <c:pt idx="534">
                  <c:v>-74.507440024861125</c:v>
                </c:pt>
                <c:pt idx="535">
                  <c:v>-74.933051863544108</c:v>
                </c:pt>
                <c:pt idx="536">
                  <c:v>-75.357661578483771</c:v>
                </c:pt>
                <c:pt idx="537">
                  <c:v>-75.781302637677413</c:v>
                </c:pt>
                <c:pt idx="538">
                  <c:v>-76.204007842439495</c:v>
                </c:pt>
                <c:pt idx="539">
                  <c:v>-76.625809303645894</c:v>
                </c:pt>
                <c:pt idx="540">
                  <c:v>-77.046738421707829</c:v>
                </c:pt>
                <c:pt idx="541">
                  <c:v>-77.466825870071347</c:v>
                </c:pt>
              </c:numCache>
            </c:numRef>
          </c:yVal>
          <c:smooth val="1"/>
          <c:extLst>
            <c:ext xmlns:c16="http://schemas.microsoft.com/office/drawing/2014/chart" uri="{C3380CC4-5D6E-409C-BE32-E72D297353CC}">
              <c16:uniqueId val="{00000000-F188-4D39-B62C-FFCB026FFDB3}"/>
            </c:ext>
          </c:extLst>
        </c:ser>
        <c:dLbls>
          <c:showLegendKey val="0"/>
          <c:showVal val="0"/>
          <c:showCatName val="0"/>
          <c:showSerName val="0"/>
          <c:showPercent val="0"/>
          <c:showBubbleSize val="0"/>
        </c:dLbls>
        <c:axId val="160959104"/>
        <c:axId val="160985856"/>
      </c:scatterChart>
      <c:scatterChart>
        <c:scatterStyle val="smoothMarker"/>
        <c:varyColors val="0"/>
        <c:ser>
          <c:idx val="1"/>
          <c:order val="1"/>
          <c:tx>
            <c:v>Phase (deg)</c:v>
          </c:tx>
          <c:spPr>
            <a:ln w="38100">
              <a:solidFill>
                <a:schemeClr val="tx1">
                  <a:lumMod val="95000"/>
                  <a:lumOff val="5000"/>
                </a:schemeClr>
              </a:solidFill>
              <a:prstDash val="sysDash"/>
            </a:ln>
          </c:spPr>
          <c:marker>
            <c:symbol val="none"/>
          </c:marker>
          <c:xVal>
            <c:numRef>
              <c:f>Loop_Modeling!$O$19:$O$560</c:f>
              <c:numCache>
                <c:formatCode>0.00</c:formatCode>
                <c:ptCount val="542"/>
                <c:pt idx="0">
                  <c:v>10.232929922807543</c:v>
                </c:pt>
                <c:pt idx="1">
                  <c:v>10.471285480509</c:v>
                </c:pt>
                <c:pt idx="2">
                  <c:v>10.715193052376069</c:v>
                </c:pt>
                <c:pt idx="3">
                  <c:v>10.964781961431854</c:v>
                </c:pt>
                <c:pt idx="4">
                  <c:v>11.220184543019636</c:v>
                </c:pt>
                <c:pt idx="5">
                  <c:v>11.481536214968834</c:v>
                </c:pt>
                <c:pt idx="6">
                  <c:v>11.748975549395301</c:v>
                </c:pt>
                <c:pt idx="7">
                  <c:v>12.022644346174133</c:v>
                </c:pt>
                <c:pt idx="8">
                  <c:v>12.302687708123818</c:v>
                </c:pt>
                <c:pt idx="9">
                  <c:v>12.58925411794168</c:v>
                </c:pt>
                <c:pt idx="10">
                  <c:v>12.882495516931346</c:v>
                </c:pt>
                <c:pt idx="11">
                  <c:v>13.182567385564075</c:v>
                </c:pt>
                <c:pt idx="12">
                  <c:v>13.489628825916535</c:v>
                </c:pt>
                <c:pt idx="13">
                  <c:v>13.803842646028857</c:v>
                </c:pt>
                <c:pt idx="14">
                  <c:v>14.125375446227544</c:v>
                </c:pt>
                <c:pt idx="15">
                  <c:v>14.454397707459275</c:v>
                </c:pt>
                <c:pt idx="16">
                  <c:v>14.791083881682074</c:v>
                </c:pt>
                <c:pt idx="17">
                  <c:v>15.135612484362087</c:v>
                </c:pt>
                <c:pt idx="18">
                  <c:v>15.488166189124817</c:v>
                </c:pt>
                <c:pt idx="19">
                  <c:v>15.848931924611136</c:v>
                </c:pt>
                <c:pt idx="20">
                  <c:v>16.218100973589298</c:v>
                </c:pt>
                <c:pt idx="21">
                  <c:v>16.595869074375614</c:v>
                </c:pt>
                <c:pt idx="22">
                  <c:v>16.982436524617448</c:v>
                </c:pt>
                <c:pt idx="23">
                  <c:v>17.378008287493756</c:v>
                </c:pt>
                <c:pt idx="24">
                  <c:v>17.782794100389236</c:v>
                </c:pt>
                <c:pt idx="25">
                  <c:v>18.197008586099841</c:v>
                </c:pt>
                <c:pt idx="26">
                  <c:v>18.62087136662868</c:v>
                </c:pt>
                <c:pt idx="27">
                  <c:v>19.054607179632477</c:v>
                </c:pt>
                <c:pt idx="28">
                  <c:v>19.498445997580465</c:v>
                </c:pt>
                <c:pt idx="29">
                  <c:v>19.952623149688804</c:v>
                </c:pt>
                <c:pt idx="30">
                  <c:v>20.4173794466953</c:v>
                </c:pt>
                <c:pt idx="31">
                  <c:v>20.8929613085404</c:v>
                </c:pt>
                <c:pt idx="32">
                  <c:v>21.379620895022335</c:v>
                </c:pt>
                <c:pt idx="33">
                  <c:v>21.877616239495538</c:v>
                </c:pt>
                <c:pt idx="34">
                  <c:v>22.387211385683404</c:v>
                </c:pt>
                <c:pt idx="35">
                  <c:v>22.908676527677727</c:v>
                </c:pt>
                <c:pt idx="36">
                  <c:v>23.442288153199236</c:v>
                </c:pt>
                <c:pt idx="37">
                  <c:v>23.988329190194907</c:v>
                </c:pt>
                <c:pt idx="38">
                  <c:v>24.547089156850316</c:v>
                </c:pt>
                <c:pt idx="39">
                  <c:v>25.118864315095799</c:v>
                </c:pt>
                <c:pt idx="40">
                  <c:v>25.703957827688647</c:v>
                </c:pt>
                <c:pt idx="41">
                  <c:v>26.302679918953825</c:v>
                </c:pt>
                <c:pt idx="42">
                  <c:v>26.915348039269158</c:v>
                </c:pt>
                <c:pt idx="43">
                  <c:v>27.542287033381665</c:v>
                </c:pt>
                <c:pt idx="44">
                  <c:v>28.183829312644548</c:v>
                </c:pt>
                <c:pt idx="45">
                  <c:v>28.840315031266066</c:v>
                </c:pt>
                <c:pt idx="46">
                  <c:v>29.512092266663863</c:v>
                </c:pt>
                <c:pt idx="47">
                  <c:v>30.199517204020164</c:v>
                </c:pt>
                <c:pt idx="48">
                  <c:v>30.902954325135919</c:v>
                </c:pt>
                <c:pt idx="49">
                  <c:v>31.622776601683803</c:v>
                </c:pt>
                <c:pt idx="50">
                  <c:v>32.359365692962832</c:v>
                </c:pt>
                <c:pt idx="51">
                  <c:v>33.113112148259127</c:v>
                </c:pt>
                <c:pt idx="52">
                  <c:v>33.884415613920268</c:v>
                </c:pt>
                <c:pt idx="53">
                  <c:v>34.67368504525318</c:v>
                </c:pt>
                <c:pt idx="54">
                  <c:v>35.481338923357555</c:v>
                </c:pt>
                <c:pt idx="55">
                  <c:v>36.307805477010156</c:v>
                </c:pt>
                <c:pt idx="56">
                  <c:v>37.15352290971726</c:v>
                </c:pt>
                <c:pt idx="57">
                  <c:v>38.018939632056139</c:v>
                </c:pt>
                <c:pt idx="58">
                  <c:v>38.904514499428053</c:v>
                </c:pt>
                <c:pt idx="59">
                  <c:v>39.810717055349755</c:v>
                </c:pt>
                <c:pt idx="60">
                  <c:v>40.738027780411279</c:v>
                </c:pt>
                <c:pt idx="61">
                  <c:v>41.686938347033561</c:v>
                </c:pt>
                <c:pt idx="62">
                  <c:v>42.657951880159267</c:v>
                </c:pt>
                <c:pt idx="63">
                  <c:v>43.651583224016633</c:v>
                </c:pt>
                <c:pt idx="64">
                  <c:v>44.668359215096324</c:v>
                </c:pt>
                <c:pt idx="65">
                  <c:v>45.70881896148753</c:v>
                </c:pt>
                <c:pt idx="66">
                  <c:v>46.773514128719818</c:v>
                </c:pt>
                <c:pt idx="67">
                  <c:v>47.863009232263877</c:v>
                </c:pt>
                <c:pt idx="68">
                  <c:v>48.977881936844632</c:v>
                </c:pt>
                <c:pt idx="69">
                  <c:v>50.118723362727238</c:v>
                </c:pt>
                <c:pt idx="70">
                  <c:v>51.28613839913649</c:v>
                </c:pt>
                <c:pt idx="71">
                  <c:v>52.480746024977286</c:v>
                </c:pt>
                <c:pt idx="72">
                  <c:v>53.703179637025293</c:v>
                </c:pt>
                <c:pt idx="73">
                  <c:v>54.95408738576247</c:v>
                </c:pt>
                <c:pt idx="74">
                  <c:v>56.234132519034915</c:v>
                </c:pt>
                <c:pt idx="75">
                  <c:v>57.543993733715695</c:v>
                </c:pt>
                <c:pt idx="76">
                  <c:v>58.884365535558949</c:v>
                </c:pt>
                <c:pt idx="77">
                  <c:v>60.255958607435822</c:v>
                </c:pt>
                <c:pt idx="78">
                  <c:v>61.659500186148257</c:v>
                </c:pt>
                <c:pt idx="79">
                  <c:v>63.095734448019364</c:v>
                </c:pt>
                <c:pt idx="80">
                  <c:v>64.565422903465588</c:v>
                </c:pt>
                <c:pt idx="81">
                  <c:v>66.069344800759623</c:v>
                </c:pt>
                <c:pt idx="82">
                  <c:v>67.60829753919819</c:v>
                </c:pt>
                <c:pt idx="83">
                  <c:v>69.183097091893657</c:v>
                </c:pt>
                <c:pt idx="84">
                  <c:v>70.794578438413865</c:v>
                </c:pt>
                <c:pt idx="85">
                  <c:v>72.443596007499011</c:v>
                </c:pt>
                <c:pt idx="86">
                  <c:v>74.131024130091816</c:v>
                </c:pt>
                <c:pt idx="87">
                  <c:v>75.857757502918361</c:v>
                </c:pt>
                <c:pt idx="88">
                  <c:v>77.624711662869217</c:v>
                </c:pt>
                <c:pt idx="89">
                  <c:v>79.432823472428197</c:v>
                </c:pt>
                <c:pt idx="90">
                  <c:v>81.283051616409963</c:v>
                </c:pt>
                <c:pt idx="91">
                  <c:v>83.176377110267126</c:v>
                </c:pt>
                <c:pt idx="92">
                  <c:v>85.113803820237734</c:v>
                </c:pt>
                <c:pt idx="93">
                  <c:v>87.096358995608071</c:v>
                </c:pt>
                <c:pt idx="94">
                  <c:v>89.125093813374562</c:v>
                </c:pt>
                <c:pt idx="95">
                  <c:v>91.201083935590972</c:v>
                </c:pt>
                <c:pt idx="96">
                  <c:v>93.325430079699174</c:v>
                </c:pt>
                <c:pt idx="97">
                  <c:v>95.499258602143655</c:v>
                </c:pt>
                <c:pt idx="98">
                  <c:v>97.723722095581124</c:v>
                </c:pt>
                <c:pt idx="99">
                  <c:v>100</c:v>
                </c:pt>
                <c:pt idx="100">
                  <c:v>102.32929922807544</c:v>
                </c:pt>
                <c:pt idx="101">
                  <c:v>104.71285480508998</c:v>
                </c:pt>
                <c:pt idx="102">
                  <c:v>107.15193052376065</c:v>
                </c:pt>
                <c:pt idx="103">
                  <c:v>109.64781961431861</c:v>
                </c:pt>
                <c:pt idx="104">
                  <c:v>112.20184543019634</c:v>
                </c:pt>
                <c:pt idx="105">
                  <c:v>114.81536214968835</c:v>
                </c:pt>
                <c:pt idx="106">
                  <c:v>117.48975549395293</c:v>
                </c:pt>
                <c:pt idx="107">
                  <c:v>120.22644346174135</c:v>
                </c:pt>
                <c:pt idx="108">
                  <c:v>123.02687708123821</c:v>
                </c:pt>
                <c:pt idx="109">
                  <c:v>125.89254117941677</c:v>
                </c:pt>
                <c:pt idx="110">
                  <c:v>128.82495516931343</c:v>
                </c:pt>
                <c:pt idx="111">
                  <c:v>131.82567385564084</c:v>
                </c:pt>
                <c:pt idx="112">
                  <c:v>134.89628825916537</c:v>
                </c:pt>
                <c:pt idx="113">
                  <c:v>138.0384264602886</c:v>
                </c:pt>
                <c:pt idx="114">
                  <c:v>141.25375446227542</c:v>
                </c:pt>
                <c:pt idx="115">
                  <c:v>144.54397707459285</c:v>
                </c:pt>
                <c:pt idx="116">
                  <c:v>147.91083881682084</c:v>
                </c:pt>
                <c:pt idx="117">
                  <c:v>151.3561248436209</c:v>
                </c:pt>
                <c:pt idx="118">
                  <c:v>154.8816618912482</c:v>
                </c:pt>
                <c:pt idx="119">
                  <c:v>158.48931924611153</c:v>
                </c:pt>
                <c:pt idx="120">
                  <c:v>162.18100973589304</c:v>
                </c:pt>
                <c:pt idx="121">
                  <c:v>165.95869074375622</c:v>
                </c:pt>
                <c:pt idx="122">
                  <c:v>169.82436524617444</c:v>
                </c:pt>
                <c:pt idx="123">
                  <c:v>173.78008287493768</c:v>
                </c:pt>
                <c:pt idx="124">
                  <c:v>177.82794100389242</c:v>
                </c:pt>
                <c:pt idx="125">
                  <c:v>181.9700858609983</c:v>
                </c:pt>
                <c:pt idx="126">
                  <c:v>186.20871366628685</c:v>
                </c:pt>
                <c:pt idx="127">
                  <c:v>190.54607179632498</c:v>
                </c:pt>
                <c:pt idx="128">
                  <c:v>194.98445997580458</c:v>
                </c:pt>
                <c:pt idx="129">
                  <c:v>199.52623149688802</c:v>
                </c:pt>
                <c:pt idx="130">
                  <c:v>204.17379446695315</c:v>
                </c:pt>
                <c:pt idx="131">
                  <c:v>208.92961308540396</c:v>
                </c:pt>
                <c:pt idx="132">
                  <c:v>213.79620895022339</c:v>
                </c:pt>
                <c:pt idx="133">
                  <c:v>218.77616239495524</c:v>
                </c:pt>
                <c:pt idx="134">
                  <c:v>223.87211385683412</c:v>
                </c:pt>
                <c:pt idx="135">
                  <c:v>229.08676527677744</c:v>
                </c:pt>
                <c:pt idx="136">
                  <c:v>234.42288153199232</c:v>
                </c:pt>
                <c:pt idx="137">
                  <c:v>239.88329190194912</c:v>
                </c:pt>
                <c:pt idx="138">
                  <c:v>245.4708915685033</c:v>
                </c:pt>
                <c:pt idx="139">
                  <c:v>251.18864315095806</c:v>
                </c:pt>
                <c:pt idx="140">
                  <c:v>257.03957827688663</c:v>
                </c:pt>
                <c:pt idx="141">
                  <c:v>263.02679918953817</c:v>
                </c:pt>
                <c:pt idx="142">
                  <c:v>269.15348039269179</c:v>
                </c:pt>
                <c:pt idx="143">
                  <c:v>275.42287033381683</c:v>
                </c:pt>
                <c:pt idx="144">
                  <c:v>281.83829312644554</c:v>
                </c:pt>
                <c:pt idx="145">
                  <c:v>288.40315031266073</c:v>
                </c:pt>
                <c:pt idx="146">
                  <c:v>295.12092266663871</c:v>
                </c:pt>
                <c:pt idx="147">
                  <c:v>301.99517204020168</c:v>
                </c:pt>
                <c:pt idx="148">
                  <c:v>309.02954325135937</c:v>
                </c:pt>
                <c:pt idx="149">
                  <c:v>316.22776601683825</c:v>
                </c:pt>
                <c:pt idx="150">
                  <c:v>323.59365692962825</c:v>
                </c:pt>
                <c:pt idx="151">
                  <c:v>331.13112148259137</c:v>
                </c:pt>
                <c:pt idx="152">
                  <c:v>338.84415613920277</c:v>
                </c:pt>
                <c:pt idx="153">
                  <c:v>346.73685045253183</c:v>
                </c:pt>
                <c:pt idx="154">
                  <c:v>354.81338923357566</c:v>
                </c:pt>
                <c:pt idx="155">
                  <c:v>363.07805477010152</c:v>
                </c:pt>
                <c:pt idx="156">
                  <c:v>371.53522909717265</c:v>
                </c:pt>
                <c:pt idx="157">
                  <c:v>380.18939632056163</c:v>
                </c:pt>
                <c:pt idx="158">
                  <c:v>389.04514499428063</c:v>
                </c:pt>
                <c:pt idx="159">
                  <c:v>398.10717055349761</c:v>
                </c:pt>
                <c:pt idx="160">
                  <c:v>407.38027780411272</c:v>
                </c:pt>
                <c:pt idx="161">
                  <c:v>416.86938347033572</c:v>
                </c:pt>
                <c:pt idx="162">
                  <c:v>426.57951880159294</c:v>
                </c:pt>
                <c:pt idx="163">
                  <c:v>436.51583224016622</c:v>
                </c:pt>
                <c:pt idx="164">
                  <c:v>446.68359215096331</c:v>
                </c:pt>
                <c:pt idx="165">
                  <c:v>457.0881896148756</c:v>
                </c:pt>
                <c:pt idx="166">
                  <c:v>467.7351412871983</c:v>
                </c:pt>
                <c:pt idx="167">
                  <c:v>478.63009232263886</c:v>
                </c:pt>
                <c:pt idx="168">
                  <c:v>489.77881936844625</c:v>
                </c:pt>
                <c:pt idx="169">
                  <c:v>501.18723362727269</c:v>
                </c:pt>
                <c:pt idx="170">
                  <c:v>512.86138399136519</c:v>
                </c:pt>
                <c:pt idx="171">
                  <c:v>524.80746024977248</c:v>
                </c:pt>
                <c:pt idx="172">
                  <c:v>537.03179637025301</c:v>
                </c:pt>
                <c:pt idx="173">
                  <c:v>549.54087385762534</c:v>
                </c:pt>
                <c:pt idx="174">
                  <c:v>562.34132519034927</c:v>
                </c:pt>
                <c:pt idx="175">
                  <c:v>575.43993733715706</c:v>
                </c:pt>
                <c:pt idx="176">
                  <c:v>588.84365535558959</c:v>
                </c:pt>
                <c:pt idx="177">
                  <c:v>602.55958607435832</c:v>
                </c:pt>
                <c:pt idx="178">
                  <c:v>616.59500186148273</c:v>
                </c:pt>
                <c:pt idx="179">
                  <c:v>630.95734448019323</c:v>
                </c:pt>
                <c:pt idx="180">
                  <c:v>645.65422903465594</c:v>
                </c:pt>
                <c:pt idx="181">
                  <c:v>660.69344800759643</c:v>
                </c:pt>
                <c:pt idx="182">
                  <c:v>676.08297539198213</c:v>
                </c:pt>
                <c:pt idx="183">
                  <c:v>691.83097091893671</c:v>
                </c:pt>
                <c:pt idx="184">
                  <c:v>707.94578438413873</c:v>
                </c:pt>
                <c:pt idx="185">
                  <c:v>724.43596007499025</c:v>
                </c:pt>
                <c:pt idx="186">
                  <c:v>741.31024130091828</c:v>
                </c:pt>
                <c:pt idx="187">
                  <c:v>758.57757502918378</c:v>
                </c:pt>
                <c:pt idx="188">
                  <c:v>776.24711662869231</c:v>
                </c:pt>
                <c:pt idx="189">
                  <c:v>794.32823472428208</c:v>
                </c:pt>
                <c:pt idx="190">
                  <c:v>812.83051616409978</c:v>
                </c:pt>
                <c:pt idx="191">
                  <c:v>831.7637711026714</c:v>
                </c:pt>
                <c:pt idx="192">
                  <c:v>851.13803820237763</c:v>
                </c:pt>
                <c:pt idx="193">
                  <c:v>870.96358995608091</c:v>
                </c:pt>
                <c:pt idx="194">
                  <c:v>891.25093813374656</c:v>
                </c:pt>
                <c:pt idx="195">
                  <c:v>912.01083935590987</c:v>
                </c:pt>
                <c:pt idx="196">
                  <c:v>933.25430079699106</c:v>
                </c:pt>
                <c:pt idx="197">
                  <c:v>954.99258602143675</c:v>
                </c:pt>
                <c:pt idx="198">
                  <c:v>977.23722095581138</c:v>
                </c:pt>
                <c:pt idx="199">
                  <c:v>1000</c:v>
                </c:pt>
                <c:pt idx="200">
                  <c:v>1023.2929922807547</c:v>
                </c:pt>
                <c:pt idx="201">
                  <c:v>1047.1285480509</c:v>
                </c:pt>
                <c:pt idx="202">
                  <c:v>1071.5193052376069</c:v>
                </c:pt>
                <c:pt idx="203">
                  <c:v>1096.4781961431863</c:v>
                </c:pt>
                <c:pt idx="204">
                  <c:v>1122.0184543019636</c:v>
                </c:pt>
                <c:pt idx="205">
                  <c:v>1148.1536214968839</c:v>
                </c:pt>
                <c:pt idx="206">
                  <c:v>1174.8975549395295</c:v>
                </c:pt>
                <c:pt idx="207">
                  <c:v>1202.2644346174138</c:v>
                </c:pt>
                <c:pt idx="208">
                  <c:v>1230.2687708123824</c:v>
                </c:pt>
                <c:pt idx="209">
                  <c:v>1258.925411794168</c:v>
                </c:pt>
                <c:pt idx="210">
                  <c:v>1288.2495516931347</c:v>
                </c:pt>
                <c:pt idx="211">
                  <c:v>1318.2567385564089</c:v>
                </c:pt>
                <c:pt idx="212">
                  <c:v>1348.9628825916541</c:v>
                </c:pt>
                <c:pt idx="213">
                  <c:v>1380.3842646028863</c:v>
                </c:pt>
                <c:pt idx="214">
                  <c:v>1412.5375446227545</c:v>
                </c:pt>
                <c:pt idx="215">
                  <c:v>1445.4397707459289</c:v>
                </c:pt>
                <c:pt idx="216">
                  <c:v>1479.1083881682086</c:v>
                </c:pt>
                <c:pt idx="217">
                  <c:v>1513.5612484362093</c:v>
                </c:pt>
                <c:pt idx="218">
                  <c:v>1548.8166189124822</c:v>
                </c:pt>
                <c:pt idx="219">
                  <c:v>1584.8931924611156</c:v>
                </c:pt>
                <c:pt idx="220">
                  <c:v>1621.8100973589308</c:v>
                </c:pt>
                <c:pt idx="221">
                  <c:v>1659.5869074375626</c:v>
                </c:pt>
                <c:pt idx="222">
                  <c:v>1698.2436524617447</c:v>
                </c:pt>
                <c:pt idx="223">
                  <c:v>1737.8008287493772</c:v>
                </c:pt>
                <c:pt idx="224">
                  <c:v>1778.2794100389244</c:v>
                </c:pt>
                <c:pt idx="225">
                  <c:v>1819.7008586099832</c:v>
                </c:pt>
                <c:pt idx="226">
                  <c:v>1862.0871366628687</c:v>
                </c:pt>
                <c:pt idx="227">
                  <c:v>1905.4607179632501</c:v>
                </c:pt>
                <c:pt idx="228">
                  <c:v>1949.8445997580463</c:v>
                </c:pt>
                <c:pt idx="229">
                  <c:v>1995.2623149688804</c:v>
                </c:pt>
                <c:pt idx="230">
                  <c:v>2041.7379446695318</c:v>
                </c:pt>
                <c:pt idx="231">
                  <c:v>2089.2961308540398</c:v>
                </c:pt>
                <c:pt idx="232">
                  <c:v>2137.9620895022344</c:v>
                </c:pt>
                <c:pt idx="233">
                  <c:v>2187.7616239495528</c:v>
                </c:pt>
                <c:pt idx="234">
                  <c:v>2238.7211385683418</c:v>
                </c:pt>
                <c:pt idx="235">
                  <c:v>2290.8676527677749</c:v>
                </c:pt>
                <c:pt idx="236">
                  <c:v>2344.2288153199238</c:v>
                </c:pt>
                <c:pt idx="237">
                  <c:v>2398.8329190194918</c:v>
                </c:pt>
                <c:pt idx="238">
                  <c:v>2454.7089156850338</c:v>
                </c:pt>
                <c:pt idx="239">
                  <c:v>2511.8864315095811</c:v>
                </c:pt>
                <c:pt idx="240">
                  <c:v>2570.3957827688669</c:v>
                </c:pt>
                <c:pt idx="241">
                  <c:v>2630.2679918953822</c:v>
                </c:pt>
                <c:pt idx="242">
                  <c:v>2691.5348039269184</c:v>
                </c:pt>
                <c:pt idx="243">
                  <c:v>2754.228703338169</c:v>
                </c:pt>
                <c:pt idx="244">
                  <c:v>2818.3829312644561</c:v>
                </c:pt>
                <c:pt idx="245">
                  <c:v>2884.0315031266077</c:v>
                </c:pt>
                <c:pt idx="246">
                  <c:v>2951.2092266663876</c:v>
                </c:pt>
                <c:pt idx="247">
                  <c:v>3019.9517204020176</c:v>
                </c:pt>
                <c:pt idx="248">
                  <c:v>3090.295432513592</c:v>
                </c:pt>
                <c:pt idx="249">
                  <c:v>3162.2776601683804</c:v>
                </c:pt>
                <c:pt idx="250">
                  <c:v>3235.9365692962833</c:v>
                </c:pt>
                <c:pt idx="251">
                  <c:v>3311.3112148259115</c:v>
                </c:pt>
                <c:pt idx="252">
                  <c:v>3388.4415613920314</c:v>
                </c:pt>
                <c:pt idx="253">
                  <c:v>3467.3685045253224</c:v>
                </c:pt>
                <c:pt idx="254">
                  <c:v>3548.1338923357539</c:v>
                </c:pt>
                <c:pt idx="255">
                  <c:v>3630.7805477010188</c:v>
                </c:pt>
                <c:pt idx="256">
                  <c:v>3715.352290971724</c:v>
                </c:pt>
                <c:pt idx="257">
                  <c:v>3801.8939632056172</c:v>
                </c:pt>
                <c:pt idx="258">
                  <c:v>3890.451449942811</c:v>
                </c:pt>
                <c:pt idx="259">
                  <c:v>3981.0717055349769</c:v>
                </c:pt>
                <c:pt idx="260">
                  <c:v>4073.8027780411317</c:v>
                </c:pt>
                <c:pt idx="261">
                  <c:v>4168.6938347033583</c:v>
                </c:pt>
                <c:pt idx="262">
                  <c:v>4265.7951880159299</c:v>
                </c:pt>
                <c:pt idx="263">
                  <c:v>4365.1583224016631</c:v>
                </c:pt>
                <c:pt idx="264">
                  <c:v>4466.8359215096343</c:v>
                </c:pt>
                <c:pt idx="265">
                  <c:v>4570.8818961487532</c:v>
                </c:pt>
                <c:pt idx="266">
                  <c:v>4677.3514128719844</c:v>
                </c:pt>
                <c:pt idx="267">
                  <c:v>4786.3009232263848</c:v>
                </c:pt>
                <c:pt idx="268">
                  <c:v>4897.7881936844633</c:v>
                </c:pt>
                <c:pt idx="269">
                  <c:v>5011.8723362727324</c:v>
                </c:pt>
                <c:pt idx="270">
                  <c:v>5128.6138399136489</c:v>
                </c:pt>
                <c:pt idx="271">
                  <c:v>5248.0746024977261</c:v>
                </c:pt>
                <c:pt idx="272">
                  <c:v>5370.3179637025269</c:v>
                </c:pt>
                <c:pt idx="273">
                  <c:v>5495.4087385762541</c:v>
                </c:pt>
                <c:pt idx="274">
                  <c:v>5623.4132519034993</c:v>
                </c:pt>
                <c:pt idx="275">
                  <c:v>5754.399373371567</c:v>
                </c:pt>
                <c:pt idx="276">
                  <c:v>5888.4365535558973</c:v>
                </c:pt>
                <c:pt idx="277">
                  <c:v>6025.595860743585</c:v>
                </c:pt>
                <c:pt idx="278">
                  <c:v>6165.9500186148289</c:v>
                </c:pt>
                <c:pt idx="279">
                  <c:v>6309.5734448019384</c:v>
                </c:pt>
                <c:pt idx="280">
                  <c:v>6456.5422903465615</c:v>
                </c:pt>
                <c:pt idx="281">
                  <c:v>6606.9344800759654</c:v>
                </c:pt>
                <c:pt idx="282">
                  <c:v>6760.8297539198229</c:v>
                </c:pt>
                <c:pt idx="283">
                  <c:v>6918.3097091893687</c:v>
                </c:pt>
                <c:pt idx="284">
                  <c:v>7079.4578438413828</c:v>
                </c:pt>
                <c:pt idx="285">
                  <c:v>7244.3596007499036</c:v>
                </c:pt>
                <c:pt idx="286">
                  <c:v>7413.1024130091773</c:v>
                </c:pt>
                <c:pt idx="287">
                  <c:v>7585.7757502918394</c:v>
                </c:pt>
                <c:pt idx="288">
                  <c:v>7762.4711662869322</c:v>
                </c:pt>
                <c:pt idx="289">
                  <c:v>7943.2823472428154</c:v>
                </c:pt>
                <c:pt idx="290">
                  <c:v>8128.3051616410066</c:v>
                </c:pt>
                <c:pt idx="291">
                  <c:v>8317.6377110267094</c:v>
                </c:pt>
                <c:pt idx="292">
                  <c:v>8511.3803820237772</c:v>
                </c:pt>
                <c:pt idx="293">
                  <c:v>8709.6358995608189</c:v>
                </c:pt>
                <c:pt idx="294">
                  <c:v>8912.5093813374679</c:v>
                </c:pt>
                <c:pt idx="295">
                  <c:v>9120.1083935591087</c:v>
                </c:pt>
                <c:pt idx="296">
                  <c:v>9332.5430079699217</c:v>
                </c:pt>
                <c:pt idx="297">
                  <c:v>9549.9258602143691</c:v>
                </c:pt>
                <c:pt idx="298">
                  <c:v>9772.3722095581161</c:v>
                </c:pt>
                <c:pt idx="299">
                  <c:v>10000</c:v>
                </c:pt>
                <c:pt idx="300">
                  <c:v>10232.929922807549</c:v>
                </c:pt>
                <c:pt idx="301">
                  <c:v>10471.285480509003</c:v>
                </c:pt>
                <c:pt idx="302">
                  <c:v>10715.193052376071</c:v>
                </c:pt>
                <c:pt idx="303">
                  <c:v>10964.781961431856</c:v>
                </c:pt>
                <c:pt idx="304">
                  <c:v>11220.184543019639</c:v>
                </c:pt>
                <c:pt idx="305">
                  <c:v>11481.536214968832</c:v>
                </c:pt>
                <c:pt idx="306">
                  <c:v>11748.975549395318</c:v>
                </c:pt>
                <c:pt idx="307">
                  <c:v>12022.644346174151</c:v>
                </c:pt>
                <c:pt idx="308">
                  <c:v>12302.687708123816</c:v>
                </c:pt>
                <c:pt idx="309">
                  <c:v>12589.254117941671</c:v>
                </c:pt>
                <c:pt idx="310">
                  <c:v>12882.49551693136</c:v>
                </c:pt>
                <c:pt idx="311">
                  <c:v>13182.567385564091</c:v>
                </c:pt>
                <c:pt idx="312">
                  <c:v>13489.628825916556</c:v>
                </c:pt>
                <c:pt idx="313">
                  <c:v>13803.842646028841</c:v>
                </c:pt>
                <c:pt idx="314">
                  <c:v>14125.375446227561</c:v>
                </c:pt>
                <c:pt idx="315">
                  <c:v>14454.397707459291</c:v>
                </c:pt>
                <c:pt idx="316">
                  <c:v>14791.083881682089</c:v>
                </c:pt>
                <c:pt idx="317">
                  <c:v>15135.612484362096</c:v>
                </c:pt>
                <c:pt idx="318">
                  <c:v>15488.166189124853</c:v>
                </c:pt>
                <c:pt idx="319">
                  <c:v>15848.931924611146</c:v>
                </c:pt>
                <c:pt idx="320">
                  <c:v>16218.100973589309</c:v>
                </c:pt>
                <c:pt idx="321">
                  <c:v>16595.869074375616</c:v>
                </c:pt>
                <c:pt idx="322">
                  <c:v>16982.436524617482</c:v>
                </c:pt>
                <c:pt idx="323">
                  <c:v>17378.008287493791</c:v>
                </c:pt>
                <c:pt idx="324">
                  <c:v>17782.794100389234</c:v>
                </c:pt>
                <c:pt idx="325">
                  <c:v>18197.008586099837</c:v>
                </c:pt>
                <c:pt idx="326">
                  <c:v>18620.871366628675</c:v>
                </c:pt>
                <c:pt idx="327">
                  <c:v>19054.607179632505</c:v>
                </c:pt>
                <c:pt idx="328">
                  <c:v>19498.445997580486</c:v>
                </c:pt>
                <c:pt idx="329">
                  <c:v>19952.623149688792</c:v>
                </c:pt>
                <c:pt idx="330">
                  <c:v>20417.379446695286</c:v>
                </c:pt>
                <c:pt idx="331">
                  <c:v>20892.961308540423</c:v>
                </c:pt>
                <c:pt idx="332">
                  <c:v>21379.620895022348</c:v>
                </c:pt>
                <c:pt idx="333">
                  <c:v>21877.61623949555</c:v>
                </c:pt>
                <c:pt idx="334">
                  <c:v>22387.211385683382</c:v>
                </c:pt>
                <c:pt idx="335">
                  <c:v>22908.676527677751</c:v>
                </c:pt>
                <c:pt idx="336">
                  <c:v>23442.288153199243</c:v>
                </c:pt>
                <c:pt idx="337">
                  <c:v>23988.329190194923</c:v>
                </c:pt>
                <c:pt idx="338">
                  <c:v>24547.089156850321</c:v>
                </c:pt>
                <c:pt idx="339">
                  <c:v>25118.86431509586</c:v>
                </c:pt>
                <c:pt idx="340">
                  <c:v>25703.95782768865</c:v>
                </c:pt>
                <c:pt idx="341">
                  <c:v>26302.679918953829</c:v>
                </c:pt>
                <c:pt idx="342">
                  <c:v>26915.348039269167</c:v>
                </c:pt>
                <c:pt idx="343">
                  <c:v>27542.287033381719</c:v>
                </c:pt>
                <c:pt idx="344">
                  <c:v>28183.829312644593</c:v>
                </c:pt>
                <c:pt idx="345">
                  <c:v>28840.315031266062</c:v>
                </c:pt>
                <c:pt idx="346">
                  <c:v>29512.092266663854</c:v>
                </c:pt>
                <c:pt idx="347">
                  <c:v>30199.517204020212</c:v>
                </c:pt>
                <c:pt idx="348">
                  <c:v>30902.954325135954</c:v>
                </c:pt>
                <c:pt idx="349">
                  <c:v>31622.77660168384</c:v>
                </c:pt>
                <c:pt idx="350">
                  <c:v>32359.365692962871</c:v>
                </c:pt>
                <c:pt idx="351">
                  <c:v>33113.11214825909</c:v>
                </c:pt>
                <c:pt idx="352">
                  <c:v>33884.41561392029</c:v>
                </c:pt>
                <c:pt idx="353">
                  <c:v>34673.685045253202</c:v>
                </c:pt>
                <c:pt idx="354">
                  <c:v>35481.33892335758</c:v>
                </c:pt>
                <c:pt idx="355">
                  <c:v>36307.805477010232</c:v>
                </c:pt>
                <c:pt idx="356">
                  <c:v>37153.522909717351</c:v>
                </c:pt>
                <c:pt idx="357">
                  <c:v>38018.939632056143</c:v>
                </c:pt>
                <c:pt idx="358">
                  <c:v>38904.514499428085</c:v>
                </c:pt>
                <c:pt idx="359">
                  <c:v>39810.717055349742</c:v>
                </c:pt>
                <c:pt idx="360">
                  <c:v>40738.027780411358</c:v>
                </c:pt>
                <c:pt idx="361">
                  <c:v>41686.938347033625</c:v>
                </c:pt>
                <c:pt idx="362">
                  <c:v>42657.951880159271</c:v>
                </c:pt>
                <c:pt idx="363">
                  <c:v>43651.583224016598</c:v>
                </c:pt>
                <c:pt idx="364">
                  <c:v>44668.359215096389</c:v>
                </c:pt>
                <c:pt idx="365">
                  <c:v>45708.818961487581</c:v>
                </c:pt>
                <c:pt idx="366">
                  <c:v>46773.514128719893</c:v>
                </c:pt>
                <c:pt idx="367">
                  <c:v>47863.009232263823</c:v>
                </c:pt>
                <c:pt idx="368">
                  <c:v>48977.881936844598</c:v>
                </c:pt>
                <c:pt idx="369">
                  <c:v>50118.723362727294</c:v>
                </c:pt>
                <c:pt idx="370">
                  <c:v>51286.138399136544</c:v>
                </c:pt>
                <c:pt idx="371">
                  <c:v>52480.746024977314</c:v>
                </c:pt>
                <c:pt idx="372">
                  <c:v>53703.179637025423</c:v>
                </c:pt>
                <c:pt idx="373">
                  <c:v>54954.087385762505</c:v>
                </c:pt>
                <c:pt idx="374">
                  <c:v>56234.132519034953</c:v>
                </c:pt>
                <c:pt idx="375">
                  <c:v>57543.993733715732</c:v>
                </c:pt>
                <c:pt idx="376">
                  <c:v>58884.365535558936</c:v>
                </c:pt>
                <c:pt idx="377">
                  <c:v>60255.95860743591</c:v>
                </c:pt>
                <c:pt idx="378">
                  <c:v>61659.500186148245</c:v>
                </c:pt>
                <c:pt idx="379">
                  <c:v>63095.734448019342</c:v>
                </c:pt>
                <c:pt idx="380">
                  <c:v>64565.422903465682</c:v>
                </c:pt>
                <c:pt idx="381">
                  <c:v>66069.344800759733</c:v>
                </c:pt>
                <c:pt idx="382">
                  <c:v>67608.297539198305</c:v>
                </c:pt>
                <c:pt idx="383">
                  <c:v>69183.097091893651</c:v>
                </c:pt>
                <c:pt idx="384">
                  <c:v>70794.578438413781</c:v>
                </c:pt>
                <c:pt idx="385">
                  <c:v>72443.596007499116</c:v>
                </c:pt>
                <c:pt idx="386">
                  <c:v>74131.024130091857</c:v>
                </c:pt>
                <c:pt idx="387">
                  <c:v>75857.757502918481</c:v>
                </c:pt>
                <c:pt idx="388">
                  <c:v>77624.711662869129</c:v>
                </c:pt>
                <c:pt idx="389">
                  <c:v>79432.823472428237</c:v>
                </c:pt>
                <c:pt idx="390">
                  <c:v>81283.051616410012</c:v>
                </c:pt>
                <c:pt idx="391">
                  <c:v>83176.377110267174</c:v>
                </c:pt>
                <c:pt idx="392">
                  <c:v>85113.803820237721</c:v>
                </c:pt>
                <c:pt idx="393">
                  <c:v>87096.358995608127</c:v>
                </c:pt>
                <c:pt idx="394">
                  <c:v>89125.093813374609</c:v>
                </c:pt>
                <c:pt idx="395">
                  <c:v>91201.083935591028</c:v>
                </c:pt>
                <c:pt idx="396">
                  <c:v>93325.430079699145</c:v>
                </c:pt>
                <c:pt idx="397">
                  <c:v>95499.258602143804</c:v>
                </c:pt>
                <c:pt idx="398">
                  <c:v>97723.722095581266</c:v>
                </c:pt>
                <c:pt idx="399">
                  <c:v>100000</c:v>
                </c:pt>
                <c:pt idx="400">
                  <c:v>102329.29922807543</c:v>
                </c:pt>
                <c:pt idx="401">
                  <c:v>104712.85480508996</c:v>
                </c:pt>
                <c:pt idx="402">
                  <c:v>107151.93052376082</c:v>
                </c:pt>
                <c:pt idx="403">
                  <c:v>109647.81961431868</c:v>
                </c:pt>
                <c:pt idx="404">
                  <c:v>112201.84543019651</c:v>
                </c:pt>
                <c:pt idx="405">
                  <c:v>114815.36214968823</c:v>
                </c:pt>
                <c:pt idx="406">
                  <c:v>117489.75549395311</c:v>
                </c:pt>
                <c:pt idx="407">
                  <c:v>120226.44346174144</c:v>
                </c:pt>
                <c:pt idx="408">
                  <c:v>123026.87708123829</c:v>
                </c:pt>
                <c:pt idx="409">
                  <c:v>125892.54117941685</c:v>
                </c:pt>
                <c:pt idx="410">
                  <c:v>128824.95516931375</c:v>
                </c:pt>
                <c:pt idx="411">
                  <c:v>131825.67385564081</c:v>
                </c:pt>
                <c:pt idx="412">
                  <c:v>134896.28825916545</c:v>
                </c:pt>
                <c:pt idx="413">
                  <c:v>138038.42646028858</c:v>
                </c:pt>
                <c:pt idx="414">
                  <c:v>141253.75446227577</c:v>
                </c:pt>
                <c:pt idx="415">
                  <c:v>144543.97707459307</c:v>
                </c:pt>
                <c:pt idx="416">
                  <c:v>147910.83881682079</c:v>
                </c:pt>
                <c:pt idx="417">
                  <c:v>151356.12484362084</c:v>
                </c:pt>
                <c:pt idx="418">
                  <c:v>154881.66189124843</c:v>
                </c:pt>
                <c:pt idx="419">
                  <c:v>158489.31924611164</c:v>
                </c:pt>
                <c:pt idx="420">
                  <c:v>162181.00973589328</c:v>
                </c:pt>
                <c:pt idx="421">
                  <c:v>165958.69074375604</c:v>
                </c:pt>
                <c:pt idx="422">
                  <c:v>169824.36524617471</c:v>
                </c:pt>
                <c:pt idx="423">
                  <c:v>173780.0828749378</c:v>
                </c:pt>
                <c:pt idx="424">
                  <c:v>177827.94100389251</c:v>
                </c:pt>
                <c:pt idx="425">
                  <c:v>181970.08586099857</c:v>
                </c:pt>
                <c:pt idx="426">
                  <c:v>186208.71366628664</c:v>
                </c:pt>
                <c:pt idx="427">
                  <c:v>190546.07179632492</c:v>
                </c:pt>
                <c:pt idx="428">
                  <c:v>194984.45997580473</c:v>
                </c:pt>
                <c:pt idx="429">
                  <c:v>199526.23149688813</c:v>
                </c:pt>
                <c:pt idx="430">
                  <c:v>204173.79446695308</c:v>
                </c:pt>
                <c:pt idx="431">
                  <c:v>208929.61308540447</c:v>
                </c:pt>
                <c:pt idx="432">
                  <c:v>213796.20895022334</c:v>
                </c:pt>
                <c:pt idx="433">
                  <c:v>218776.16239495538</c:v>
                </c:pt>
                <c:pt idx="434">
                  <c:v>223872.11385683404</c:v>
                </c:pt>
                <c:pt idx="435">
                  <c:v>229086.76527677779</c:v>
                </c:pt>
                <c:pt idx="436">
                  <c:v>234422.88153199267</c:v>
                </c:pt>
                <c:pt idx="437">
                  <c:v>239883.29190194907</c:v>
                </c:pt>
                <c:pt idx="438">
                  <c:v>245470.89156850305</c:v>
                </c:pt>
                <c:pt idx="439">
                  <c:v>251188.64315095844</c:v>
                </c:pt>
                <c:pt idx="440">
                  <c:v>257039.57827688678</c:v>
                </c:pt>
                <c:pt idx="441">
                  <c:v>263026.79918953858</c:v>
                </c:pt>
                <c:pt idx="442">
                  <c:v>269153.48039269145</c:v>
                </c:pt>
                <c:pt idx="443">
                  <c:v>275422.87033381703</c:v>
                </c:pt>
                <c:pt idx="444">
                  <c:v>281838.29312644573</c:v>
                </c:pt>
                <c:pt idx="445">
                  <c:v>288403.1503126609</c:v>
                </c:pt>
                <c:pt idx="446">
                  <c:v>295120.92266663886</c:v>
                </c:pt>
                <c:pt idx="447">
                  <c:v>301995.17204020242</c:v>
                </c:pt>
                <c:pt idx="448">
                  <c:v>309029.54325135931</c:v>
                </c:pt>
                <c:pt idx="449">
                  <c:v>316227.7660168382</c:v>
                </c:pt>
                <c:pt idx="450">
                  <c:v>323593.65692962846</c:v>
                </c:pt>
                <c:pt idx="451">
                  <c:v>331131.12148259126</c:v>
                </c:pt>
                <c:pt idx="452">
                  <c:v>338844.15613920329</c:v>
                </c:pt>
                <c:pt idx="453">
                  <c:v>346736.85045253241</c:v>
                </c:pt>
                <c:pt idx="454">
                  <c:v>354813.38923357555</c:v>
                </c:pt>
                <c:pt idx="455">
                  <c:v>363078.05477010203</c:v>
                </c:pt>
                <c:pt idx="456">
                  <c:v>371535.2290971732</c:v>
                </c:pt>
                <c:pt idx="457">
                  <c:v>380189.39632056188</c:v>
                </c:pt>
                <c:pt idx="458">
                  <c:v>389045.14499428123</c:v>
                </c:pt>
                <c:pt idx="459">
                  <c:v>398107.17055349716</c:v>
                </c:pt>
                <c:pt idx="460">
                  <c:v>407380.27780411334</c:v>
                </c:pt>
                <c:pt idx="461">
                  <c:v>416869.38347033598</c:v>
                </c:pt>
                <c:pt idx="462">
                  <c:v>426579.51880159322</c:v>
                </c:pt>
                <c:pt idx="463">
                  <c:v>436515.83224016649</c:v>
                </c:pt>
                <c:pt idx="464">
                  <c:v>446683.59215096442</c:v>
                </c:pt>
                <c:pt idx="465">
                  <c:v>457088.18961487547</c:v>
                </c:pt>
                <c:pt idx="466">
                  <c:v>467735.14128719864</c:v>
                </c:pt>
                <c:pt idx="467">
                  <c:v>478630.09232263872</c:v>
                </c:pt>
                <c:pt idx="468">
                  <c:v>489778.81936844654</c:v>
                </c:pt>
                <c:pt idx="469">
                  <c:v>501187.23362727347</c:v>
                </c:pt>
                <c:pt idx="470">
                  <c:v>512861.38399136515</c:v>
                </c:pt>
                <c:pt idx="471">
                  <c:v>524807.46024977288</c:v>
                </c:pt>
                <c:pt idx="472">
                  <c:v>537031.7963702539</c:v>
                </c:pt>
                <c:pt idx="473">
                  <c:v>549540.87385762564</c:v>
                </c:pt>
                <c:pt idx="474">
                  <c:v>562341.32519035018</c:v>
                </c:pt>
                <c:pt idx="475">
                  <c:v>575439.93733715697</c:v>
                </c:pt>
                <c:pt idx="476">
                  <c:v>588843.65535558888</c:v>
                </c:pt>
                <c:pt idx="477">
                  <c:v>602559.58607435878</c:v>
                </c:pt>
                <c:pt idx="478">
                  <c:v>616595.00186148309</c:v>
                </c:pt>
                <c:pt idx="479">
                  <c:v>630957.34448019415</c:v>
                </c:pt>
                <c:pt idx="480">
                  <c:v>645654.22903465747</c:v>
                </c:pt>
                <c:pt idx="481">
                  <c:v>660693.44800759677</c:v>
                </c:pt>
                <c:pt idx="482">
                  <c:v>676082.97539198259</c:v>
                </c:pt>
                <c:pt idx="483">
                  <c:v>691830.97091893724</c:v>
                </c:pt>
                <c:pt idx="484">
                  <c:v>707945.78438413853</c:v>
                </c:pt>
                <c:pt idx="485">
                  <c:v>724435.96007499192</c:v>
                </c:pt>
                <c:pt idx="486">
                  <c:v>741310.24130091805</c:v>
                </c:pt>
                <c:pt idx="487">
                  <c:v>758577.57502918423</c:v>
                </c:pt>
                <c:pt idx="488">
                  <c:v>776247.11662869214</c:v>
                </c:pt>
                <c:pt idx="489">
                  <c:v>794328.23472428333</c:v>
                </c:pt>
                <c:pt idx="490">
                  <c:v>812830.51616410096</c:v>
                </c:pt>
                <c:pt idx="491">
                  <c:v>831763.77110267128</c:v>
                </c:pt>
                <c:pt idx="492">
                  <c:v>851138.03820237669</c:v>
                </c:pt>
                <c:pt idx="493">
                  <c:v>870963.58995608077</c:v>
                </c:pt>
                <c:pt idx="494">
                  <c:v>891250.93813374708</c:v>
                </c:pt>
                <c:pt idx="495">
                  <c:v>912010.83935591124</c:v>
                </c:pt>
                <c:pt idx="496">
                  <c:v>933254.30079699249</c:v>
                </c:pt>
                <c:pt idx="497">
                  <c:v>954992.58602143743</c:v>
                </c:pt>
                <c:pt idx="498">
                  <c:v>977237.22095581202</c:v>
                </c:pt>
                <c:pt idx="499">
                  <c:v>1000000</c:v>
                </c:pt>
                <c:pt idx="500">
                  <c:v>1023292.9922807553</c:v>
                </c:pt>
                <c:pt idx="501">
                  <c:v>1047128.5480509007</c:v>
                </c:pt>
                <c:pt idx="502">
                  <c:v>1071519.3052376076</c:v>
                </c:pt>
                <c:pt idx="503">
                  <c:v>1096478.196143186</c:v>
                </c:pt>
                <c:pt idx="504">
                  <c:v>1122018.4543019643</c:v>
                </c:pt>
                <c:pt idx="505">
                  <c:v>1148153.6214968837</c:v>
                </c:pt>
                <c:pt idx="506">
                  <c:v>1174897.5549395324</c:v>
                </c:pt>
                <c:pt idx="507">
                  <c:v>1202264.4346174158</c:v>
                </c:pt>
                <c:pt idx="508">
                  <c:v>1230268.770812382</c:v>
                </c:pt>
                <c:pt idx="509">
                  <c:v>1258925.4117941677</c:v>
                </c:pt>
                <c:pt idx="510">
                  <c:v>1288249.5516931366</c:v>
                </c:pt>
                <c:pt idx="511">
                  <c:v>1318256.7385564097</c:v>
                </c:pt>
                <c:pt idx="512">
                  <c:v>1348962.8825916562</c:v>
                </c:pt>
                <c:pt idx="513">
                  <c:v>1380384.2646028849</c:v>
                </c:pt>
                <c:pt idx="514">
                  <c:v>1412537.5446227565</c:v>
                </c:pt>
                <c:pt idx="515">
                  <c:v>1445439.7707459298</c:v>
                </c:pt>
                <c:pt idx="516">
                  <c:v>1479108.3881682095</c:v>
                </c:pt>
                <c:pt idx="517">
                  <c:v>1513561.2484362102</c:v>
                </c:pt>
                <c:pt idx="518">
                  <c:v>1548816.6189124861</c:v>
                </c:pt>
                <c:pt idx="519">
                  <c:v>1584893.1924611153</c:v>
                </c:pt>
                <c:pt idx="520">
                  <c:v>1621810.0973589318</c:v>
                </c:pt>
                <c:pt idx="521">
                  <c:v>1659586.9074375622</c:v>
                </c:pt>
                <c:pt idx="522">
                  <c:v>1698243.6524617488</c:v>
                </c:pt>
                <c:pt idx="523">
                  <c:v>1737800.8287493798</c:v>
                </c:pt>
                <c:pt idx="524">
                  <c:v>1778279.4100389241</c:v>
                </c:pt>
                <c:pt idx="525">
                  <c:v>1819700.8586099846</c:v>
                </c:pt>
                <c:pt idx="526">
                  <c:v>1862087.1366628683</c:v>
                </c:pt>
                <c:pt idx="527">
                  <c:v>1905460.7179632513</c:v>
                </c:pt>
                <c:pt idx="528">
                  <c:v>1949844.5997580495</c:v>
                </c:pt>
                <c:pt idx="529">
                  <c:v>1995262.31496888</c:v>
                </c:pt>
                <c:pt idx="530">
                  <c:v>2041737.9446695296</c:v>
                </c:pt>
                <c:pt idx="531">
                  <c:v>2089296.1308540432</c:v>
                </c:pt>
                <c:pt idx="532">
                  <c:v>2137962.0895022359</c:v>
                </c:pt>
                <c:pt idx="533">
                  <c:v>2187761.6239495561</c:v>
                </c:pt>
                <c:pt idx="534">
                  <c:v>2238721.1385683389</c:v>
                </c:pt>
                <c:pt idx="535">
                  <c:v>2290867.6527677765</c:v>
                </c:pt>
                <c:pt idx="536">
                  <c:v>2344228.8153199251</c:v>
                </c:pt>
                <c:pt idx="537">
                  <c:v>2398832.9190194933</c:v>
                </c:pt>
                <c:pt idx="538">
                  <c:v>2454708.915685033</c:v>
                </c:pt>
                <c:pt idx="539">
                  <c:v>2511886.431509587</c:v>
                </c:pt>
                <c:pt idx="540">
                  <c:v>2570395.782768866</c:v>
                </c:pt>
                <c:pt idx="541">
                  <c:v>2630267.9918953842</c:v>
                </c:pt>
              </c:numCache>
            </c:numRef>
          </c:xVal>
          <c:yVal>
            <c:numRef>
              <c:f>Loop_Modeling!$AU$19:$AU$560</c:f>
              <c:numCache>
                <c:formatCode>General</c:formatCode>
                <c:ptCount val="542"/>
                <c:pt idx="0">
                  <c:v>25.769845554820787</c:v>
                </c:pt>
                <c:pt idx="1">
                  <c:v>25.685754066665744</c:v>
                </c:pt>
                <c:pt idx="2">
                  <c:v>25.613563317455771</c:v>
                </c:pt>
                <c:pt idx="3">
                  <c:v>25.553288585764452</c:v>
                </c:pt>
                <c:pt idx="4">
                  <c:v>25.504944836793868</c:v>
                </c:pt>
                <c:pt idx="5">
                  <c:v>25.468546865591144</c:v>
                </c:pt>
                <c:pt idx="6">
                  <c:v>25.444109422529134</c:v>
                </c:pt>
                <c:pt idx="7">
                  <c:v>25.431647320976914</c:v>
                </c:pt>
                <c:pt idx="8">
                  <c:v>25.431175527116508</c:v>
                </c:pt>
                <c:pt idx="9">
                  <c:v>25.442709231861325</c:v>
                </c:pt>
                <c:pt idx="10">
                  <c:v>25.46626390485806</c:v>
                </c:pt>
                <c:pt idx="11">
                  <c:v>25.501855330552697</c:v>
                </c:pt>
                <c:pt idx="12">
                  <c:v>25.549499626315317</c:v>
                </c:pt>
                <c:pt idx="13">
                  <c:v>25.609213242621006</c:v>
                </c:pt>
                <c:pt idx="14">
                  <c:v>25.681012945295791</c:v>
                </c:pt>
                <c:pt idx="15">
                  <c:v>25.764915779835402</c:v>
                </c:pt>
                <c:pt idx="16">
                  <c:v>25.860939017821863</c:v>
                </c:pt>
                <c:pt idx="17">
                  <c:v>25.969100085462653</c:v>
                </c:pt>
                <c:pt idx="18">
                  <c:v>26.08941647429689</c:v>
                </c:pt>
                <c:pt idx="19">
                  <c:v>26.221905634120489</c:v>
                </c:pt>
                <c:pt idx="20">
                  <c:v>26.366584848204614</c:v>
                </c:pt>
                <c:pt idx="21">
                  <c:v>26.523471090901939</c:v>
                </c:pt>
                <c:pt idx="22">
                  <c:v>26.692580867761578</c:v>
                </c:pt>
                <c:pt idx="23">
                  <c:v>26.873930038305687</c:v>
                </c:pt>
                <c:pt idx="24">
                  <c:v>27.06753362166015</c:v>
                </c:pt>
                <c:pt idx="25">
                  <c:v>27.273405585273455</c:v>
                </c:pt>
                <c:pt idx="26">
                  <c:v>27.491558617011073</c:v>
                </c:pt>
                <c:pt idx="27">
                  <c:v>27.722003880971407</c:v>
                </c:pt>
                <c:pt idx="28">
                  <c:v>27.964750757434064</c:v>
                </c:pt>
                <c:pt idx="29">
                  <c:v>28.219806567430666</c:v>
                </c:pt>
                <c:pt idx="30">
                  <c:v>28.487176282503427</c:v>
                </c:pt>
                <c:pt idx="31">
                  <c:v>28.766862220320412</c:v>
                </c:pt>
                <c:pt idx="32">
                  <c:v>29.05886372690485</c:v>
                </c:pt>
                <c:pt idx="33">
                  <c:v>29.363176846355792</c:v>
                </c:pt>
                <c:pt idx="34">
                  <c:v>29.679793979048188</c:v>
                </c:pt>
                <c:pt idx="35">
                  <c:v>30.008703529433422</c:v>
                </c:pt>
                <c:pt idx="36">
                  <c:v>30.34988954468821</c:v>
                </c:pt>
                <c:pt idx="37">
                  <c:v>30.703331345608404</c:v>
                </c:pt>
                <c:pt idx="38">
                  <c:v>31.069003151287163</c:v>
                </c:pt>
                <c:pt idx="39">
                  <c:v>31.446873699271254</c:v>
                </c:pt>
                <c:pt idx="40">
                  <c:v>31.836905863046045</c:v>
                </c:pt>
                <c:pt idx="41">
                  <c:v>32.239056268861205</c:v>
                </c:pt>
                <c:pt idx="42">
                  <c:v>32.653274914057725</c:v>
                </c:pt>
                <c:pt idx="43">
                  <c:v>33.079504789234711</c:v>
                </c:pt>
                <c:pt idx="44">
                  <c:v>33.51768150672644</c:v>
                </c:pt>
                <c:pt idx="45">
                  <c:v>33.967732938022181</c:v>
                </c:pt>
                <c:pt idx="46">
                  <c:v>34.429578862896058</c:v>
                </c:pt>
                <c:pt idx="47">
                  <c:v>34.903130633136378</c:v>
                </c:pt>
                <c:pt idx="48">
                  <c:v>35.388290853882872</c:v>
                </c:pt>
                <c:pt idx="49">
                  <c:v>35.884953085663497</c:v>
                </c:pt>
                <c:pt idx="50">
                  <c:v>36.393001570301529</c:v>
                </c:pt>
                <c:pt idx="51">
                  <c:v>36.912310983904021</c:v>
                </c:pt>
                <c:pt idx="52">
                  <c:v>37.442746220162036</c:v>
                </c:pt>
                <c:pt idx="53">
                  <c:v>37.984162207178713</c:v>
                </c:pt>
                <c:pt idx="54">
                  <c:v>38.536403760988691</c:v>
                </c:pt>
                <c:pt idx="55">
                  <c:v>39.099305478853232</c:v>
                </c:pt>
                <c:pt idx="56">
                  <c:v>39.672691675280099</c:v>
                </c:pt>
                <c:pt idx="57">
                  <c:v>40.256376363558147</c:v>
                </c:pt>
                <c:pt idx="58">
                  <c:v>40.85016328538093</c:v>
                </c:pt>
                <c:pt idx="59">
                  <c:v>41.453845990881987</c:v>
                </c:pt>
                <c:pt idx="60">
                  <c:v>42.06720797110782</c:v>
                </c:pt>
                <c:pt idx="61">
                  <c:v>42.690022844617317</c:v>
                </c:pt>
                <c:pt idx="62">
                  <c:v>43.322054599511901</c:v>
                </c:pt>
                <c:pt idx="63">
                  <c:v>43.963057891790491</c:v>
                </c:pt>
                <c:pt idx="64">
                  <c:v>44.61277840046413</c:v>
                </c:pt>
                <c:pt idx="65">
                  <c:v>45.270953239393265</c:v>
                </c:pt>
                <c:pt idx="66">
                  <c:v>45.937311425292322</c:v>
                </c:pt>
                <c:pt idx="67">
                  <c:v>46.611574400838585</c:v>
                </c:pt>
                <c:pt idx="68">
                  <c:v>47.293456611271687</c:v>
                </c:pt>
                <c:pt idx="69">
                  <c:v>47.982666132340768</c:v>
                </c:pt>
                <c:pt idx="70">
                  <c:v>48.678905346917865</c:v>
                </c:pt>
                <c:pt idx="71">
                  <c:v>49.381871667076425</c:v>
                </c:pt>
                <c:pt idx="72">
                  <c:v>50.091258297924902</c:v>
                </c:pt>
                <c:pt idx="73">
                  <c:v>50.806755039026854</c:v>
                </c:pt>
                <c:pt idx="74">
                  <c:v>51.528049118784594</c:v>
                </c:pt>
                <c:pt idx="75">
                  <c:v>52.254826056791558</c:v>
                </c:pt>
                <c:pt idx="76">
                  <c:v>52.986770548810185</c:v>
                </c:pt>
                <c:pt idx="77">
                  <c:v>53.723567368749961</c:v>
                </c:pt>
                <c:pt idx="78">
                  <c:v>54.464902281811412</c:v>
                </c:pt>
                <c:pt idx="79">
                  <c:v>55.210462962801813</c:v>
                </c:pt>
                <c:pt idx="80">
                  <c:v>55.959939913556802</c:v>
                </c:pt>
                <c:pt idx="81">
                  <c:v>56.71302737338462</c:v>
                </c:pt>
                <c:pt idx="82">
                  <c:v>57.469424216516998</c:v>
                </c:pt>
                <c:pt idx="83">
                  <c:v>58.228834830681429</c:v>
                </c:pt>
                <c:pt idx="84">
                  <c:v>58.990969971108157</c:v>
                </c:pt>
                <c:pt idx="85">
                  <c:v>59.755547584543251</c:v>
                </c:pt>
                <c:pt idx="86">
                  <c:v>60.522293598170272</c:v>
                </c:pt>
                <c:pt idx="87">
                  <c:v>61.29094266870127</c:v>
                </c:pt>
                <c:pt idx="88">
                  <c:v>62.061238887329218</c:v>
                </c:pt>
                <c:pt idx="89">
                  <c:v>62.832936436674039</c:v>
                </c:pt>
                <c:pt idx="90">
                  <c:v>63.605800196356881</c:v>
                </c:pt>
                <c:pt idx="91">
                  <c:v>64.379606294324489</c:v>
                </c:pt>
                <c:pt idx="92">
                  <c:v>65.154142601573412</c:v>
                </c:pt>
                <c:pt idx="93">
                  <c:v>65.929209168449589</c:v>
                </c:pt>
                <c:pt idx="94">
                  <c:v>66.704618601206022</c:v>
                </c:pt>
                <c:pt idx="95">
                  <c:v>67.48019637801832</c:v>
                </c:pt>
                <c:pt idx="96">
                  <c:v>68.255781104146337</c:v>
                </c:pt>
                <c:pt idx="97">
                  <c:v>69.031224706393346</c:v>
                </c:pt>
                <c:pt idx="98">
                  <c:v>69.806392567450374</c:v>
                </c:pt>
                <c:pt idx="99">
                  <c:v>70.581163601119286</c:v>
                </c:pt>
                <c:pt idx="100">
                  <c:v>71.355430269769826</c:v>
                </c:pt>
                <c:pt idx="101">
                  <c:v>72.129098545708928</c:v>
                </c:pt>
                <c:pt idx="102">
                  <c:v>72.902087818433415</c:v>
                </c:pt>
                <c:pt idx="103">
                  <c:v>73.67433074996039</c:v>
                </c:pt>
                <c:pt idx="104">
                  <c:v>74.445773080647086</c:v>
                </c:pt>
                <c:pt idx="105">
                  <c:v>75.216373388050229</c:v>
                </c:pt>
                <c:pt idx="106">
                  <c:v>75.986102801506163</c:v>
                </c:pt>
                <c:pt idx="107">
                  <c:v>76.754944675171998</c:v>
                </c:pt>
                <c:pt idx="108">
                  <c:v>77.522894222328858</c:v>
                </c:pt>
                <c:pt idx="109">
                  <c:v>78.289958113737342</c:v>
                </c:pt>
                <c:pt idx="110">
                  <c:v>79.05615404282689</c:v>
                </c:pt>
                <c:pt idx="111">
                  <c:v>79.821510260443674</c:v>
                </c:pt>
                <c:pt idx="112">
                  <c:v>80.58606508181424</c:v>
                </c:pt>
                <c:pt idx="113">
                  <c:v>81.349866368291259</c:v>
                </c:pt>
                <c:pt idx="114">
                  <c:v>82.112970986336279</c:v>
                </c:pt>
                <c:pt idx="115">
                  <c:v>82.87544424608609</c:v>
                </c:pt>
                <c:pt idx="116">
                  <c:v>83.637359321713475</c:v>
                </c:pt>
                <c:pt idx="117">
                  <c:v>84.398796655665549</c:v>
                </c:pt>
                <c:pt idx="118">
                  <c:v>85.159843348731883</c:v>
                </c:pt>
                <c:pt idx="119">
                  <c:v>85.920592537752739</c:v>
                </c:pt>
                <c:pt idx="120">
                  <c:v>86.681142762666454</c:v>
                </c:pt>
                <c:pt idx="121">
                  <c:v>87.441597324452815</c:v>
                </c:pt>
                <c:pt idx="122">
                  <c:v>88.202063635429511</c:v>
                </c:pt>
                <c:pt idx="123">
                  <c:v>88.962652563254636</c:v>
                </c:pt>
                <c:pt idx="124">
                  <c:v>89.723477769886472</c:v>
                </c:pt>
                <c:pt idx="125">
                  <c:v>90.484655046691216</c:v>
                </c:pt>
                <c:pt idx="126">
                  <c:v>91.246301646814302</c:v>
                </c:pt>
                <c:pt idx="127">
                  <c:v>92.008535615889244</c:v>
                </c:pt>
                <c:pt idx="128">
                  <c:v>92.771475122127882</c:v>
                </c:pt>
                <c:pt idx="129">
                  <c:v>93.535237786828333</c:v>
                </c:pt>
                <c:pt idx="130">
                  <c:v>94.299940016328023</c:v>
                </c:pt>
                <c:pt idx="131">
                  <c:v>95.065696336468037</c:v>
                </c:pt>
                <c:pt idx="132">
                  <c:v>95.832618730657245</c:v>
                </c:pt>
                <c:pt idx="133">
                  <c:v>96.600815982692509</c:v>
                </c:pt>
                <c:pt idx="134">
                  <c:v>97.370393025550712</c:v>
                </c:pt>
                <c:pt idx="135">
                  <c:v>98.141450297460452</c:v>
                </c:pt>
                <c:pt idx="136">
                  <c:v>98.914083106654004</c:v>
                </c:pt>
                <c:pt idx="137">
                  <c:v>99.688381006310166</c:v>
                </c:pt>
                <c:pt idx="138">
                  <c:v>100.46442718131556</c:v>
                </c:pt>
                <c:pt idx="139">
                  <c:v>101.242297848606</c:v>
                </c:pt>
                <c:pt idx="140">
                  <c:v>102.0220616729609</c:v>
                </c:pt>
                <c:pt idx="141">
                  <c:v>102.803779200284</c:v>
                </c:pt>
                <c:pt idx="142">
                  <c:v>103.58750231051245</c:v>
                </c:pt>
                <c:pt idx="143">
                  <c:v>104.37327369243765</c:v>
                </c:pt>
                <c:pt idx="144">
                  <c:v>105.16112634284548</c:v>
                </c:pt>
                <c:pt idx="145">
                  <c:v>105.95108309248867</c:v>
                </c:pt>
                <c:pt idx="146">
                  <c:v>106.74315616150852</c:v>
                </c:pt>
                <c:pt idx="147">
                  <c:v>107.5373467470024</c:v>
                </c:pt>
                <c:pt idx="148">
                  <c:v>108.33364464549562</c:v>
                </c:pt>
                <c:pt idx="149">
                  <c:v>109.13202791310685</c:v>
                </c:pt>
                <c:pt idx="150">
                  <c:v>109.93246256621329</c:v>
                </c:pt>
                <c:pt idx="151">
                  <c:v>110.7349023253858</c:v>
                </c:pt>
                <c:pt idx="152">
                  <c:v>111.53928840531373</c:v>
                </c:pt>
                <c:pt idx="153">
                  <c:v>112.3455493533438</c:v>
                </c:pt>
                <c:pt idx="154">
                  <c:v>113.15360093910948</c:v>
                </c:pt>
                <c:pt idx="155">
                  <c:v>113.96334609756875</c:v>
                </c:pt>
                <c:pt idx="156">
                  <c:v>114.77467492753217</c:v>
                </c:pt>
                <c:pt idx="157">
                  <c:v>115.58746474751003</c:v>
                </c:pt>
                <c:pt idx="158">
                  <c:v>116.40158021040135</c:v>
                </c:pt>
                <c:pt idx="159">
                  <c:v>117.21687347819483</c:v>
                </c:pt>
                <c:pt idx="160">
                  <c:v>118.03318445748356</c:v>
                </c:pt>
                <c:pt idx="161">
                  <c:v>118.85034109615289</c:v>
                </c:pt>
                <c:pt idx="162">
                  <c:v>119.66815974116876</c:v>
                </c:pt>
                <c:pt idx="163">
                  <c:v>120.48644555690525</c:v>
                </c:pt>
                <c:pt idx="164">
                  <c:v>121.30499300294886</c:v>
                </c:pt>
                <c:pt idx="165">
                  <c:v>122.12358636980774</c:v>
                </c:pt>
                <c:pt idx="166">
                  <c:v>122.94200037042989</c:v>
                </c:pt>
                <c:pt idx="167">
                  <c:v>123.76000078491131</c:v>
                </c:pt>
                <c:pt idx="168">
                  <c:v>124.57734515526604</c:v>
                </c:pt>
                <c:pt idx="169">
                  <c:v>125.39378352663188</c:v>
                </c:pt>
                <c:pt idx="170">
                  <c:v>126.2090592308132</c:v>
                </c:pt>
                <c:pt idx="171">
                  <c:v>127.0229097076284</c:v>
                </c:pt>
                <c:pt idx="172">
                  <c:v>127.83506735913561</c:v>
                </c:pt>
                <c:pt idx="173">
                  <c:v>128.64526043145585</c:v>
                </c:pt>
                <c:pt idx="174">
                  <c:v>129.45321391862967</c:v>
                </c:pt>
                <c:pt idx="175">
                  <c:v>130.25865048270714</c:v>
                </c:pt>
                <c:pt idx="176">
                  <c:v>131.06129138410776</c:v>
                </c:pt>
                <c:pt idx="177">
                  <c:v>131.86085741619161</c:v>
                </c:pt>
                <c:pt idx="178">
                  <c:v>132.65706983795326</c:v>
                </c:pt>
                <c:pt idx="179">
                  <c:v>133.44965129879421</c:v>
                </c:pt>
                <c:pt idx="180">
                  <c:v>134.23832674945677</c:v>
                </c:pt>
                <c:pt idx="181">
                  <c:v>135.02282433336975</c:v>
                </c:pt>
                <c:pt idx="182">
                  <c:v>135.8028762529211</c:v>
                </c:pt>
                <c:pt idx="183">
                  <c:v>136.57821960546957</c:v>
                </c:pt>
                <c:pt idx="184">
                  <c:v>137.34859718428712</c:v>
                </c:pt>
                <c:pt idx="185">
                  <c:v>138.11375824002008</c:v>
                </c:pt>
                <c:pt idx="186">
                  <c:v>138.87345919872791</c:v>
                </c:pt>
                <c:pt idx="187">
                  <c:v>139.62746433303298</c:v>
                </c:pt>
                <c:pt idx="188">
                  <c:v>140.37554638343317</c:v>
                </c:pt>
                <c:pt idx="189">
                  <c:v>141.11748712735738</c:v>
                </c:pt>
                <c:pt idx="190">
                  <c:v>141.85307789407949</c:v>
                </c:pt>
                <c:pt idx="191">
                  <c:v>142.58212002413956</c:v>
                </c:pt>
                <c:pt idx="192">
                  <c:v>143.30442527245597</c:v>
                </c:pt>
                <c:pt idx="193">
                  <c:v>144.01981615482461</c:v>
                </c:pt>
                <c:pt idx="194">
                  <c:v>144.72812623798362</c:v>
                </c:pt>
                <c:pt idx="195">
                  <c:v>145.42920037390235</c:v>
                </c:pt>
                <c:pt idx="196">
                  <c:v>146.12289487937122</c:v>
                </c:pt>
                <c:pt idx="197">
                  <c:v>146.8090776623759</c:v>
                </c:pt>
                <c:pt idx="198">
                  <c:v>147.4876282970861</c:v>
                </c:pt>
                <c:pt idx="199">
                  <c:v>148.15843804961369</c:v>
                </c:pt>
                <c:pt idx="200">
                  <c:v>148.82140985695727</c:v>
                </c:pt>
                <c:pt idx="201">
                  <c:v>149.47645826178572</c:v>
                </c:pt>
                <c:pt idx="202">
                  <c:v>150.1235093058956</c:v>
                </c:pt>
                <c:pt idx="203">
                  <c:v>150.76250038531856</c:v>
                </c:pt>
                <c:pt idx="204">
                  <c:v>151.39338007015698</c:v>
                </c:pt>
                <c:pt idx="205">
                  <c:v>152.01610789229386</c:v>
                </c:pt>
                <c:pt idx="206">
                  <c:v>152.63065410414274</c:v>
                </c:pt>
                <c:pt idx="207">
                  <c:v>153.23699941160012</c:v>
                </c:pt>
                <c:pt idx="208">
                  <c:v>153.83513468432983</c:v>
                </c:pt>
                <c:pt idx="209">
                  <c:v>154.4250606464386</c:v>
                </c:pt>
                <c:pt idx="210">
                  <c:v>155.00678755051609</c:v>
                </c:pt>
                <c:pt idx="211">
                  <c:v>155.58033483791178</c:v>
                </c:pt>
                <c:pt idx="212">
                  <c:v>156.14573078798301</c:v>
                </c:pt>
                <c:pt idx="213">
                  <c:v>156.703012158923</c:v>
                </c:pt>
                <c:pt idx="214">
                  <c:v>157.25222382261737</c:v>
                </c:pt>
                <c:pt idx="215">
                  <c:v>157.79341839582739</c:v>
                </c:pt>
                <c:pt idx="216">
                  <c:v>158.32665586982941</c:v>
                </c:pt>
                <c:pt idx="217">
                  <c:v>158.85200324047588</c:v>
                </c:pt>
                <c:pt idx="218">
                  <c:v>159.36953414047909</c:v>
                </c:pt>
                <c:pt idx="219">
                  <c:v>159.87932847554526</c:v>
                </c:pt>
                <c:pt idx="220">
                  <c:v>160.38147206583227</c:v>
                </c:pt>
                <c:pt idx="221">
                  <c:v>160.87605629403993</c:v>
                </c:pt>
                <c:pt idx="222">
                  <c:v>161.36317776128769</c:v>
                </c:pt>
                <c:pt idx="223">
                  <c:v>161.84293795179289</c:v>
                </c:pt>
                <c:pt idx="224">
                  <c:v>162.31544290721507</c:v>
                </c:pt>
                <c:pt idx="225">
                  <c:v>162.78080291140839</c:v>
                </c:pt>
                <c:pt idx="226">
                  <c:v>163.23913218619273</c:v>
                </c:pt>
                <c:pt idx="227">
                  <c:v>163.69054859864306</c:v>
                </c:pt>
                <c:pt idx="228">
                  <c:v>164.13517338028961</c:v>
                </c:pt>
                <c:pt idx="229">
                  <c:v>164.57313085852189</c:v>
                </c:pt>
                <c:pt idx="230">
                  <c:v>165.00454820040105</c:v>
                </c:pt>
                <c:pt idx="231">
                  <c:v>165.4295551690046</c:v>
                </c:pt>
                <c:pt idx="232">
                  <c:v>165.84828389235264</c:v>
                </c:pt>
                <c:pt idx="233">
                  <c:v>166.26086864490327</c:v>
                </c:pt>
                <c:pt idx="234">
                  <c:v>166.66744564154146</c:v>
                </c:pt>
                <c:pt idx="235">
                  <c:v>167.06815284394335</c:v>
                </c:pt>
                <c:pt idx="236">
                  <c:v>167.46312977914621</c:v>
                </c:pt>
                <c:pt idx="237">
                  <c:v>167.85251737012098</c:v>
                </c:pt>
                <c:pt idx="238">
                  <c:v>168.23645777811379</c:v>
                </c:pt>
                <c:pt idx="239">
                  <c:v>168.6150942564943</c:v>
                </c:pt>
                <c:pt idx="240">
                  <c:v>168.98857101582624</c:v>
                </c:pt>
                <c:pt idx="241">
                  <c:v>169.35703309986633</c:v>
                </c:pt>
                <c:pt idx="242">
                  <c:v>169.72062627217508</c:v>
                </c:pt>
                <c:pt idx="243">
                  <c:v>170.07949691302304</c:v>
                </c:pt>
                <c:pt idx="244">
                  <c:v>170.43379192626719</c:v>
                </c:pt>
                <c:pt idx="245">
                  <c:v>170.78365865587108</c:v>
                </c:pt>
                <c:pt idx="246">
                  <c:v>171.12924481174323</c:v>
                </c:pt>
                <c:pt idx="247">
                  <c:v>171.47069840457041</c:v>
                </c:pt>
                <c:pt idx="248">
                  <c:v>171.80816768933209</c:v>
                </c:pt>
                <c:pt idx="249">
                  <c:v>172.14180111718437</c:v>
                </c:pt>
                <c:pt idx="250">
                  <c:v>172.47174729541501</c:v>
                </c:pt>
                <c:pt idx="251">
                  <c:v>172.79815495518042</c:v>
                </c:pt>
                <c:pt idx="252">
                  <c:v>173.12117292674824</c:v>
                </c:pt>
                <c:pt idx="253">
                  <c:v>173.44095012198085</c:v>
                </c:pt>
                <c:pt idx="254">
                  <c:v>173.75763552381119</c:v>
                </c:pt>
                <c:pt idx="255">
                  <c:v>174.07137818247713</c:v>
                </c:pt>
                <c:pt idx="256">
                  <c:v>174.38232721829388</c:v>
                </c:pt>
                <c:pt idx="257">
                  <c:v>174.69063183076395</c:v>
                </c:pt>
                <c:pt idx="258">
                  <c:v>174.99644131383926</c:v>
                </c:pt>
                <c:pt idx="259">
                  <c:v>175.29990507716559</c:v>
                </c:pt>
                <c:pt idx="260">
                  <c:v>175.6011726731621</c:v>
                </c:pt>
                <c:pt idx="261">
                  <c:v>175.90039382980092</c:v>
                </c:pt>
                <c:pt idx="262">
                  <c:v>176.19771848897466</c:v>
                </c:pt>
                <c:pt idx="263">
                  <c:v>176.49329685035684</c:v>
                </c:pt>
                <c:pt idx="264">
                  <c:v>176.78727942067823</c:v>
                </c:pt>
                <c:pt idx="265">
                  <c:v>177.0798170683625</c:v>
                </c:pt>
                <c:pt idx="266">
                  <c:v>177.37106108348337</c:v>
                </c:pt>
                <c:pt idx="267">
                  <c:v>177.66116324302519</c:v>
                </c:pt>
                <c:pt idx="268">
                  <c:v>177.95027588144865</c:v>
                </c:pt>
                <c:pt idx="269">
                  <c:v>178.23855196658283</c:v>
                </c:pt>
                <c:pt idx="270">
                  <c:v>178.52614518088677</c:v>
                </c:pt>
                <c:pt idx="271">
                  <c:v>178.8132100081412</c:v>
                </c:pt>
                <c:pt idx="272">
                  <c:v>179.09990182565565</c:v>
                </c:pt>
                <c:pt idx="273">
                  <c:v>179.38637700209404</c:v>
                </c:pt>
                <c:pt idx="274">
                  <c:v>179.67279300104536</c:v>
                </c:pt>
                <c:pt idx="275">
                  <c:v>179.95930849048653</c:v>
                </c:pt>
                <c:pt idx="276">
                  <c:v>-179.75391654169223</c:v>
                </c:pt>
                <c:pt idx="277">
                  <c:v>-179.46672066590816</c:v>
                </c:pt>
                <c:pt idx="278">
                  <c:v>-179.17894088263657</c:v>
                </c:pt>
                <c:pt idx="279">
                  <c:v>-178.89041248745559</c:v>
                </c:pt>
                <c:pt idx="280">
                  <c:v>-178.60096892911946</c:v>
                </c:pt>
                <c:pt idx="281">
                  <c:v>-178.31044166037924</c:v>
                </c:pt>
                <c:pt idx="282">
                  <c:v>-178.01865998123739</c:v>
                </c:pt>
                <c:pt idx="283">
                  <c:v>-177.72545087430458</c:v>
                </c:pt>
                <c:pt idx="284">
                  <c:v>-177.43063883189831</c:v>
                </c:pt>
                <c:pt idx="285">
                  <c:v>-177.13404567450033</c:v>
                </c:pt>
                <c:pt idx="286">
                  <c:v>-176.83549036016453</c:v>
                </c:pt>
                <c:pt idx="287">
                  <c:v>-176.53478878444159</c:v>
                </c:pt>
                <c:pt idx="288">
                  <c:v>-176.23175357036351</c:v>
                </c:pt>
                <c:pt idx="289">
                  <c:v>-175.92619384800614</c:v>
                </c:pt>
                <c:pt idx="290">
                  <c:v>-175.61791502312545</c:v>
                </c:pt>
                <c:pt idx="291">
                  <c:v>-175.3067185343414</c:v>
                </c:pt>
                <c:pt idx="292">
                  <c:v>-174.99240159832081</c:v>
                </c:pt>
                <c:pt idx="293">
                  <c:v>-174.67475694239604</c:v>
                </c:pt>
                <c:pt idx="294">
                  <c:v>-174.35357252403463</c:v>
                </c:pt>
                <c:pt idx="295">
                  <c:v>-174.02863123656738</c:v>
                </c:pt>
                <c:pt idx="296">
                  <c:v>-173.69971060056903</c:v>
                </c:pt>
                <c:pt idx="297">
                  <c:v>-173.36658244028328</c:v>
                </c:pt>
                <c:pt idx="298">
                  <c:v>-173.02901254448483</c:v>
                </c:pt>
                <c:pt idx="299">
                  <c:v>-172.68676031118025</c:v>
                </c:pt>
                <c:pt idx="300">
                  <c:v>-172.33957837556383</c:v>
                </c:pt>
                <c:pt idx="301">
                  <c:v>-171.98721222067667</c:v>
                </c:pt>
                <c:pt idx="302">
                  <c:v>-171.6293997702503</c:v>
                </c:pt>
                <c:pt idx="303">
                  <c:v>-171.26587096327455</c:v>
                </c:pt>
                <c:pt idx="304">
                  <c:v>-170.8963473099015</c:v>
                </c:pt>
                <c:pt idx="305">
                  <c:v>-170.5205414283802</c:v>
                </c:pt>
                <c:pt idx="306">
                  <c:v>-170.13815656284265</c:v>
                </c:pt>
                <c:pt idx="307">
                  <c:v>-169.74888608189582</c:v>
                </c:pt>
                <c:pt idx="308">
                  <c:v>-169.35241295815294</c:v>
                </c:pt>
                <c:pt idx="309">
                  <c:v>-168.94840922904962</c:v>
                </c:pt>
                <c:pt idx="310">
                  <c:v>-168.53653543954675</c:v>
                </c:pt>
                <c:pt idx="311">
                  <c:v>-168.11644006762992</c:v>
                </c:pt>
                <c:pt idx="312">
                  <c:v>-167.6877589338813</c:v>
                </c:pt>
                <c:pt idx="313">
                  <c:v>-167.25011459683569</c:v>
                </c:pt>
                <c:pt idx="314">
                  <c:v>-166.80311573634248</c:v>
                </c:pt>
                <c:pt idx="315">
                  <c:v>-166.34635652776078</c:v>
                </c:pt>
                <c:pt idx="316">
                  <c:v>-165.87941601051332</c:v>
                </c:pt>
                <c:pt idx="317">
                  <c:v>-165.40185745535621</c:v>
                </c:pt>
                <c:pt idx="318">
                  <c:v>-164.91322773566202</c:v>
                </c:pt>
                <c:pt idx="319">
                  <c:v>-164.41305670912857</c:v>
                </c:pt>
                <c:pt idx="320">
                  <c:v>-163.90085661759178</c:v>
                </c:pt>
                <c:pt idx="321">
                  <c:v>-163.37612151408553</c:v>
                </c:pt>
                <c:pt idx="322">
                  <c:v>-162.8383267279624</c:v>
                </c:pt>
                <c:pt idx="323">
                  <c:v>-162.28692838080073</c:v>
                </c:pt>
                <c:pt idx="324">
                  <c:v>-161.72136296798072</c:v>
                </c:pt>
                <c:pt idx="325">
                  <c:v>-161.14104702327199</c:v>
                </c:pt>
                <c:pt idx="326">
                  <c:v>-160.54537688651104</c:v>
                </c:pt>
                <c:pt idx="327">
                  <c:v>-159.93372859753495</c:v>
                </c:pt>
                <c:pt idx="328">
                  <c:v>-159.30545794295028</c:v>
                </c:pt>
                <c:pt idx="329">
                  <c:v>-158.65990068608528</c:v>
                </c:pt>
                <c:pt idx="330">
                  <c:v>-157.99637301461107</c:v>
                </c:pt>
                <c:pt idx="331">
                  <c:v>-157.31417224477278</c:v>
                </c:pt>
                <c:pt idx="332">
                  <c:v>-156.61257782598625</c:v>
                </c:pt>
                <c:pt idx="333">
                  <c:v>-155.89085269460196</c:v>
                </c:pt>
                <c:pt idx="334">
                  <c:v>-155.1482450309199</c:v>
                </c:pt>
                <c:pt idx="335">
                  <c:v>-154.38399047887796</c:v>
                </c:pt>
                <c:pt idx="336">
                  <c:v>-153.59731489312995</c:v>
                </c:pt>
                <c:pt idx="337">
                  <c:v>-152.7874376832269</c:v>
                </c:pt>
                <c:pt idx="338">
                  <c:v>-151.95357582909023</c:v>
                </c:pt>
                <c:pt idx="339">
                  <c:v>-151.09494864552391</c:v>
                </c:pt>
                <c:pt idx="340">
                  <c:v>-150.21078337576427</c:v>
                </c:pt>
                <c:pt idx="341">
                  <c:v>-149.30032169445792</c:v>
                </c:pt>
                <c:pt idx="342">
                  <c:v>-148.36282719840264</c:v>
                </c:pt>
                <c:pt idx="343">
                  <c:v>-147.39759395810478</c:v>
                </c:pt>
                <c:pt idx="344">
                  <c:v>-146.40395619395971</c:v>
                </c:pt>
                <c:pt idx="345">
                  <c:v>-145.38129912669922</c:v>
                </c:pt>
                <c:pt idx="346">
                  <c:v>-144.32907103177337</c:v>
                </c:pt>
                <c:pt idx="347">
                  <c:v>-143.24679650063268</c:v>
                </c:pt>
                <c:pt idx="348">
                  <c:v>-142.13409087758387</c:v>
                </c:pt>
                <c:pt idx="349">
                  <c:v>-140.99067579840491</c:v>
                </c:pt>
                <c:pt idx="350">
                  <c:v>-139.81639570582846</c:v>
                </c:pt>
                <c:pt idx="351">
                  <c:v>-138.61123515748591</c:v>
                </c:pt>
                <c:pt idx="352">
                  <c:v>-137.37533667465942</c:v>
                </c:pt>
                <c:pt idx="353">
                  <c:v>-136.1090188067609</c:v>
                </c:pt>
                <c:pt idx="354">
                  <c:v>-134.81279400929287</c:v>
                </c:pt>
                <c:pt idx="355">
                  <c:v>-133.48738585576706</c:v>
                </c:pt>
                <c:pt idx="356">
                  <c:v>-132.13374503123799</c:v>
                </c:pt>
                <c:pt idx="357">
                  <c:v>-130.75306349260475</c:v>
                </c:pt>
                <c:pt idx="358">
                  <c:v>-129.34678613508677</c:v>
                </c:pt>
                <c:pt idx="359">
                  <c:v>-127.91661928244206</c:v>
                </c:pt>
                <c:pt idx="360">
                  <c:v>-126.46453532740617</c:v>
                </c:pt>
                <c:pt idx="361">
                  <c:v>-124.99277289461256</c:v>
                </c:pt>
                <c:pt idx="362">
                  <c:v>-123.50383198520443</c:v>
                </c:pt>
                <c:pt idx="363">
                  <c:v>-122.00046369227222</c:v>
                </c:pt>
                <c:pt idx="364">
                  <c:v>-120.48565424743026</c:v>
                </c:pt>
                <c:pt idx="365">
                  <c:v>-118.96260336574184</c:v>
                </c:pt>
                <c:pt idx="366">
                  <c:v>-117.43469708904534</c:v>
                </c:pt>
                <c:pt idx="367">
                  <c:v>-115.90547557318327</c:v>
                </c:pt>
                <c:pt idx="368">
                  <c:v>-114.37859650628022</c:v>
                </c:pt>
                <c:pt idx="369">
                  <c:v>-112.85779506550679</c:v>
                </c:pt>
                <c:pt idx="370">
                  <c:v>-111.34684150123972</c:v>
                </c:pt>
                <c:pt idx="371">
                  <c:v>-109.84949756527806</c:v>
                </c:pt>
                <c:pt idx="372">
                  <c:v>-108.3694730627888</c:v>
                </c:pt>
                <c:pt idx="373">
                  <c:v>-106.91038380049577</c:v>
                </c:pt>
                <c:pt idx="374">
                  <c:v>-105.4757121268841</c:v>
                </c:pt>
                <c:pt idx="375">
                  <c:v>-104.068771120607</c:v>
                </c:pt>
                <c:pt idx="376">
                  <c:v>-102.69267329272499</c:v>
                </c:pt>
                <c:pt idx="377">
                  <c:v>-101.35030444254772</c:v>
                </c:pt>
                <c:pt idx="378">
                  <c:v>-100.04430306322246</c:v>
                </c:pt>
                <c:pt idx="379">
                  <c:v>-98.777045449376132</c:v>
                </c:pt>
                <c:pt idx="380">
                  <c:v>-97.550636430867229</c:v>
                </c:pt>
                <c:pt idx="381">
                  <c:v>-96.366905456734472</c:v>
                </c:pt>
                <c:pt idx="382">
                  <c:v>-95.227407590645612</c:v>
                </c:pt>
                <c:pt idx="383">
                  <c:v>-94.133428858281263</c:v>
                </c:pt>
                <c:pt idx="384">
                  <c:v>-93.085995309033862</c:v>
                </c:pt>
                <c:pt idx="385">
                  <c:v>-92.085885116827967</c:v>
                </c:pt>
                <c:pt idx="386">
                  <c:v>-91.133643042961566</c:v>
                </c:pt>
                <c:pt idx="387">
                  <c:v>-90.22959661135674</c:v>
                </c:pt>
                <c:pt idx="388">
                  <c:v>-89.373873396451614</c:v>
                </c:pt>
                <c:pt idx="389">
                  <c:v>-88.566418889189308</c:v>
                </c:pt>
                <c:pt idx="390">
                  <c:v>-87.807014480769908</c:v>
                </c:pt>
                <c:pt idx="391">
                  <c:v>-87.095295181426408</c:v>
                </c:pt>
                <c:pt idx="392">
                  <c:v>-86.43076676809234</c:v>
                </c:pt>
                <c:pt idx="393">
                  <c:v>-85.812822127083805</c:v>
                </c:pt>
                <c:pt idx="394">
                  <c:v>-85.24075662354285</c:v>
                </c:pt>
                <c:pt idx="395">
                  <c:v>-84.713782387026015</c:v>
                </c:pt>
                <c:pt idx="396">
                  <c:v>-84.231041451729268</c:v>
                </c:pt>
                <c:pt idx="397">
                  <c:v>-83.791617730327516</c:v>
                </c:pt>
                <c:pt idx="398">
                  <c:v>-83.394547832780916</c:v>
                </c:pt>
                <c:pt idx="399">
                  <c:v>-83.038830766349761</c:v>
                </c:pt>
                <c:pt idx="400">
                  <c:v>-82.723436571394345</c:v>
                </c:pt>
                <c:pt idx="401">
                  <c:v>-82.447313960146076</c:v>
                </c:pt>
                <c:pt idx="402">
                  <c:v>-82.209397033581723</c:v>
                </c:pt>
                <c:pt idx="403">
                  <c:v>-82.008611155548635</c:v>
                </c:pt>
                <c:pt idx="404">
                  <c:v>-81.843878064291857</c:v>
                </c:pt>
                <c:pt idx="405">
                  <c:v>-81.714120300163003</c:v>
                </c:pt>
                <c:pt idx="406">
                  <c:v>-81.61826502518386</c:v>
                </c:pt>
                <c:pt idx="407">
                  <c:v>-81.555247305800961</c:v>
                </c:pt>
                <c:pt idx="408">
                  <c:v>-81.524012925007128</c:v>
                </c:pt>
                <c:pt idx="409">
                  <c:v>-81.52352078439587</c:v>
                </c:pt>
                <c:pt idx="410">
                  <c:v>-81.552744950868373</c:v>
                </c:pt>
                <c:pt idx="411">
                  <c:v>-81.610676396882269</c:v>
                </c:pt>
                <c:pt idx="412">
                  <c:v>-81.6963244774591</c:v>
                </c:pt>
                <c:pt idx="413">
                  <c:v>-81.808718181724458</c:v>
                </c:pt>
                <c:pt idx="414">
                  <c:v>-81.946907191677511</c:v>
                </c:pt>
                <c:pt idx="415">
                  <c:v>-82.109962776192987</c:v>
                </c:pt>
                <c:pt idx="416">
                  <c:v>-82.296978543953074</c:v>
                </c:pt>
                <c:pt idx="417">
                  <c:v>-82.507071075156446</c:v>
                </c:pt>
                <c:pt idx="418">
                  <c:v>-82.739380448402116</c:v>
                </c:pt>
                <c:pt idx="419">
                  <c:v>-82.993070676110847</c:v>
                </c:pt>
                <c:pt idx="420">
                  <c:v>-83.2673300592174</c:v>
                </c:pt>
                <c:pt idx="421">
                  <c:v>-83.561371469588124</c:v>
                </c:pt>
                <c:pt idx="422">
                  <c:v>-83.87443256669934</c:v>
                </c:pt>
                <c:pt idx="423">
                  <c:v>-84.205775953513339</c:v>
                </c:pt>
                <c:pt idx="424">
                  <c:v>-84.554689275156321</c:v>
                </c:pt>
                <c:pt idx="425">
                  <c:v>-84.920485262967219</c:v>
                </c:pt>
                <c:pt idx="426">
                  <c:v>-85.302501725645655</c:v>
                </c:pt>
                <c:pt idx="427">
                  <c:v>-85.700101488619637</c:v>
                </c:pt>
                <c:pt idx="428">
                  <c:v>-86.112672282312488</c:v>
                </c:pt>
                <c:pt idx="429">
                  <c:v>-86.53962657969663</c:v>
                </c:pt>
                <c:pt idx="430">
                  <c:v>-86.980401383365688</c:v>
                </c:pt>
                <c:pt idx="431">
                  <c:v>-87.434457962314184</c:v>
                </c:pt>
                <c:pt idx="432">
                  <c:v>-87.901281538635047</c:v>
                </c:pt>
                <c:pt idx="433">
                  <c:v>-88.380380924467815</c:v>
                </c:pt>
                <c:pt idx="434">
                  <c:v>-88.87128810967927</c:v>
                </c:pt>
                <c:pt idx="435">
                  <c:v>-89.373557800949243</c:v>
                </c:pt>
                <c:pt idx="436">
                  <c:v>-89.886766913168344</c:v>
                </c:pt>
                <c:pt idx="437">
                  <c:v>-90.410514014274199</c:v>
                </c:pt>
                <c:pt idx="438">
                  <c:v>-90.944418724900331</c:v>
                </c:pt>
                <c:pt idx="439">
                  <c:v>-91.488121074441594</c:v>
                </c:pt>
                <c:pt idx="440">
                  <c:v>-92.041280815372843</c:v>
                </c:pt>
                <c:pt idx="441">
                  <c:v>-92.603576697860603</c:v>
                </c:pt>
                <c:pt idx="442">
                  <c:v>-93.174705706918346</c:v>
                </c:pt>
                <c:pt idx="443">
                  <c:v>-93.754382264513083</c:v>
                </c:pt>
                <c:pt idx="444">
                  <c:v>-94.342337399210791</c:v>
                </c:pt>
                <c:pt idx="445">
                  <c:v>-94.938317886067949</c:v>
                </c:pt>
                <c:pt idx="446">
                  <c:v>-95.542085359601202</c:v>
                </c:pt>
                <c:pt idx="447">
                  <c:v>-96.153415402769369</c:v>
                </c:pt>
                <c:pt idx="448">
                  <c:v>-96.772096614976135</c:v>
                </c:pt>
                <c:pt idx="449">
                  <c:v>-97.397929662183444</c:v>
                </c:pt>
                <c:pt idx="450">
                  <c:v>-98.030726312265102</c:v>
                </c:pt>
                <c:pt idx="451">
                  <c:v>-98.67030845879016</c:v>
                </c:pt>
                <c:pt idx="452">
                  <c:v>-99.316507136448806</c:v>
                </c:pt>
                <c:pt idx="453">
                  <c:v>-99.96916153137883</c:v>
                </c:pt>
                <c:pt idx="454">
                  <c:v>-100.62811798966341</c:v>
                </c:pt>
                <c:pt idx="455">
                  <c:v>-101.29322902730125</c:v>
                </c:pt>
                <c:pt idx="456">
                  <c:v>-101.96435234496988</c:v>
                </c:pt>
                <c:pt idx="457">
                  <c:v>-102.64134985092745</c:v>
                </c:pt>
                <c:pt idx="458">
                  <c:v>-103.32408669540989</c:v>
                </c:pt>
                <c:pt idx="459">
                  <c:v>-104.01243031991018</c:v>
                </c:pt>
                <c:pt idx="460">
                  <c:v>-104.70624952473639</c:v>
                </c:pt>
                <c:pt idx="461">
                  <c:v>-105.40541355826711</c:v>
                </c:pt>
                <c:pt idx="462">
                  <c:v>-106.10979123133718</c:v>
                </c:pt>
                <c:pt idx="463">
                  <c:v>-106.81925006018322</c:v>
                </c:pt>
                <c:pt idx="464">
                  <c:v>-107.53365544139898</c:v>
                </c:pt>
                <c:pt idx="465">
                  <c:v>-108.25286986231883</c:v>
                </c:pt>
                <c:pt idx="466">
                  <c:v>-108.9767521502459</c:v>
                </c:pt>
                <c:pt idx="467">
                  <c:v>-109.70515676388494</c:v>
                </c:pt>
                <c:pt idx="468">
                  <c:v>-110.43793313029906</c:v>
                </c:pt>
                <c:pt idx="469">
                  <c:v>-111.17492503062023</c:v>
                </c:pt>
                <c:pt idx="470">
                  <c:v>-111.91597003764532</c:v>
                </c:pt>
                <c:pt idx="471">
                  <c:v>-112.66089900831369</c:v>
                </c:pt>
                <c:pt idx="472">
                  <c:v>-113.40953563390033</c:v>
                </c:pt>
                <c:pt idx="473">
                  <c:v>-114.16169605056689</c:v>
                </c:pt>
                <c:pt idx="474">
                  <c:v>-114.91718851267481</c:v>
                </c:pt>
                <c:pt idx="475">
                  <c:v>-115.67581313099917</c:v>
                </c:pt>
                <c:pt idx="476">
                  <c:v>-116.4373616776836</c:v>
                </c:pt>
                <c:pt idx="477">
                  <c:v>-117.20161745942194</c:v>
                </c:pt>
                <c:pt idx="478">
                  <c:v>-117.96835525999073</c:v>
                </c:pt>
                <c:pt idx="479">
                  <c:v>-118.73734135282507</c:v>
                </c:pt>
                <c:pt idx="480">
                  <c:v>-119.50833358390815</c:v>
                </c:pt>
                <c:pt idx="481">
                  <c:v>-120.28108152474987</c:v>
                </c:pt>
                <c:pt idx="482">
                  <c:v>-121.05532669475207</c:v>
                </c:pt>
                <c:pt idx="483">
                  <c:v>-121.83080285173281</c:v>
                </c:pt>
                <c:pt idx="484">
                  <c:v>-122.60723634886168</c:v>
                </c:pt>
                <c:pt idx="485">
                  <c:v>-123.38434655572243</c:v>
                </c:pt>
                <c:pt idx="486">
                  <c:v>-124.16184634068682</c:v>
                </c:pt>
                <c:pt idx="487">
                  <c:v>-124.93944261127493</c:v>
                </c:pt>
                <c:pt idx="488">
                  <c:v>-125.71683690865778</c:v>
                </c:pt>
                <c:pt idx="489">
                  <c:v>-126.49372605199758</c:v>
                </c:pt>
                <c:pt idx="490">
                  <c:v>-127.26980282786926</c:v>
                </c:pt>
                <c:pt idx="491">
                  <c:v>-128.04475671961129</c:v>
                </c:pt>
                <c:pt idx="492">
                  <c:v>-128.81827467109767</c:v>
                </c:pt>
                <c:pt idx="493">
                  <c:v>-129.59004187913672</c:v>
                </c:pt>
                <c:pt idx="494">
                  <c:v>-130.35974260845336</c:v>
                </c:pt>
                <c:pt idx="495">
                  <c:v>-131.12706102305927</c:v>
                </c:pt>
                <c:pt idx="496">
                  <c:v>-131.89168202769929</c:v>
                </c:pt>
                <c:pt idx="497">
                  <c:v>-132.65329211304319</c:v>
                </c:pt>
                <c:pt idx="498">
                  <c:v>-133.41158019833514</c:v>
                </c:pt>
                <c:pt idx="499">
                  <c:v>-134.1662384653163</c:v>
                </c:pt>
                <c:pt idx="500">
                  <c:v>-134.9169631774343</c:v>
                </c:pt>
                <c:pt idx="501">
                  <c:v>-135.66345547858708</c:v>
                </c:pt>
                <c:pt idx="502">
                  <c:v>-136.40542216596947</c:v>
                </c:pt>
                <c:pt idx="503">
                  <c:v>-137.1425764319518</c:v>
                </c:pt>
                <c:pt idx="504">
                  <c:v>-137.87463857033472</c:v>
                </c:pt>
                <c:pt idx="505">
                  <c:v>-138.6013366427816</c:v>
                </c:pt>
                <c:pt idx="506">
                  <c:v>-139.32240710172459</c:v>
                </c:pt>
                <c:pt idx="507">
                  <c:v>-140.03759536655019</c:v>
                </c:pt>
                <c:pt idx="508">
                  <c:v>-140.74665635041052</c:v>
                </c:pt>
                <c:pt idx="509">
                  <c:v>-141.44935493554993</c:v>
                </c:pt>
                <c:pt idx="510">
                  <c:v>-142.14546639557182</c:v>
                </c:pt>
                <c:pt idx="511">
                  <c:v>-142.83477676362133</c:v>
                </c:pt>
                <c:pt idx="512">
                  <c:v>-143.51708314596942</c:v>
                </c:pt>
                <c:pt idx="513">
                  <c:v>-144.19219398099591</c:v>
                </c:pt>
                <c:pt idx="514">
                  <c:v>-144.85992924403263</c:v>
                </c:pt>
                <c:pt idx="515">
                  <c:v>-145.52012059898507</c:v>
                </c:pt>
                <c:pt idx="516">
                  <c:v>-146.17261149804182</c:v>
                </c:pt>
                <c:pt idx="517">
                  <c:v>-146.81725723116267</c:v>
                </c:pt>
                <c:pt idx="518">
                  <c:v>-147.45392492735294</c:v>
                </c:pt>
                <c:pt idx="519">
                  <c:v>-148.08249351001677</c:v>
                </c:pt>
                <c:pt idx="520">
                  <c:v>-148.70285360892387</c:v>
                </c:pt>
                <c:pt idx="521">
                  <c:v>-149.31490743151591</c:v>
                </c:pt>
                <c:pt idx="522">
                  <c:v>-149.91856859643158</c:v>
                </c:pt>
                <c:pt idx="523">
                  <c:v>-150.51376193224368</c:v>
                </c:pt>
                <c:pt idx="524">
                  <c:v>-151.10042324447292</c:v>
                </c:pt>
                <c:pt idx="525">
                  <c:v>-151.67849905397063</c:v>
                </c:pt>
                <c:pt idx="526">
                  <c:v>-152.24794630978008</c:v>
                </c:pt>
                <c:pt idx="527">
                  <c:v>-152.80873207953962</c:v>
                </c:pt>
                <c:pt idx="528">
                  <c:v>-153.36083322044368</c:v>
                </c:pt>
                <c:pt idx="529">
                  <c:v>-153.90423603369283</c:v>
                </c:pt>
                <c:pt idx="530">
                  <c:v>-154.43893590526255</c:v>
                </c:pt>
                <c:pt idx="531">
                  <c:v>-154.96493693569732</c:v>
                </c:pt>
                <c:pt idx="532">
                  <c:v>-155.48225156150315</c:v>
                </c:pt>
                <c:pt idx="533">
                  <c:v>-155.99090017056798</c:v>
                </c:pt>
                <c:pt idx="534">
                  <c:v>-156.4909107138804</c:v>
                </c:pt>
                <c:pt idx="535">
                  <c:v>-156.98231831565602</c:v>
                </c:pt>
                <c:pt idx="536">
                  <c:v>-157.46516488381971</c:v>
                </c:pt>
                <c:pt idx="537">
                  <c:v>-157.93949872262434</c:v>
                </c:pt>
                <c:pt idx="538">
                  <c:v>-158.40537414902269</c:v>
                </c:pt>
                <c:pt idx="539">
                  <c:v>-158.86285111424283</c:v>
                </c:pt>
                <c:pt idx="540">
                  <c:v>-159.31199483186543</c:v>
                </c:pt>
                <c:pt idx="541">
                  <c:v>-159.75287541354254</c:v>
                </c:pt>
              </c:numCache>
            </c:numRef>
          </c:yVal>
          <c:smooth val="1"/>
          <c:extLst>
            <c:ext xmlns:c16="http://schemas.microsoft.com/office/drawing/2014/chart" uri="{C3380CC4-5D6E-409C-BE32-E72D297353CC}">
              <c16:uniqueId val="{00000001-F188-4D39-B62C-FFCB026FFDB3}"/>
            </c:ext>
          </c:extLst>
        </c:ser>
        <c:dLbls>
          <c:showLegendKey val="0"/>
          <c:showVal val="0"/>
          <c:showCatName val="0"/>
          <c:showSerName val="0"/>
          <c:showPercent val="0"/>
          <c:showBubbleSize val="0"/>
        </c:dLbls>
        <c:axId val="161005952"/>
        <c:axId val="160987776"/>
      </c:scatterChart>
      <c:valAx>
        <c:axId val="160959104"/>
        <c:scaling>
          <c:logBase val="10"/>
          <c:orientation val="minMax"/>
          <c:max val="2200000"/>
          <c:min val="10"/>
        </c:scaling>
        <c:delete val="0"/>
        <c:axPos val="b"/>
        <c:minorGridlines/>
        <c:title>
          <c:tx>
            <c:rich>
              <a:bodyPr/>
              <a:lstStyle/>
              <a:p>
                <a:pPr>
                  <a:defRPr/>
                </a:pPr>
                <a:r>
                  <a:rPr lang="en-US"/>
                  <a:t>Frequency</a:t>
                </a:r>
                <a:r>
                  <a:rPr lang="en-US" baseline="0"/>
                  <a:t> (Hz)</a:t>
                </a:r>
                <a:endParaRPr lang="en-US"/>
              </a:p>
            </c:rich>
          </c:tx>
          <c:overlay val="0"/>
        </c:title>
        <c:numFmt formatCode="0" sourceLinked="0"/>
        <c:majorTickMark val="out"/>
        <c:minorTickMark val="none"/>
        <c:tickLblPos val="low"/>
        <c:crossAx val="160985856"/>
        <c:crosses val="autoZero"/>
        <c:crossBetween val="midCat"/>
      </c:valAx>
      <c:valAx>
        <c:axId val="160985856"/>
        <c:scaling>
          <c:orientation val="minMax"/>
          <c:max val="40"/>
          <c:min val="-40"/>
        </c:scaling>
        <c:delete val="0"/>
        <c:axPos val="l"/>
        <c:majorGridlines/>
        <c:minorGridlines/>
        <c:title>
          <c:tx>
            <c:rich>
              <a:bodyPr rot="-5400000" vert="horz"/>
              <a:lstStyle/>
              <a:p>
                <a:pPr>
                  <a:defRPr/>
                </a:pPr>
                <a:r>
                  <a:rPr lang="en-US">
                    <a:solidFill>
                      <a:srgbClr val="FF0000"/>
                    </a:solidFill>
                  </a:rPr>
                  <a:t>Gain</a:t>
                </a:r>
                <a:r>
                  <a:rPr lang="en-US" baseline="0">
                    <a:solidFill>
                      <a:srgbClr val="FF0000"/>
                    </a:solidFill>
                  </a:rPr>
                  <a:t> (dB)</a:t>
                </a:r>
                <a:endParaRPr lang="en-US">
                  <a:solidFill>
                    <a:srgbClr val="FF0000"/>
                  </a:solidFill>
                </a:endParaRPr>
              </a:p>
            </c:rich>
          </c:tx>
          <c:overlay val="0"/>
        </c:title>
        <c:numFmt formatCode="General" sourceLinked="0"/>
        <c:majorTickMark val="out"/>
        <c:minorTickMark val="none"/>
        <c:tickLblPos val="nextTo"/>
        <c:txPr>
          <a:bodyPr/>
          <a:lstStyle/>
          <a:p>
            <a:pPr>
              <a:defRPr>
                <a:solidFill>
                  <a:srgbClr val="FF0000"/>
                </a:solidFill>
              </a:defRPr>
            </a:pPr>
            <a:endParaRPr lang="en-US"/>
          </a:p>
        </c:txPr>
        <c:crossAx val="160959104"/>
        <c:crosses val="autoZero"/>
        <c:crossBetween val="midCat"/>
        <c:majorUnit val="20"/>
        <c:minorUnit val="10"/>
      </c:valAx>
      <c:valAx>
        <c:axId val="160987776"/>
        <c:scaling>
          <c:orientation val="minMax"/>
          <c:max val="180"/>
          <c:min val="-180"/>
        </c:scaling>
        <c:delete val="0"/>
        <c:axPos val="r"/>
        <c:numFmt formatCode="General" sourceLinked="1"/>
        <c:majorTickMark val="out"/>
        <c:minorTickMark val="none"/>
        <c:tickLblPos val="nextTo"/>
        <c:txPr>
          <a:bodyPr/>
          <a:lstStyle/>
          <a:p>
            <a:pPr>
              <a:defRPr>
                <a:solidFill>
                  <a:schemeClr val="tx1">
                    <a:lumMod val="95000"/>
                    <a:lumOff val="5000"/>
                  </a:schemeClr>
                </a:solidFill>
              </a:defRPr>
            </a:pPr>
            <a:endParaRPr lang="en-US"/>
          </a:p>
        </c:txPr>
        <c:crossAx val="161005952"/>
        <c:crosses val="max"/>
        <c:crossBetween val="midCat"/>
        <c:majorUnit val="90"/>
        <c:minorUnit val="45"/>
      </c:valAx>
      <c:valAx>
        <c:axId val="161005952"/>
        <c:scaling>
          <c:logBase val="10"/>
          <c:orientation val="minMax"/>
        </c:scaling>
        <c:delete val="1"/>
        <c:axPos val="b"/>
        <c:numFmt formatCode="0.00" sourceLinked="1"/>
        <c:majorTickMark val="out"/>
        <c:minorTickMark val="none"/>
        <c:tickLblPos val="nextTo"/>
        <c:crossAx val="160987776"/>
        <c:crosses val="autoZero"/>
        <c:crossBetween val="midCat"/>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2400"/>
            </a:pPr>
            <a:r>
              <a:rPr lang="el-GR" sz="2400"/>
              <a:t>η</a:t>
            </a:r>
            <a:endParaRPr lang="en-US" sz="2400"/>
          </a:p>
        </c:rich>
      </c:tx>
      <c:layout>
        <c:manualLayout>
          <c:xMode val="edge"/>
          <c:yMode val="edge"/>
          <c:x val="9.2321838295158831E-2"/>
          <c:y val="6.7069081153588199E-3"/>
        </c:manualLayout>
      </c:layout>
      <c:overlay val="1"/>
    </c:title>
    <c:autoTitleDeleted val="0"/>
    <c:plotArea>
      <c:layout>
        <c:manualLayout>
          <c:layoutTarget val="inner"/>
          <c:xMode val="edge"/>
          <c:yMode val="edge"/>
          <c:x val="9.4343575816580413E-2"/>
          <c:y val="0.12777504924560487"/>
          <c:w val="0.82170691922728745"/>
          <c:h val="0.74982770867653059"/>
        </c:manualLayout>
      </c:layout>
      <c:scatterChart>
        <c:scatterStyle val="smoothMarker"/>
        <c:varyColors val="0"/>
        <c:ser>
          <c:idx val="0"/>
          <c:order val="0"/>
          <c:tx>
            <c:v>Eff</c:v>
          </c:tx>
          <c:spPr>
            <a:ln>
              <a:solidFill>
                <a:srgbClr val="FF0000"/>
              </a:solidFill>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Eff_vs_IOUT!$AT$7:$AT$157</c:f>
              <c:numCache>
                <c:formatCode>General</c:formatCode>
                <c:ptCount val="151"/>
                <c:pt idx="0">
                  <c:v>0</c:v>
                </c:pt>
                <c:pt idx="1">
                  <c:v>4.947489794056616</c:v>
                </c:pt>
                <c:pt idx="2">
                  <c:v>9.4182881630669009</c:v>
                </c:pt>
                <c:pt idx="3">
                  <c:v>13.477534222742602</c:v>
                </c:pt>
                <c:pt idx="4">
                  <c:v>17.179154107833437</c:v>
                </c:pt>
                <c:pt idx="5">
                  <c:v>20.568106866488524</c:v>
                </c:pt>
                <c:pt idx="6">
                  <c:v>23.682153219887478</c:v>
                </c:pt>
                <c:pt idx="7">
                  <c:v>26.553231279140029</c:v>
                </c:pt>
                <c:pt idx="8">
                  <c:v>29.20853203596424</c:v>
                </c:pt>
                <c:pt idx="9">
                  <c:v>31.671346659174709</c:v>
                </c:pt>
                <c:pt idx="10">
                  <c:v>33.961739460692236</c:v>
                </c:pt>
                <c:pt idx="11">
                  <c:v>36.097086666683978</c:v>
                </c:pt>
                <c:pt idx="12">
                  <c:v>38.092511042364592</c:v>
                </c:pt>
                <c:pt idx="13">
                  <c:v>39.961235031845646</c:v>
                </c:pt>
                <c:pt idx="14">
                  <c:v>41.714869641597765</c:v>
                </c:pt>
                <c:pt idx="15">
                  <c:v>43.363652272847951</c:v>
                </c:pt>
                <c:pt idx="16">
                  <c:v>44.916643705376593</c:v>
                </c:pt>
                <c:pt idx="17">
                  <c:v>46.381892175755482</c:v>
                </c:pt>
                <c:pt idx="18">
                  <c:v>47.766570779409776</c:v>
                </c:pt>
                <c:pt idx="19">
                  <c:v>49.07709311606466</c:v>
                </c:pt>
                <c:pt idx="20">
                  <c:v>50.31921108950975</c:v>
                </c:pt>
                <c:pt idx="21">
                  <c:v>51.498097990370262</c:v>
                </c:pt>
                <c:pt idx="22">
                  <c:v>52.618419379770565</c:v>
                </c:pt>
                <c:pt idx="23">
                  <c:v>53.684393811737188</c:v>
                </c:pt>
                <c:pt idx="24">
                  <c:v>54.699845052588422</c:v>
                </c:pt>
                <c:pt idx="25">
                  <c:v>55.668247153607751</c:v>
                </c:pt>
                <c:pt idx="26">
                  <c:v>56.592763491767109</c:v>
                </c:pt>
                <c:pt idx="27">
                  <c:v>57.476280699026006</c:v>
                </c:pt>
                <c:pt idx="28">
                  <c:v>58.321438243725801</c:v>
                </c:pt>
                <c:pt idx="29">
                  <c:v>59.130654300066745</c:v>
                </c:pt>
                <c:pt idx="30">
                  <c:v>59.906148437581876</c:v>
                </c:pt>
                <c:pt idx="31">
                  <c:v>60.649961577210895</c:v>
                </c:pt>
                <c:pt idx="32">
                  <c:v>61.363973590347356</c:v>
                </c:pt>
                <c:pt idx="33">
                  <c:v>62.049918859180572</c:v>
                </c:pt>
                <c:pt idx="34">
                  <c:v>62.709400068478715</c:v>
                </c:pt>
                <c:pt idx="35">
                  <c:v>63.343900458830063</c:v>
                </c:pt>
                <c:pt idx="36">
                  <c:v>63.95479473781139</c:v>
                </c:pt>
                <c:pt idx="37">
                  <c:v>64.543358817406627</c:v>
                </c:pt>
                <c:pt idx="38">
                  <c:v>65.110778522308692</c:v>
                </c:pt>
                <c:pt idx="39">
                  <c:v>65.658157393730889</c:v>
                </c:pt>
                <c:pt idx="40">
                  <c:v>66.186523696406866</c:v>
                </c:pt>
                <c:pt idx="41">
                  <c:v>66.696836722059444</c:v>
                </c:pt>
                <c:pt idx="42">
                  <c:v>67.189992470349395</c:v>
                </c:pt>
                <c:pt idx="43">
                  <c:v>67.666828777830702</c:v>
                </c:pt>
                <c:pt idx="44">
                  <c:v>68.128129956457599</c:v>
                </c:pt>
                <c:pt idx="45">
                  <c:v>68.574630995471466</c:v>
                </c:pt>
                <c:pt idx="46">
                  <c:v>69.007021373851572</c:v>
                </c:pt>
                <c:pt idx="47">
                  <c:v>69.425948524776942</c:v>
                </c:pt>
                <c:pt idx="48">
                  <c:v>69.832020988582542</c:v>
                </c:pt>
                <c:pt idx="49">
                  <c:v>70.225811286388478</c:v>
                </c:pt>
                <c:pt idx="50">
                  <c:v>70.607858542837803</c:v>
                </c:pt>
                <c:pt idx="51">
                  <c:v>70.978670883120074</c:v>
                </c:pt>
                <c:pt idx="52">
                  <c:v>71.338727626610805</c:v>
                </c:pt>
                <c:pt idx="53">
                  <c:v>71.688481296969869</c:v>
                </c:pt>
                <c:pt idx="54">
                  <c:v>72.028359466359589</c:v>
                </c:pt>
                <c:pt idx="55">
                  <c:v>72.358766449528304</c:v>
                </c:pt>
                <c:pt idx="56">
                  <c:v>72.680084861821115</c:v>
                </c:pt>
                <c:pt idx="57">
                  <c:v>72.992677053694138</c:v>
                </c:pt>
                <c:pt idx="58">
                  <c:v>73.296886432998349</c:v>
                </c:pt>
                <c:pt idx="59">
                  <c:v>73.593038685139803</c:v>
                </c:pt>
                <c:pt idx="60">
                  <c:v>73.881442900196845</c:v>
                </c:pt>
                <c:pt idx="61">
                  <c:v>74.16239261516354</c:v>
                </c:pt>
                <c:pt idx="62">
                  <c:v>74.436166778679677</c:v>
                </c:pt>
                <c:pt idx="63">
                  <c:v>74.703030644887207</c:v>
                </c:pt>
                <c:pt idx="64">
                  <c:v>74.963236602411257</c:v>
                </c:pt>
                <c:pt idx="65">
                  <c:v>75.217024943890308</c:v>
                </c:pt>
                <c:pt idx="66">
                  <c:v>75.464624580968987</c:v>
                </c:pt>
                <c:pt idx="67">
                  <c:v>75.706253709207317</c:v>
                </c:pt>
                <c:pt idx="68">
                  <c:v>75.942120426950595</c:v>
                </c:pt>
                <c:pt idx="69">
                  <c:v>76.172423311834208</c:v>
                </c:pt>
                <c:pt idx="70">
                  <c:v>76.397351958267379</c:v>
                </c:pt>
                <c:pt idx="71">
                  <c:v>76.617087478941144</c:v>
                </c:pt>
                <c:pt idx="72">
                  <c:v>76.831802973137371</c:v>
                </c:pt>
                <c:pt idx="73">
                  <c:v>77.041663964373441</c:v>
                </c:pt>
                <c:pt idx="74">
                  <c:v>77.24682880969911</c:v>
                </c:pt>
                <c:pt idx="75">
                  <c:v>77.447449082762944</c:v>
                </c:pt>
                <c:pt idx="76">
                  <c:v>77.643669932588622</c:v>
                </c:pt>
                <c:pt idx="77">
                  <c:v>77.835630419837614</c:v>
                </c:pt>
                <c:pt idx="78">
                  <c:v>78.023463832189151</c:v>
                </c:pt>
                <c:pt idx="79">
                  <c:v>78.207297980333465</c:v>
                </c:pt>
                <c:pt idx="80">
                  <c:v>78.387255475954703</c:v>
                </c:pt>
                <c:pt idx="81">
                  <c:v>78.563453992967553</c:v>
                </c:pt>
                <c:pt idx="82">
                  <c:v>78.736006513173024</c:v>
                </c:pt>
                <c:pt idx="83">
                  <c:v>78.905021557405831</c:v>
                </c:pt>
                <c:pt idx="84">
                  <c:v>79.070603403162892</c:v>
                </c:pt>
                <c:pt idx="85">
                  <c:v>79.232852289626052</c:v>
                </c:pt>
                <c:pt idx="86">
                  <c:v>79.391864610922156</c:v>
                </c:pt>
                <c:pt idx="87">
                  <c:v>79.547733098399945</c:v>
                </c:pt>
                <c:pt idx="88">
                  <c:v>79.700546992644888</c:v>
                </c:pt>
                <c:pt idx="89">
                  <c:v>79.850392205899141</c:v>
                </c:pt>
                <c:pt idx="90">
                  <c:v>79.997351475504928</c:v>
                </c:pt>
                <c:pt idx="91">
                  <c:v>80.141504508944905</c:v>
                </c:pt>
                <c:pt idx="92">
                  <c:v>80.282928121010698</c:v>
                </c:pt>
                <c:pt idx="93">
                  <c:v>80.421696363593554</c:v>
                </c:pt>
                <c:pt idx="94">
                  <c:v>80.557880648555852</c:v>
                </c:pt>
                <c:pt idx="95">
                  <c:v>80.691549864109376</c:v>
                </c:pt>
                <c:pt idx="96">
                  <c:v>80.822770485097337</c:v>
                </c:pt>
                <c:pt idx="97">
                  <c:v>80.951606677549108</c:v>
                </c:pt>
                <c:pt idx="98">
                  <c:v>81.078120397851379</c:v>
                </c:pt>
                <c:pt idx="99">
                  <c:v>81.202371486856364</c:v>
                </c:pt>
                <c:pt idx="100">
                  <c:v>81.324417759225966</c:v>
                </c:pt>
                <c:pt idx="101">
                  <c:v>81.444315088290395</c:v>
                </c:pt>
                <c:pt idx="102">
                  <c:v>81.562117486682027</c:v>
                </c:pt>
                <c:pt idx="103">
                  <c:v>81.67787718298743</c:v>
                </c:pt>
                <c:pt idx="104">
                  <c:v>81.7916446946452</c:v>
                </c:pt>
                <c:pt idx="105">
                  <c:v>81.903468897301892</c:v>
                </c:pt>
                <c:pt idx="106">
                  <c:v>82.013397090825663</c:v>
                </c:pt>
                <c:pt idx="107">
                  <c:v>82.121475062163199</c:v>
                </c:pt>
                <c:pt idx="108">
                  <c:v>82.227747145215091</c:v>
                </c:pt>
                <c:pt idx="109">
                  <c:v>82.332256277893094</c:v>
                </c:pt>
                <c:pt idx="110">
                  <c:v>82.435044056512581</c:v>
                </c:pt>
                <c:pt idx="111">
                  <c:v>82.536150787664383</c:v>
                </c:pt>
                <c:pt idx="112">
                  <c:v>82.635615537700986</c:v>
                </c:pt>
                <c:pt idx="113">
                  <c:v>82.733476179964171</c:v>
                </c:pt>
                <c:pt idx="114">
                  <c:v>82.829769439873274</c:v>
                </c:pt>
                <c:pt idx="115">
                  <c:v>82.924530937986262</c:v>
                </c:pt>
                <c:pt idx="116">
                  <c:v>83.017795231139075</c:v>
                </c:pt>
                <c:pt idx="117">
                  <c:v>83.109595851762492</c:v>
                </c:pt>
                <c:pt idx="118">
                  <c:v>83.199965345469934</c:v>
                </c:pt>
                <c:pt idx="119">
                  <c:v>83.288935307004337</c:v>
                </c:pt>
                <c:pt idx="120">
                  <c:v>83.376536414626784</c:v>
                </c:pt>
                <c:pt idx="121">
                  <c:v>83.46279846302528</c:v>
                </c:pt>
                <c:pt idx="122">
                  <c:v>83.547750394817314</c:v>
                </c:pt>
                <c:pt idx="123">
                  <c:v>83.631420330715756</c:v>
                </c:pt>
                <c:pt idx="124">
                  <c:v>83.713835598423813</c:v>
                </c:pt>
                <c:pt idx="125">
                  <c:v>83.79502276032089</c:v>
                </c:pt>
                <c:pt idx="126">
                  <c:v>83.875007639998103</c:v>
                </c:pt>
                <c:pt idx="127">
                  <c:v>83.953815347698651</c:v>
                </c:pt>
                <c:pt idx="128">
                  <c:v>84.031470304715597</c:v>
                </c:pt>
                <c:pt idx="129">
                  <c:v>84.107996266796022</c:v>
                </c:pt>
                <c:pt idx="130">
                  <c:v>84.183416346599245</c:v>
                </c:pt>
                <c:pt idx="131">
                  <c:v>84.257753035252421</c:v>
                </c:pt>
                <c:pt idx="132">
                  <c:v>84.331028223046388</c:v>
                </c:pt>
                <c:pt idx="133">
                  <c:v>84.403263219310801</c:v>
                </c:pt>
                <c:pt idx="134">
                  <c:v>84.474478771506796</c:v>
                </c:pt>
                <c:pt idx="135">
                  <c:v>84.544695083572392</c:v>
                </c:pt>
                <c:pt idx="136">
                  <c:v>84.613931833554815</c:v>
                </c:pt>
                <c:pt idx="137">
                  <c:v>84.682208190561809</c:v>
                </c:pt>
                <c:pt idx="138">
                  <c:v>84.749542831062215</c:v>
                </c:pt>
                <c:pt idx="139">
                  <c:v>84.815953954564989</c:v>
                </c:pt>
                <c:pt idx="140">
                  <c:v>84.881459298704016</c:v>
                </c:pt>
                <c:pt idx="141">
                  <c:v>84.946076153754618</c:v>
                </c:pt>
                <c:pt idx="142">
                  <c:v>85.009821376607078</c:v>
                </c:pt>
                <c:pt idx="143">
                  <c:v>85.072711404220016</c:v>
                </c:pt>
                <c:pt idx="144">
                  <c:v>85.134762266576672</c:v>
                </c:pt>
                <c:pt idx="145">
                  <c:v>85.19598959916496</c:v>
                </c:pt>
                <c:pt idx="146">
                  <c:v>85.256408655001863</c:v>
                </c:pt>
                <c:pt idx="147">
                  <c:v>85.316034316221092</c:v>
                </c:pt>
                <c:pt idx="148">
                  <c:v>85.374881105242864</c:v>
                </c:pt>
                <c:pt idx="149">
                  <c:v>85.432963195542797</c:v>
                </c:pt>
                <c:pt idx="150">
                  <c:v>85.490294422036968</c:v>
                </c:pt>
              </c:numCache>
            </c:numRef>
          </c:yVal>
          <c:smooth val="0"/>
          <c:extLst>
            <c:ext xmlns:c16="http://schemas.microsoft.com/office/drawing/2014/chart" uri="{C3380CC4-5D6E-409C-BE32-E72D297353CC}">
              <c16:uniqueId val="{00000000-D428-476F-9D9B-414A5D21B4D3}"/>
            </c:ext>
          </c:extLst>
        </c:ser>
        <c:dLbls>
          <c:showLegendKey val="0"/>
          <c:showVal val="0"/>
          <c:showCatName val="0"/>
          <c:showSerName val="0"/>
          <c:showPercent val="0"/>
          <c:showBubbleSize val="0"/>
        </c:dLbls>
        <c:axId val="161084544"/>
        <c:axId val="161086080"/>
      </c:scatterChart>
      <c:scatterChart>
        <c:scatterStyle val="smoothMarker"/>
        <c:varyColors val="0"/>
        <c:ser>
          <c:idx val="1"/>
          <c:order val="1"/>
          <c:tx>
            <c:v>MOSFET</c:v>
          </c:tx>
          <c:spPr>
            <a:ln>
              <a:solidFill>
                <a:schemeClr val="tx2">
                  <a:lumMod val="75000"/>
                </a:schemeClr>
              </a:solidFill>
              <a:prstDash val="dashDot"/>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Eff_vs_IOUT!$AI$7:$AI$157</c:f>
              <c:numCache>
                <c:formatCode>General</c:formatCode>
                <c:ptCount val="151"/>
                <c:pt idx="0">
                  <c:v>0</c:v>
                </c:pt>
                <c:pt idx="1">
                  <c:v>2.3632356010522566E-4</c:v>
                </c:pt>
                <c:pt idx="2">
                  <c:v>4.8940064382793375E-4</c:v>
                </c:pt>
                <c:pt idx="3">
                  <c:v>7.5338411196505632E-4</c:v>
                </c:pt>
                <c:pt idx="4">
                  <c:v>1.0261874082906307E-3</c:v>
                </c:pt>
                <c:pt idx="5">
                  <c:v>1.3066046185289852E-3</c:v>
                </c:pt>
                <c:pt idx="6">
                  <c:v>1.5938220862639666E-3</c:v>
                </c:pt>
                <c:pt idx="7">
                  <c:v>1.8872424856226824E-3</c:v>
                </c:pt>
                <c:pt idx="8">
                  <c:v>2.1864030055211208E-3</c:v>
                </c:pt>
                <c:pt idx="9">
                  <c:v>2.4909312963608075E-3</c:v>
                </c:pt>
                <c:pt idx="10">
                  <c:v>2.8005193254146644E-3</c:v>
                </c:pt>
                <c:pt idx="11">
                  <c:v>3.1149067358153121E-3</c:v>
                </c:pt>
                <c:pt idx="12">
                  <c:v>3.4338696780669272E-3</c:v>
                </c:pt>
                <c:pt idx="13">
                  <c:v>3.7572129957056341E-3</c:v>
                </c:pt>
                <c:pt idx="14">
                  <c:v>4.0847645707767048E-3</c:v>
                </c:pt>
                <c:pt idx="15">
                  <c:v>4.4163711169972197E-3</c:v>
                </c:pt>
                <c:pt idx="16">
                  <c:v>4.7518949761203473E-3</c:v>
                </c:pt>
                <c:pt idx="17">
                  <c:v>5.0912116292927568E-3</c:v>
                </c:pt>
                <c:pt idx="18">
                  <c:v>5.4342077303936396E-3</c:v>
                </c:pt>
                <c:pt idx="19">
                  <c:v>5.7807795284614029E-3</c:v>
                </c:pt>
                <c:pt idx="20">
                  <c:v>6.1308315854760095E-3</c:v>
                </c:pt>
                <c:pt idx="21">
                  <c:v>6.484275721974608E-3</c:v>
                </c:pt>
                <c:pt idx="22">
                  <c:v>6.84103014094164E-3</c:v>
                </c:pt>
                <c:pt idx="23">
                  <c:v>7.2010186929883022E-3</c:v>
                </c:pt>
                <c:pt idx="24">
                  <c:v>7.5641702548046863E-3</c:v>
                </c:pt>
                <c:pt idx="25">
                  <c:v>7.9304181993738419E-3</c:v>
                </c:pt>
                <c:pt idx="26">
                  <c:v>8.299699941229156E-3</c:v>
                </c:pt>
                <c:pt idx="27">
                  <c:v>8.6719565436156627E-3</c:v>
                </c:pt>
                <c:pt idx="28">
                  <c:v>9.0471323771232365E-3</c:v>
                </c:pt>
                <c:pt idx="29">
                  <c:v>9.4251748214312162E-3</c:v>
                </c:pt>
                <c:pt idx="30">
                  <c:v>9.8060340034064712E-3</c:v>
                </c:pt>
                <c:pt idx="31">
                  <c:v>1.0189662566048217E-2</c:v>
                </c:pt>
                <c:pt idx="32">
                  <c:v>1.0576015463759572E-2</c:v>
                </c:pt>
                <c:pt idx="33">
                  <c:v>1.0965049780209894E-2</c:v>
                </c:pt>
                <c:pt idx="34">
                  <c:v>1.1356724565680237E-2</c:v>
                </c:pt>
                <c:pt idx="35">
                  <c:v>1.1751000691291365E-2</c:v>
                </c:pt>
                <c:pt idx="36">
                  <c:v>1.2147840717925887E-2</c:v>
                </c:pt>
                <c:pt idx="37">
                  <c:v>1.2547208777993091E-2</c:v>
                </c:pt>
                <c:pt idx="38">
                  <c:v>1.2949070468462536E-2</c:v>
                </c:pt>
                <c:pt idx="39">
                  <c:v>1.3353392753821886E-2</c:v>
                </c:pt>
                <c:pt idx="40">
                  <c:v>1.3760143877805574E-2</c:v>
                </c:pt>
                <c:pt idx="41">
                  <c:v>1.4169293282900678E-2</c:v>
                </c:pt>
                <c:pt idx="42">
                  <c:v>1.4580811536770433E-2</c:v>
                </c:pt>
                <c:pt idx="43">
                  <c:v>1.49946702648493E-2</c:v>
                </c:pt>
                <c:pt idx="44">
                  <c:v>1.5410842088459581E-2</c:v>
                </c:pt>
                <c:pt idx="45">
                  <c:v>1.5829300567881184E-2</c:v>
                </c:pt>
                <c:pt idx="46">
                  <c:v>1.6250020149876192E-2</c:v>
                </c:pt>
                <c:pt idx="47">
                  <c:v>1.6672976119229899E-2</c:v>
                </c:pt>
                <c:pt idx="48">
                  <c:v>1.7098144553921321E-2</c:v>
                </c:pt>
                <c:pt idx="49">
                  <c:v>1.7525502283581067E-2</c:v>
                </c:pt>
                <c:pt idx="50">
                  <c:v>1.7955026850932986E-2</c:v>
                </c:pt>
                <c:pt idx="51">
                  <c:v>1.8386696475949482E-2</c:v>
                </c:pt>
                <c:pt idx="52">
                  <c:v>1.8820490022479805E-2</c:v>
                </c:pt>
                <c:pt idx="53">
                  <c:v>1.9256386967136239E-2</c:v>
                </c:pt>
                <c:pt idx="54">
                  <c:v>1.9694367370245387E-2</c:v>
                </c:pt>
                <c:pt idx="55">
                  <c:v>2.0134411848691622E-2</c:v>
                </c:pt>
                <c:pt idx="56">
                  <c:v>2.0576501550497193E-2</c:v>
                </c:pt>
                <c:pt idx="57">
                  <c:v>2.1020618130998626E-2</c:v>
                </c:pt>
                <c:pt idx="58">
                  <c:v>2.1466743730492961E-2</c:v>
                </c:pt>
                <c:pt idx="59">
                  <c:v>2.1914860953239024E-2</c:v>
                </c:pt>
                <c:pt idx="60">
                  <c:v>2.2364952847710146E-2</c:v>
                </c:pt>
                <c:pt idx="61">
                  <c:v>2.2817002888003902E-2</c:v>
                </c:pt>
                <c:pt idx="62">
                  <c:v>2.3270994956323177E-2</c:v>
                </c:pt>
                <c:pt idx="63">
                  <c:v>2.3726913326450421E-2</c:v>
                </c:pt>
                <c:pt idx="64">
                  <c:v>2.4184742648143989E-2</c:v>
                </c:pt>
                <c:pt idx="65">
                  <c:v>2.4644467932391209E-2</c:v>
                </c:pt>
                <c:pt idx="66">
                  <c:v>2.5106074537458896E-2</c:v>
                </c:pt>
                <c:pt idx="67">
                  <c:v>2.5569548155686541E-2</c:v>
                </c:pt>
                <c:pt idx="68">
                  <c:v>2.6034874800972087E-2</c:v>
                </c:pt>
                <c:pt idx="69">
                  <c:v>2.6502040796904436E-2</c:v>
                </c:pt>
                <c:pt idx="70">
                  <c:v>2.6971032765500176E-2</c:v>
                </c:pt>
                <c:pt idx="71">
                  <c:v>2.7441837616505559E-2</c:v>
                </c:pt>
                <c:pt idx="72">
                  <c:v>2.7914442537227975E-2</c:v>
                </c:pt>
                <c:pt idx="73">
                  <c:v>2.8388834982863341E-2</c:v>
                </c:pt>
                <c:pt idx="74">
                  <c:v>2.8865002667289051E-2</c:v>
                </c:pt>
                <c:pt idx="75">
                  <c:v>2.9342933554293946E-2</c:v>
                </c:pt>
                <c:pt idx="76">
                  <c:v>2.9822615849218914E-2</c:v>
                </c:pt>
                <c:pt idx="77">
                  <c:v>3.0304037990983891E-2</c:v>
                </c:pt>
                <c:pt idx="78">
                  <c:v>3.0787188644478387E-2</c:v>
                </c:pt>
                <c:pt idx="79">
                  <c:v>3.127205669329481E-2</c:v>
                </c:pt>
                <c:pt idx="80">
                  <c:v>3.1758631232784586E-2</c:v>
                </c:pt>
                <c:pt idx="81">
                  <c:v>3.2246901563419209E-2</c:v>
                </c:pt>
                <c:pt idx="82">
                  <c:v>3.2736857184439069E-2</c:v>
                </c:pt>
                <c:pt idx="83">
                  <c:v>3.3228487787774215E-2</c:v>
                </c:pt>
                <c:pt idx="84">
                  <c:v>3.37217832522222E-2</c:v>
                </c:pt>
                <c:pt idx="85">
                  <c:v>3.4216733637869506E-2</c:v>
                </c:pt>
                <c:pt idx="86">
                  <c:v>3.4713329180743144E-2</c:v>
                </c:pt>
                <c:pt idx="87">
                  <c:v>3.5211560287680688E-2</c:v>
                </c:pt>
                <c:pt idx="88">
                  <c:v>3.5711417531407288E-2</c:v>
                </c:pt>
                <c:pt idx="89">
                  <c:v>3.6212891645809105E-2</c:v>
                </c:pt>
                <c:pt idx="90">
                  <c:v>3.6715973521393108E-2</c:v>
                </c:pt>
                <c:pt idx="91">
                  <c:v>3.7220654200924005E-2</c:v>
                </c:pt>
                <c:pt idx="92">
                  <c:v>3.7726924875229412E-2</c:v>
                </c:pt>
                <c:pt idx="93">
                  <c:v>3.8234776879165093E-2</c:v>
                </c:pt>
                <c:pt idx="94">
                  <c:v>3.8744201687732488E-2</c:v>
                </c:pt>
                <c:pt idx="95">
                  <c:v>3.9255190912341142E-2</c:v>
                </c:pt>
                <c:pt idx="96">
                  <c:v>3.9767736297209297E-2</c:v>
                </c:pt>
                <c:pt idx="97">
                  <c:v>4.0281829715895973E-2</c:v>
                </c:pt>
                <c:pt idx="98">
                  <c:v>4.0797463167958611E-2</c:v>
                </c:pt>
                <c:pt idx="99">
                  <c:v>4.1314628775730305E-2</c:v>
                </c:pt>
                <c:pt idx="100">
                  <c:v>4.1833318781211368E-2</c:v>
                </c:pt>
                <c:pt idx="101">
                  <c:v>4.2353525543069953E-2</c:v>
                </c:pt>
                <c:pt idx="102">
                  <c:v>4.2875241533746757E-2</c:v>
                </c:pt>
                <c:pt idx="103">
                  <c:v>4.3398459336659548E-2</c:v>
                </c:pt>
                <c:pt idx="104">
                  <c:v>4.3923171643502706E-2</c:v>
                </c:pt>
                <c:pt idx="105">
                  <c:v>4.4449371251638038E-2</c:v>
                </c:pt>
                <c:pt idx="106">
                  <c:v>4.4977051061572682E-2</c:v>
                </c:pt>
                <c:pt idx="107">
                  <c:v>4.5506204074520537E-2</c:v>
                </c:pt>
                <c:pt idx="108">
                  <c:v>4.6036823390043585E-2</c:v>
                </c:pt>
                <c:pt idx="109">
                  <c:v>4.6568902203769996E-2</c:v>
                </c:pt>
                <c:pt idx="110">
                  <c:v>4.7102433805185459E-2</c:v>
                </c:pt>
                <c:pt idx="111">
                  <c:v>4.7637411575495087E-2</c:v>
                </c:pt>
                <c:pt idx="112">
                  <c:v>4.8173828985553002E-2</c:v>
                </c:pt>
                <c:pt idx="113">
                  <c:v>4.8711679593856437E-2</c:v>
                </c:pt>
                <c:pt idx="114">
                  <c:v>4.9250957044602521E-2</c:v>
                </c:pt>
                <c:pt idx="115">
                  <c:v>4.9791655065804512E-2</c:v>
                </c:pt>
                <c:pt idx="116">
                  <c:v>5.0333767467465679E-2</c:v>
                </c:pt>
                <c:pt idx="117">
                  <c:v>5.0877288139808408E-2</c:v>
                </c:pt>
                <c:pt idx="118">
                  <c:v>5.1422211051556282E-2</c:v>
                </c:pt>
                <c:pt idx="119">
                  <c:v>5.1968530248267378E-2</c:v>
                </c:pt>
                <c:pt idx="120">
                  <c:v>5.2516239850716531E-2</c:v>
                </c:pt>
                <c:pt idx="121">
                  <c:v>5.3065334053325038E-2</c:v>
                </c:pt>
                <c:pt idx="122">
                  <c:v>5.3615807122635736E-2</c:v>
                </c:pt>
                <c:pt idx="123">
                  <c:v>5.4167653395832085E-2</c:v>
                </c:pt>
                <c:pt idx="124">
                  <c:v>5.4720867279299312E-2</c:v>
                </c:pt>
                <c:pt idx="125">
                  <c:v>5.5275443247226358E-2</c:v>
                </c:pt>
                <c:pt idx="126">
                  <c:v>5.583137584024702E-2</c:v>
                </c:pt>
                <c:pt idx="127">
                  <c:v>5.6388659664118941E-2</c:v>
                </c:pt>
                <c:pt idx="128">
                  <c:v>5.6947289388438981E-2</c:v>
                </c:pt>
                <c:pt idx="129">
                  <c:v>5.7507259745393946E-2</c:v>
                </c:pt>
                <c:pt idx="130">
                  <c:v>5.8068565528545182E-2</c:v>
                </c:pt>
                <c:pt idx="131">
                  <c:v>5.8631201591645921E-2</c:v>
                </c:pt>
                <c:pt idx="132">
                  <c:v>5.9195162847490393E-2</c:v>
                </c:pt>
                <c:pt idx="133">
                  <c:v>5.9760444266793361E-2</c:v>
                </c:pt>
                <c:pt idx="134">
                  <c:v>6.0327040877099447E-2</c:v>
                </c:pt>
                <c:pt idx="135">
                  <c:v>6.0894947761720671E-2</c:v>
                </c:pt>
                <c:pt idx="136">
                  <c:v>6.146416005870195E-2</c:v>
                </c:pt>
                <c:pt idx="137">
                  <c:v>6.2034672959812916E-2</c:v>
                </c:pt>
                <c:pt idx="138">
                  <c:v>6.26064817095658E-2</c:v>
                </c:pt>
                <c:pt idx="139">
                  <c:v>6.3179581604258184E-2</c:v>
                </c:pt>
                <c:pt idx="140">
                  <c:v>6.3753967991039828E-2</c:v>
                </c:pt>
                <c:pt idx="141">
                  <c:v>6.4329636267002971E-2</c:v>
                </c:pt>
                <c:pt idx="142">
                  <c:v>6.4906581878295275E-2</c:v>
                </c:pt>
                <c:pt idx="143">
                  <c:v>6.5484800319254549E-2</c:v>
                </c:pt>
                <c:pt idx="144">
                  <c:v>6.6064287131564814E-2</c:v>
                </c:pt>
                <c:pt idx="145">
                  <c:v>6.6645037903432736E-2</c:v>
                </c:pt>
                <c:pt idx="146">
                  <c:v>6.7227048268784256E-2</c:v>
                </c:pt>
                <c:pt idx="147">
                  <c:v>6.7810313906480346E-2</c:v>
                </c:pt>
                <c:pt idx="148">
                  <c:v>6.8394830539551268E-2</c:v>
                </c:pt>
                <c:pt idx="149">
                  <c:v>6.8980593934449497E-2</c:v>
                </c:pt>
                <c:pt idx="150">
                  <c:v>6.956759990031966E-2</c:v>
                </c:pt>
              </c:numCache>
            </c:numRef>
          </c:yVal>
          <c:smooth val="1"/>
          <c:extLst>
            <c:ext xmlns:c16="http://schemas.microsoft.com/office/drawing/2014/chart" uri="{C3380CC4-5D6E-409C-BE32-E72D297353CC}">
              <c16:uniqueId val="{00000001-D428-476F-9D9B-414A5D21B4D3}"/>
            </c:ext>
          </c:extLst>
        </c:ser>
        <c:ser>
          <c:idx val="2"/>
          <c:order val="2"/>
          <c:tx>
            <c:v>Diode</c:v>
          </c:tx>
          <c:spPr>
            <a:ln>
              <a:solidFill>
                <a:schemeClr val="bg2">
                  <a:lumMod val="50000"/>
                </a:schemeClr>
              </a:solidFill>
              <a:prstDash val="sysDash"/>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Eff_vs_IOUT!$AN$7:$AN$157</c:f>
              <c:numCache>
                <c:formatCode>General</c:formatCode>
                <c:ptCount val="151"/>
                <c:pt idx="0">
                  <c:v>0.29622500000000002</c:v>
                </c:pt>
                <c:pt idx="1">
                  <c:v>0.29635</c:v>
                </c:pt>
                <c:pt idx="2">
                  <c:v>0.29647499999999999</c:v>
                </c:pt>
                <c:pt idx="3">
                  <c:v>0.29660000000000003</c:v>
                </c:pt>
                <c:pt idx="4">
                  <c:v>0.29672500000000002</c:v>
                </c:pt>
                <c:pt idx="5">
                  <c:v>0.29685</c:v>
                </c:pt>
                <c:pt idx="6">
                  <c:v>0.29697499999999999</c:v>
                </c:pt>
                <c:pt idx="7">
                  <c:v>0.29710000000000003</c:v>
                </c:pt>
                <c:pt idx="8">
                  <c:v>0.29722500000000002</c:v>
                </c:pt>
                <c:pt idx="9">
                  <c:v>0.29735</c:v>
                </c:pt>
                <c:pt idx="10">
                  <c:v>0.29747499999999999</c:v>
                </c:pt>
                <c:pt idx="11">
                  <c:v>0.29760000000000003</c:v>
                </c:pt>
                <c:pt idx="12">
                  <c:v>0.29772500000000002</c:v>
                </c:pt>
                <c:pt idx="13">
                  <c:v>0.29785</c:v>
                </c:pt>
                <c:pt idx="14">
                  <c:v>0.29797499999999999</c:v>
                </c:pt>
                <c:pt idx="15">
                  <c:v>0.29810000000000003</c:v>
                </c:pt>
                <c:pt idx="16">
                  <c:v>0.29822500000000002</c:v>
                </c:pt>
                <c:pt idx="17">
                  <c:v>0.29835</c:v>
                </c:pt>
                <c:pt idx="18">
                  <c:v>0.29847499999999999</c:v>
                </c:pt>
                <c:pt idx="19">
                  <c:v>0.29860000000000003</c:v>
                </c:pt>
                <c:pt idx="20">
                  <c:v>0.29872500000000002</c:v>
                </c:pt>
                <c:pt idx="21">
                  <c:v>0.29885</c:v>
                </c:pt>
                <c:pt idx="22">
                  <c:v>0.29897499999999999</c:v>
                </c:pt>
                <c:pt idx="23">
                  <c:v>0.29910000000000003</c:v>
                </c:pt>
                <c:pt idx="24">
                  <c:v>0.29922500000000002</c:v>
                </c:pt>
                <c:pt idx="25">
                  <c:v>0.29935</c:v>
                </c:pt>
                <c:pt idx="26">
                  <c:v>0.29947499999999999</c:v>
                </c:pt>
                <c:pt idx="27">
                  <c:v>0.29960000000000003</c:v>
                </c:pt>
                <c:pt idx="28">
                  <c:v>0.29972500000000002</c:v>
                </c:pt>
                <c:pt idx="29">
                  <c:v>0.29985000000000001</c:v>
                </c:pt>
                <c:pt idx="30">
                  <c:v>0.29997499999999999</c:v>
                </c:pt>
                <c:pt idx="31">
                  <c:v>0.30010000000000003</c:v>
                </c:pt>
                <c:pt idx="32">
                  <c:v>0.30022500000000002</c:v>
                </c:pt>
                <c:pt idx="33">
                  <c:v>0.30035000000000001</c:v>
                </c:pt>
                <c:pt idx="34">
                  <c:v>0.30047499999999999</c:v>
                </c:pt>
                <c:pt idx="35">
                  <c:v>0.30060000000000003</c:v>
                </c:pt>
                <c:pt idx="36">
                  <c:v>0.30072500000000002</c:v>
                </c:pt>
                <c:pt idx="37">
                  <c:v>0.30085000000000001</c:v>
                </c:pt>
                <c:pt idx="38">
                  <c:v>0.30097499999999999</c:v>
                </c:pt>
                <c:pt idx="39">
                  <c:v>0.30110000000000003</c:v>
                </c:pt>
                <c:pt idx="40">
                  <c:v>0.30122500000000002</c:v>
                </c:pt>
                <c:pt idx="41">
                  <c:v>0.30135000000000001</c:v>
                </c:pt>
                <c:pt idx="42">
                  <c:v>0.30147499999999999</c:v>
                </c:pt>
                <c:pt idx="43">
                  <c:v>0.30160000000000003</c:v>
                </c:pt>
                <c:pt idx="44">
                  <c:v>0.30172500000000002</c:v>
                </c:pt>
                <c:pt idx="45">
                  <c:v>0.30185000000000001</c:v>
                </c:pt>
                <c:pt idx="46">
                  <c:v>0.30197499999999999</c:v>
                </c:pt>
                <c:pt idx="47">
                  <c:v>0.30210000000000004</c:v>
                </c:pt>
                <c:pt idx="48">
                  <c:v>0.30222500000000002</c:v>
                </c:pt>
                <c:pt idx="49">
                  <c:v>0.30235000000000001</c:v>
                </c:pt>
                <c:pt idx="50">
                  <c:v>0.30247499999999999</c:v>
                </c:pt>
                <c:pt idx="51">
                  <c:v>0.30260000000000004</c:v>
                </c:pt>
                <c:pt idx="52">
                  <c:v>0.30272500000000002</c:v>
                </c:pt>
                <c:pt idx="53">
                  <c:v>0.30285000000000001</c:v>
                </c:pt>
                <c:pt idx="54">
                  <c:v>0.30297499999999999</c:v>
                </c:pt>
                <c:pt idx="55">
                  <c:v>0.30310000000000004</c:v>
                </c:pt>
                <c:pt idx="56">
                  <c:v>0.30322500000000002</c:v>
                </c:pt>
                <c:pt idx="57">
                  <c:v>0.30335000000000001</c:v>
                </c:pt>
                <c:pt idx="58">
                  <c:v>0.30347499999999999</c:v>
                </c:pt>
                <c:pt idx="59">
                  <c:v>0.30360000000000004</c:v>
                </c:pt>
                <c:pt idx="60">
                  <c:v>0.30372500000000002</c:v>
                </c:pt>
                <c:pt idx="61">
                  <c:v>0.30385000000000001</c:v>
                </c:pt>
                <c:pt idx="62">
                  <c:v>0.303975</c:v>
                </c:pt>
                <c:pt idx="63">
                  <c:v>0.30410000000000004</c:v>
                </c:pt>
                <c:pt idx="64">
                  <c:v>0.30422500000000002</c:v>
                </c:pt>
                <c:pt idx="65">
                  <c:v>0.30435000000000001</c:v>
                </c:pt>
                <c:pt idx="66">
                  <c:v>0.304475</c:v>
                </c:pt>
                <c:pt idx="67">
                  <c:v>0.30460000000000004</c:v>
                </c:pt>
                <c:pt idx="68">
                  <c:v>0.30472500000000002</c:v>
                </c:pt>
                <c:pt idx="69">
                  <c:v>0.30485000000000001</c:v>
                </c:pt>
                <c:pt idx="70">
                  <c:v>0.304975</c:v>
                </c:pt>
                <c:pt idx="71">
                  <c:v>0.30510000000000004</c:v>
                </c:pt>
                <c:pt idx="72">
                  <c:v>0.30522500000000002</c:v>
                </c:pt>
                <c:pt idx="73">
                  <c:v>0.30535000000000001</c:v>
                </c:pt>
                <c:pt idx="74">
                  <c:v>0.305475</c:v>
                </c:pt>
                <c:pt idx="75">
                  <c:v>0.30560000000000004</c:v>
                </c:pt>
                <c:pt idx="76">
                  <c:v>0.30572500000000002</c:v>
                </c:pt>
                <c:pt idx="77">
                  <c:v>0.30585000000000001</c:v>
                </c:pt>
                <c:pt idx="78">
                  <c:v>0.305975</c:v>
                </c:pt>
                <c:pt idx="79">
                  <c:v>0.30610000000000004</c:v>
                </c:pt>
                <c:pt idx="80">
                  <c:v>0.30622500000000002</c:v>
                </c:pt>
                <c:pt idx="81">
                  <c:v>0.30635000000000001</c:v>
                </c:pt>
                <c:pt idx="82">
                  <c:v>0.306475</c:v>
                </c:pt>
                <c:pt idx="83">
                  <c:v>0.30660000000000004</c:v>
                </c:pt>
                <c:pt idx="84">
                  <c:v>0.30672500000000003</c:v>
                </c:pt>
                <c:pt idx="85">
                  <c:v>0.30685000000000001</c:v>
                </c:pt>
                <c:pt idx="86">
                  <c:v>0.306975</c:v>
                </c:pt>
                <c:pt idx="87">
                  <c:v>0.30710000000000004</c:v>
                </c:pt>
                <c:pt idx="88">
                  <c:v>0.30722500000000003</c:v>
                </c:pt>
                <c:pt idx="89">
                  <c:v>0.30735000000000001</c:v>
                </c:pt>
                <c:pt idx="90">
                  <c:v>0.307475</c:v>
                </c:pt>
                <c:pt idx="91">
                  <c:v>0.30760000000000004</c:v>
                </c:pt>
                <c:pt idx="92">
                  <c:v>0.30772500000000003</c:v>
                </c:pt>
                <c:pt idx="93">
                  <c:v>0.30785000000000001</c:v>
                </c:pt>
                <c:pt idx="94">
                  <c:v>0.307975</c:v>
                </c:pt>
                <c:pt idx="95">
                  <c:v>0.30810000000000004</c:v>
                </c:pt>
                <c:pt idx="96">
                  <c:v>0.30822500000000003</c:v>
                </c:pt>
                <c:pt idx="97">
                  <c:v>0.30835000000000001</c:v>
                </c:pt>
                <c:pt idx="98">
                  <c:v>0.308475</c:v>
                </c:pt>
                <c:pt idx="99">
                  <c:v>0.30860000000000004</c:v>
                </c:pt>
                <c:pt idx="100">
                  <c:v>0.30872500000000003</c:v>
                </c:pt>
                <c:pt idx="101">
                  <c:v>0.30885000000000001</c:v>
                </c:pt>
                <c:pt idx="102">
                  <c:v>0.308975</c:v>
                </c:pt>
                <c:pt idx="103">
                  <c:v>0.30910000000000004</c:v>
                </c:pt>
                <c:pt idx="104">
                  <c:v>0.30922500000000003</c:v>
                </c:pt>
                <c:pt idx="105">
                  <c:v>0.30935000000000001</c:v>
                </c:pt>
                <c:pt idx="106">
                  <c:v>0.309475</c:v>
                </c:pt>
                <c:pt idx="107">
                  <c:v>0.30960000000000004</c:v>
                </c:pt>
                <c:pt idx="108">
                  <c:v>0.30972500000000003</c:v>
                </c:pt>
                <c:pt idx="109">
                  <c:v>0.30985000000000001</c:v>
                </c:pt>
                <c:pt idx="110">
                  <c:v>0.309975</c:v>
                </c:pt>
                <c:pt idx="111">
                  <c:v>0.31010000000000004</c:v>
                </c:pt>
                <c:pt idx="112">
                  <c:v>0.31022500000000003</c:v>
                </c:pt>
                <c:pt idx="113">
                  <c:v>0.31035000000000001</c:v>
                </c:pt>
                <c:pt idx="114">
                  <c:v>0.310475</c:v>
                </c:pt>
                <c:pt idx="115">
                  <c:v>0.31059999999999999</c:v>
                </c:pt>
                <c:pt idx="116">
                  <c:v>0.31072500000000003</c:v>
                </c:pt>
                <c:pt idx="117">
                  <c:v>0.31085000000000002</c:v>
                </c:pt>
                <c:pt idx="118">
                  <c:v>0.310975</c:v>
                </c:pt>
                <c:pt idx="119">
                  <c:v>0.31110000000000004</c:v>
                </c:pt>
                <c:pt idx="120">
                  <c:v>0.31122500000000003</c:v>
                </c:pt>
                <c:pt idx="121">
                  <c:v>0.31135000000000002</c:v>
                </c:pt>
                <c:pt idx="122">
                  <c:v>0.311475</c:v>
                </c:pt>
                <c:pt idx="123">
                  <c:v>0.31159999999999999</c:v>
                </c:pt>
                <c:pt idx="124">
                  <c:v>0.31172500000000003</c:v>
                </c:pt>
                <c:pt idx="125">
                  <c:v>0.31185000000000002</c:v>
                </c:pt>
                <c:pt idx="126">
                  <c:v>0.311975</c:v>
                </c:pt>
                <c:pt idx="127">
                  <c:v>0.31210000000000004</c:v>
                </c:pt>
                <c:pt idx="128">
                  <c:v>0.31222500000000003</c:v>
                </c:pt>
                <c:pt idx="129">
                  <c:v>0.31235000000000002</c:v>
                </c:pt>
                <c:pt idx="130">
                  <c:v>0.312475</c:v>
                </c:pt>
                <c:pt idx="131">
                  <c:v>0.31259999999999999</c:v>
                </c:pt>
                <c:pt idx="132">
                  <c:v>0.31272500000000003</c:v>
                </c:pt>
                <c:pt idx="133">
                  <c:v>0.31285000000000002</c:v>
                </c:pt>
                <c:pt idx="134">
                  <c:v>0.312975</c:v>
                </c:pt>
                <c:pt idx="135">
                  <c:v>0.31309999999999999</c:v>
                </c:pt>
                <c:pt idx="136">
                  <c:v>0.31322500000000003</c:v>
                </c:pt>
                <c:pt idx="137">
                  <c:v>0.31335000000000002</c:v>
                </c:pt>
                <c:pt idx="138">
                  <c:v>0.313475</c:v>
                </c:pt>
                <c:pt idx="139">
                  <c:v>0.31359999999999999</c:v>
                </c:pt>
                <c:pt idx="140">
                  <c:v>0.31372500000000003</c:v>
                </c:pt>
                <c:pt idx="141">
                  <c:v>0.31385000000000002</c:v>
                </c:pt>
                <c:pt idx="142">
                  <c:v>0.313975</c:v>
                </c:pt>
                <c:pt idx="143">
                  <c:v>0.31409999999999999</c:v>
                </c:pt>
                <c:pt idx="144">
                  <c:v>0.31422500000000003</c:v>
                </c:pt>
                <c:pt idx="145">
                  <c:v>0.31435000000000002</c:v>
                </c:pt>
                <c:pt idx="146">
                  <c:v>0.314475</c:v>
                </c:pt>
                <c:pt idx="147">
                  <c:v>0.31459999999999999</c:v>
                </c:pt>
                <c:pt idx="148">
                  <c:v>0.31472500000000003</c:v>
                </c:pt>
                <c:pt idx="149">
                  <c:v>0.31485000000000002</c:v>
                </c:pt>
                <c:pt idx="150">
                  <c:v>0.314975</c:v>
                </c:pt>
              </c:numCache>
            </c:numRef>
          </c:yVal>
          <c:smooth val="1"/>
          <c:extLst>
            <c:ext xmlns:c16="http://schemas.microsoft.com/office/drawing/2014/chart" uri="{C3380CC4-5D6E-409C-BE32-E72D297353CC}">
              <c16:uniqueId val="{00000002-D428-476F-9D9B-414A5D21B4D3}"/>
            </c:ext>
          </c:extLst>
        </c:ser>
        <c:ser>
          <c:idx val="3"/>
          <c:order val="3"/>
          <c:tx>
            <c:v>RCS</c:v>
          </c:tx>
          <c:spPr>
            <a:ln>
              <a:solidFill>
                <a:schemeClr val="accent5">
                  <a:lumMod val="75000"/>
                </a:schemeClr>
              </a:solidFill>
              <a:prstDash val="lgDashDotDot"/>
            </a:ln>
          </c:spPr>
          <c:marker>
            <c:symbol val="none"/>
          </c:marker>
          <c:xVal>
            <c:numRef>
              <c:f>Eff_vs_IOUT!$S$7:$S$157</c:f>
              <c:numCache>
                <c:formatCode>General</c:formatCode>
                <c:ptCount val="151"/>
                <c:pt idx="0">
                  <c:v>0</c:v>
                </c:pt>
                <c:pt idx="1">
                  <c:v>9.9999999999999991E-5</c:v>
                </c:pt>
                <c:pt idx="2">
                  <c:v>1.9999999999999998E-4</c:v>
                </c:pt>
                <c:pt idx="3">
                  <c:v>2.9999999999999997E-4</c:v>
                </c:pt>
                <c:pt idx="4">
                  <c:v>3.9999999999999996E-4</c:v>
                </c:pt>
                <c:pt idx="5">
                  <c:v>5.0000000000000001E-4</c:v>
                </c:pt>
                <c:pt idx="6">
                  <c:v>5.9999999999999995E-4</c:v>
                </c:pt>
                <c:pt idx="7">
                  <c:v>6.9999999999999988E-4</c:v>
                </c:pt>
                <c:pt idx="8">
                  <c:v>7.9999999999999993E-4</c:v>
                </c:pt>
                <c:pt idx="9">
                  <c:v>8.9999999999999998E-4</c:v>
                </c:pt>
                <c:pt idx="10">
                  <c:v>1E-3</c:v>
                </c:pt>
                <c:pt idx="11">
                  <c:v>1.0999999999999998E-3</c:v>
                </c:pt>
                <c:pt idx="12">
                  <c:v>1.1999999999999999E-3</c:v>
                </c:pt>
                <c:pt idx="13">
                  <c:v>1.2999999999999999E-3</c:v>
                </c:pt>
                <c:pt idx="14">
                  <c:v>1.3999999999999998E-3</c:v>
                </c:pt>
                <c:pt idx="15">
                  <c:v>1.4999999999999998E-3</c:v>
                </c:pt>
                <c:pt idx="16">
                  <c:v>1.5999999999999999E-3</c:v>
                </c:pt>
                <c:pt idx="17">
                  <c:v>1.6999999999999999E-3</c:v>
                </c:pt>
                <c:pt idx="18">
                  <c:v>1.8E-3</c:v>
                </c:pt>
                <c:pt idx="19">
                  <c:v>1.8999999999999998E-3</c:v>
                </c:pt>
                <c:pt idx="20">
                  <c:v>2E-3</c:v>
                </c:pt>
                <c:pt idx="21">
                  <c:v>2.0999999999999999E-3</c:v>
                </c:pt>
                <c:pt idx="22">
                  <c:v>2.1999999999999997E-3</c:v>
                </c:pt>
                <c:pt idx="23">
                  <c:v>2.3E-3</c:v>
                </c:pt>
                <c:pt idx="24">
                  <c:v>2.3999999999999998E-3</c:v>
                </c:pt>
                <c:pt idx="25">
                  <c:v>2.4999999999999996E-3</c:v>
                </c:pt>
                <c:pt idx="26">
                  <c:v>2.5999999999999999E-3</c:v>
                </c:pt>
                <c:pt idx="27">
                  <c:v>2.6999999999999997E-3</c:v>
                </c:pt>
                <c:pt idx="28">
                  <c:v>2.7999999999999995E-3</c:v>
                </c:pt>
                <c:pt idx="29">
                  <c:v>2.8999999999999998E-3</c:v>
                </c:pt>
                <c:pt idx="30">
                  <c:v>2.9999999999999996E-3</c:v>
                </c:pt>
                <c:pt idx="31">
                  <c:v>3.0999999999999999E-3</c:v>
                </c:pt>
                <c:pt idx="32">
                  <c:v>3.1999999999999997E-3</c:v>
                </c:pt>
                <c:pt idx="33">
                  <c:v>3.2999999999999995E-3</c:v>
                </c:pt>
                <c:pt idx="34">
                  <c:v>3.3999999999999998E-3</c:v>
                </c:pt>
                <c:pt idx="35">
                  <c:v>3.4999999999999996E-3</c:v>
                </c:pt>
                <c:pt idx="36">
                  <c:v>3.5999999999999999E-3</c:v>
                </c:pt>
                <c:pt idx="37">
                  <c:v>3.6999999999999997E-3</c:v>
                </c:pt>
                <c:pt idx="38">
                  <c:v>3.7999999999999996E-3</c:v>
                </c:pt>
                <c:pt idx="39">
                  <c:v>3.8999999999999998E-3</c:v>
                </c:pt>
                <c:pt idx="40">
                  <c:v>4.0000000000000001E-3</c:v>
                </c:pt>
                <c:pt idx="41">
                  <c:v>4.0999999999999995E-3</c:v>
                </c:pt>
                <c:pt idx="42">
                  <c:v>4.1999999999999997E-3</c:v>
                </c:pt>
                <c:pt idx="43">
                  <c:v>4.3E-3</c:v>
                </c:pt>
                <c:pt idx="44">
                  <c:v>4.3999999999999994E-3</c:v>
                </c:pt>
                <c:pt idx="45">
                  <c:v>4.4999999999999997E-3</c:v>
                </c:pt>
                <c:pt idx="46">
                  <c:v>4.5999999999999999E-3</c:v>
                </c:pt>
                <c:pt idx="47">
                  <c:v>4.6999999999999993E-3</c:v>
                </c:pt>
                <c:pt idx="48">
                  <c:v>4.7999999999999996E-3</c:v>
                </c:pt>
                <c:pt idx="49">
                  <c:v>4.8999999999999998E-3</c:v>
                </c:pt>
                <c:pt idx="50">
                  <c:v>4.9999999999999992E-3</c:v>
                </c:pt>
                <c:pt idx="51">
                  <c:v>5.0999999999999995E-3</c:v>
                </c:pt>
                <c:pt idx="52">
                  <c:v>5.1999999999999998E-3</c:v>
                </c:pt>
                <c:pt idx="53">
                  <c:v>5.2999999999999992E-3</c:v>
                </c:pt>
                <c:pt idx="54">
                  <c:v>5.3999999999999994E-3</c:v>
                </c:pt>
                <c:pt idx="55">
                  <c:v>5.4999999999999997E-3</c:v>
                </c:pt>
                <c:pt idx="56">
                  <c:v>5.5999999999999991E-3</c:v>
                </c:pt>
                <c:pt idx="57">
                  <c:v>5.6999999999999993E-3</c:v>
                </c:pt>
                <c:pt idx="58">
                  <c:v>5.7999999999999996E-3</c:v>
                </c:pt>
                <c:pt idx="59">
                  <c:v>5.8999999999999999E-3</c:v>
                </c:pt>
                <c:pt idx="60">
                  <c:v>5.9999999999999993E-3</c:v>
                </c:pt>
                <c:pt idx="61">
                  <c:v>6.0999999999999995E-3</c:v>
                </c:pt>
                <c:pt idx="62">
                  <c:v>6.1999999999999998E-3</c:v>
                </c:pt>
                <c:pt idx="63">
                  <c:v>6.2999999999999992E-3</c:v>
                </c:pt>
                <c:pt idx="64">
                  <c:v>6.3999999999999994E-3</c:v>
                </c:pt>
                <c:pt idx="65">
                  <c:v>6.4999999999999997E-3</c:v>
                </c:pt>
                <c:pt idx="66">
                  <c:v>6.5999999999999991E-3</c:v>
                </c:pt>
                <c:pt idx="67">
                  <c:v>6.6999999999999994E-3</c:v>
                </c:pt>
                <c:pt idx="68">
                  <c:v>6.7999999999999996E-3</c:v>
                </c:pt>
                <c:pt idx="69">
                  <c:v>6.899999999999999E-3</c:v>
                </c:pt>
                <c:pt idx="70">
                  <c:v>6.9999999999999993E-3</c:v>
                </c:pt>
                <c:pt idx="71">
                  <c:v>7.0999999999999995E-3</c:v>
                </c:pt>
                <c:pt idx="72">
                  <c:v>7.1999999999999998E-3</c:v>
                </c:pt>
                <c:pt idx="73">
                  <c:v>7.2999999999999992E-3</c:v>
                </c:pt>
                <c:pt idx="74">
                  <c:v>7.3999999999999995E-3</c:v>
                </c:pt>
                <c:pt idx="75">
                  <c:v>7.4999999999999997E-3</c:v>
                </c:pt>
                <c:pt idx="76">
                  <c:v>7.5999999999999991E-3</c:v>
                </c:pt>
                <c:pt idx="77">
                  <c:v>7.6999999999999994E-3</c:v>
                </c:pt>
                <c:pt idx="78">
                  <c:v>7.7999999999999996E-3</c:v>
                </c:pt>
                <c:pt idx="79">
                  <c:v>7.899999999999999E-3</c:v>
                </c:pt>
                <c:pt idx="80">
                  <c:v>8.0000000000000002E-3</c:v>
                </c:pt>
                <c:pt idx="81">
                  <c:v>8.0999999999999996E-3</c:v>
                </c:pt>
                <c:pt idx="82">
                  <c:v>8.199999999999999E-3</c:v>
                </c:pt>
                <c:pt idx="83">
                  <c:v>8.3000000000000001E-3</c:v>
                </c:pt>
                <c:pt idx="84">
                  <c:v>8.3999999999999995E-3</c:v>
                </c:pt>
                <c:pt idx="85">
                  <c:v>8.4999999999999989E-3</c:v>
                </c:pt>
                <c:pt idx="86">
                  <c:v>8.6E-3</c:v>
                </c:pt>
                <c:pt idx="87">
                  <c:v>8.6999999999999994E-3</c:v>
                </c:pt>
                <c:pt idx="88">
                  <c:v>8.7999999999999988E-3</c:v>
                </c:pt>
                <c:pt idx="89">
                  <c:v>8.8999999999999999E-3</c:v>
                </c:pt>
                <c:pt idx="90">
                  <c:v>8.9999999999999993E-3</c:v>
                </c:pt>
                <c:pt idx="91">
                  <c:v>9.0999999999999987E-3</c:v>
                </c:pt>
                <c:pt idx="92">
                  <c:v>9.1999999999999998E-3</c:v>
                </c:pt>
                <c:pt idx="93">
                  <c:v>9.2999999999999992E-3</c:v>
                </c:pt>
                <c:pt idx="94">
                  <c:v>9.3999999999999986E-3</c:v>
                </c:pt>
                <c:pt idx="95">
                  <c:v>9.4999999999999998E-3</c:v>
                </c:pt>
                <c:pt idx="96">
                  <c:v>9.5999999999999992E-3</c:v>
                </c:pt>
                <c:pt idx="97">
                  <c:v>9.6999999999999986E-3</c:v>
                </c:pt>
                <c:pt idx="98">
                  <c:v>9.7999999999999997E-3</c:v>
                </c:pt>
                <c:pt idx="99">
                  <c:v>9.8999999999999991E-3</c:v>
                </c:pt>
                <c:pt idx="100">
                  <c:v>9.9999999999999985E-3</c:v>
                </c:pt>
                <c:pt idx="101">
                  <c:v>1.01E-2</c:v>
                </c:pt>
                <c:pt idx="102">
                  <c:v>1.0199999999999999E-2</c:v>
                </c:pt>
                <c:pt idx="103">
                  <c:v>1.0299999999999998E-2</c:v>
                </c:pt>
                <c:pt idx="104">
                  <c:v>1.04E-2</c:v>
                </c:pt>
                <c:pt idx="105">
                  <c:v>1.0499999999999999E-2</c:v>
                </c:pt>
                <c:pt idx="106">
                  <c:v>1.0599999999999998E-2</c:v>
                </c:pt>
                <c:pt idx="107">
                  <c:v>1.0699999999999999E-2</c:v>
                </c:pt>
                <c:pt idx="108">
                  <c:v>1.0799999999999999E-2</c:v>
                </c:pt>
                <c:pt idx="109">
                  <c:v>1.0899999999999998E-2</c:v>
                </c:pt>
                <c:pt idx="110">
                  <c:v>1.0999999999999999E-2</c:v>
                </c:pt>
                <c:pt idx="111">
                  <c:v>1.1099999999999999E-2</c:v>
                </c:pt>
                <c:pt idx="112">
                  <c:v>1.1199999999999998E-2</c:v>
                </c:pt>
                <c:pt idx="113">
                  <c:v>1.1299999999999999E-2</c:v>
                </c:pt>
                <c:pt idx="114">
                  <c:v>1.1399999999999999E-2</c:v>
                </c:pt>
                <c:pt idx="115">
                  <c:v>1.15E-2</c:v>
                </c:pt>
                <c:pt idx="116">
                  <c:v>1.1599999999999999E-2</c:v>
                </c:pt>
                <c:pt idx="117">
                  <c:v>1.1699999999999999E-2</c:v>
                </c:pt>
                <c:pt idx="118">
                  <c:v>1.18E-2</c:v>
                </c:pt>
                <c:pt idx="119">
                  <c:v>1.1899999999999999E-2</c:v>
                </c:pt>
                <c:pt idx="120">
                  <c:v>1.1999999999999999E-2</c:v>
                </c:pt>
                <c:pt idx="121">
                  <c:v>1.21E-2</c:v>
                </c:pt>
                <c:pt idx="122">
                  <c:v>1.2199999999999999E-2</c:v>
                </c:pt>
                <c:pt idx="123">
                  <c:v>1.2299999999999998E-2</c:v>
                </c:pt>
                <c:pt idx="124">
                  <c:v>1.24E-2</c:v>
                </c:pt>
                <c:pt idx="125">
                  <c:v>1.2499999999999999E-2</c:v>
                </c:pt>
                <c:pt idx="126">
                  <c:v>1.2599999999999998E-2</c:v>
                </c:pt>
                <c:pt idx="127">
                  <c:v>1.2699999999999999E-2</c:v>
                </c:pt>
                <c:pt idx="128">
                  <c:v>1.2799999999999999E-2</c:v>
                </c:pt>
                <c:pt idx="129">
                  <c:v>1.2899999999999998E-2</c:v>
                </c:pt>
                <c:pt idx="130">
                  <c:v>1.2999999999999999E-2</c:v>
                </c:pt>
                <c:pt idx="131">
                  <c:v>1.3099999999999999E-2</c:v>
                </c:pt>
                <c:pt idx="132">
                  <c:v>1.3199999999999998E-2</c:v>
                </c:pt>
                <c:pt idx="133">
                  <c:v>1.3299999999999999E-2</c:v>
                </c:pt>
                <c:pt idx="134">
                  <c:v>1.3399999999999999E-2</c:v>
                </c:pt>
                <c:pt idx="135">
                  <c:v>1.3499999999999998E-2</c:v>
                </c:pt>
                <c:pt idx="136">
                  <c:v>1.3599999999999999E-2</c:v>
                </c:pt>
                <c:pt idx="137">
                  <c:v>1.3699999999999999E-2</c:v>
                </c:pt>
                <c:pt idx="138">
                  <c:v>1.3799999999999998E-2</c:v>
                </c:pt>
                <c:pt idx="139">
                  <c:v>1.3899999999999999E-2</c:v>
                </c:pt>
                <c:pt idx="140">
                  <c:v>1.3999999999999999E-2</c:v>
                </c:pt>
                <c:pt idx="141">
                  <c:v>1.4099999999999998E-2</c:v>
                </c:pt>
                <c:pt idx="142">
                  <c:v>1.4199999999999999E-2</c:v>
                </c:pt>
                <c:pt idx="143">
                  <c:v>1.4299999999999998E-2</c:v>
                </c:pt>
                <c:pt idx="144">
                  <c:v>1.44E-2</c:v>
                </c:pt>
                <c:pt idx="145">
                  <c:v>1.4499999999999999E-2</c:v>
                </c:pt>
                <c:pt idx="146">
                  <c:v>1.4599999999999998E-2</c:v>
                </c:pt>
                <c:pt idx="147">
                  <c:v>1.47E-2</c:v>
                </c:pt>
                <c:pt idx="148">
                  <c:v>1.4799999999999999E-2</c:v>
                </c:pt>
                <c:pt idx="149">
                  <c:v>1.4899999999999998E-2</c:v>
                </c:pt>
                <c:pt idx="150">
                  <c:v>1.4999999999999999E-2</c:v>
                </c:pt>
              </c:numCache>
            </c:numRef>
          </c:xVal>
          <c:yVal>
            <c:numRef>
              <c:f>Eff_vs_IOUT!$AO$7:$AO$157</c:f>
              <c:numCache>
                <c:formatCode>General</c:formatCode>
                <c:ptCount val="151"/>
                <c:pt idx="0">
                  <c:v>0</c:v>
                </c:pt>
                <c:pt idx="1">
                  <c:v>5.2965764676607676E-6</c:v>
                </c:pt>
                <c:pt idx="2">
                  <c:v>1.498098054942408E-5</c:v>
                </c:pt>
                <c:pt idx="3">
                  <c:v>2.7521818644486425E-5</c:v>
                </c:pt>
                <c:pt idx="4">
                  <c:v>4.237261174128614E-5</c:v>
                </c:pt>
                <c:pt idx="5">
                  <c:v>5.9217525148575917E-5</c:v>
                </c:pt>
                <c:pt idx="6">
                  <c:v>7.7843458376410782E-5</c:v>
                </c:pt>
                <c:pt idx="7">
                  <c:v>9.8093968934271302E-5</c:v>
                </c:pt>
                <c:pt idx="8">
                  <c:v>1.1984784439539262E-4</c:v>
                </c:pt>
                <c:pt idx="9">
                  <c:v>1.4300756462684071E-4</c:v>
                </c:pt>
                <c:pt idx="10">
                  <c:v>1.6749245439057173E-4</c:v>
                </c:pt>
                <c:pt idx="11">
                  <c:v>1.9323432498322403E-4</c:v>
                </c:pt>
                <c:pt idx="12">
                  <c:v>2.2017454915589142E-4</c:v>
                </c:pt>
                <c:pt idx="13">
                  <c:v>2.4826201450136865E-4</c:v>
                </c:pt>
                <c:pt idx="14">
                  <c:v>2.7745164250770303E-4</c:v>
                </c:pt>
                <c:pt idx="15">
                  <c:v>3.0770328676746377E-4</c:v>
                </c:pt>
                <c:pt idx="16">
                  <c:v>3.3898089393028912E-4</c:v>
                </c:pt>
                <c:pt idx="17">
                  <c:v>3.7125185191554561E-4</c:v>
                </c:pt>
                <c:pt idx="18">
                  <c:v>4.0448647483444977E-4</c:v>
                </c:pt>
                <c:pt idx="19">
                  <c:v>4.38657589816109E-4</c:v>
                </c:pt>
                <c:pt idx="20">
                  <c:v>4.7374020118860739E-4</c:v>
                </c:pt>
                <c:pt idx="21">
                  <c:v>5.0971121433072281E-4</c:v>
                </c:pt>
                <c:pt idx="22">
                  <c:v>5.4654920621457137E-4</c:v>
                </c:pt>
                <c:pt idx="23">
                  <c:v>5.8423423295260826E-4</c:v>
                </c:pt>
                <c:pt idx="24">
                  <c:v>6.2274766701128647E-4</c:v>
                </c:pt>
                <c:pt idx="25">
                  <c:v>6.6207205845759552E-4</c:v>
                </c:pt>
                <c:pt idx="26">
                  <c:v>7.0219101585980318E-4</c:v>
                </c:pt>
                <c:pt idx="27">
                  <c:v>7.4308910340113287E-4</c:v>
                </c:pt>
                <c:pt idx="28">
                  <c:v>7.8475175147417042E-4</c:v>
                </c:pt>
                <c:pt idx="29">
                  <c:v>8.2716517856636258E-4</c:v>
                </c:pt>
                <c:pt idx="30">
                  <c:v>8.7031632266664979E-4</c:v>
                </c:pt>
                <c:pt idx="31">
                  <c:v>9.1419278075101763E-4</c:v>
                </c:pt>
                <c:pt idx="32">
                  <c:v>9.5878275516314115E-4</c:v>
                </c:pt>
                <c:pt idx="33">
                  <c:v>1.0040750059116602E-3</c:v>
                </c:pt>
                <c:pt idx="34">
                  <c:v>1.0500588080701854E-3</c:v>
                </c:pt>
                <c:pt idx="35">
                  <c:v>1.0967239135989161E-3</c:v>
                </c:pt>
                <c:pt idx="36">
                  <c:v>1.1440605170147256E-3</c:v>
                </c:pt>
                <c:pt idx="37">
                  <c:v>1.1920592244248093E-3</c:v>
                </c:pt>
                <c:pt idx="38">
                  <c:v>1.2407110255116711E-3</c:v>
                </c:pt>
                <c:pt idx="39">
                  <c:v>1.290007268117316E-3</c:v>
                </c:pt>
                <c:pt idx="40">
                  <c:v>1.3399396351245741E-3</c:v>
                </c:pt>
                <c:pt idx="41">
                  <c:v>1.3905001233752992E-3</c:v>
                </c:pt>
                <c:pt idx="42">
                  <c:v>1.4416810244003353E-3</c:v>
                </c:pt>
                <c:pt idx="43">
                  <c:v>1.4934749067658554E-3</c:v>
                </c:pt>
                <c:pt idx="44">
                  <c:v>1.5458745998657929E-3</c:v>
                </c:pt>
                <c:pt idx="45">
                  <c:v>1.5988731790115506E-3</c:v>
                </c:pt>
                <c:pt idx="46">
                  <c:v>1.6524639516884414E-3</c:v>
                </c:pt>
                <c:pt idx="47">
                  <c:v>1.7066404448640383E-3</c:v>
                </c:pt>
                <c:pt idx="48">
                  <c:v>1.7613963932471312E-3</c:v>
                </c:pt>
                <c:pt idx="49">
                  <c:v>1.8167257284076421E-3</c:v>
                </c:pt>
                <c:pt idx="50">
                  <c:v>1.8726225686780085E-3</c:v>
                </c:pt>
                <c:pt idx="51">
                  <c:v>1.9290812097652872E-3</c:v>
                </c:pt>
                <c:pt idx="52">
                  <c:v>1.9860961160109497E-3</c:v>
                </c:pt>
                <c:pt idx="53">
                  <c:v>2.0436619122420228E-3</c:v>
                </c:pt>
                <c:pt idx="54">
                  <c:v>2.1017733761630915E-3</c:v>
                </c:pt>
                <c:pt idx="55">
                  <c:v>2.1604254312438736E-3</c:v>
                </c:pt>
                <c:pt idx="56">
                  <c:v>2.2196131400616247E-3</c:v>
                </c:pt>
                <c:pt idx="57">
                  <c:v>2.2793316980616262E-3</c:v>
                </c:pt>
                <c:pt idx="58">
                  <c:v>2.3395764277026254E-3</c:v>
                </c:pt>
                <c:pt idx="59">
                  <c:v>2.4003427729571715E-3</c:v>
                </c:pt>
                <c:pt idx="60">
                  <c:v>2.4616262941397102E-3</c:v>
                </c:pt>
                <c:pt idx="61">
                  <c:v>2.5234226630376998E-3</c:v>
                </c:pt>
                <c:pt idx="62">
                  <c:v>2.5857276583233246E-3</c:v>
                </c:pt>
                <c:pt idx="63">
                  <c:v>2.6485371612253246E-3</c:v>
                </c:pt>
                <c:pt idx="64">
                  <c:v>2.711847151442313E-3</c:v>
                </c:pt>
                <c:pt idx="65">
                  <c:v>2.7756537032804949E-3</c:v>
                </c:pt>
                <c:pt idx="66">
                  <c:v>2.8399529820002305E-3</c:v>
                </c:pt>
                <c:pt idx="67">
                  <c:v>2.9047412403570964E-3</c:v>
                </c:pt>
                <c:pt idx="68">
                  <c:v>2.9700148153243653E-3</c:v>
                </c:pt>
                <c:pt idx="69">
                  <c:v>3.0357701249848447E-3</c:v>
                </c:pt>
                <c:pt idx="70">
                  <c:v>3.102003665580973E-3</c:v>
                </c:pt>
                <c:pt idx="71">
                  <c:v>3.1687120087129602E-3</c:v>
                </c:pt>
                <c:pt idx="72">
                  <c:v>3.2358917986755986E-3</c:v>
                </c:pt>
                <c:pt idx="73">
                  <c:v>3.3035397499249631E-3</c:v>
                </c:pt>
                <c:pt idx="74">
                  <c:v>3.3716526446670374E-3</c:v>
                </c:pt>
                <c:pt idx="75">
                  <c:v>3.440227330560802E-3</c:v>
                </c:pt>
                <c:pt idx="76">
                  <c:v>3.5092607185288724E-3</c:v>
                </c:pt>
                <c:pt idx="77">
                  <c:v>3.5787497806693234E-3</c:v>
                </c:pt>
                <c:pt idx="78">
                  <c:v>3.6486915482627463E-3</c:v>
                </c:pt>
                <c:pt idx="79">
                  <c:v>3.7190831098690542E-3</c:v>
                </c:pt>
                <c:pt idx="80">
                  <c:v>3.7899216095088587E-3</c:v>
                </c:pt>
                <c:pt idx="81">
                  <c:v>3.861204244924696E-3</c:v>
                </c:pt>
                <c:pt idx="82">
                  <c:v>3.9329282659176191E-3</c:v>
                </c:pt>
                <c:pt idx="83">
                  <c:v>4.0050909727550174E-3</c:v>
                </c:pt>
                <c:pt idx="84">
                  <c:v>4.0776897146457824E-3</c:v>
                </c:pt>
                <c:pt idx="85">
                  <c:v>4.1507218882792275E-3</c:v>
                </c:pt>
                <c:pt idx="86">
                  <c:v>4.2241849364243302E-3</c:v>
                </c:pt>
                <c:pt idx="87">
                  <c:v>4.2980763465861674E-3</c:v>
                </c:pt>
                <c:pt idx="88">
                  <c:v>4.3723936497165718E-3</c:v>
                </c:pt>
                <c:pt idx="89">
                  <c:v>4.4471344189761933E-3</c:v>
                </c:pt>
                <c:pt idx="90">
                  <c:v>4.5222962685454397E-3</c:v>
                </c:pt>
                <c:pt idx="91">
                  <c:v>4.5978768524817292E-3</c:v>
                </c:pt>
                <c:pt idx="92">
                  <c:v>4.6738738636208661E-3</c:v>
                </c:pt>
                <c:pt idx="93">
                  <c:v>4.7502850325203145E-3</c:v>
                </c:pt>
                <c:pt idx="94">
                  <c:v>4.8271081264423523E-3</c:v>
                </c:pt>
                <c:pt idx="95">
                  <c:v>4.9043409483751953E-3</c:v>
                </c:pt>
                <c:pt idx="96">
                  <c:v>4.9819813360902901E-3</c:v>
                </c:pt>
                <c:pt idx="97">
                  <c:v>5.060027161234046E-3</c:v>
                </c:pt>
                <c:pt idx="98">
                  <c:v>5.1384763284524557E-3</c:v>
                </c:pt>
                <c:pt idx="99">
                  <c:v>5.2173267745470493E-3</c:v>
                </c:pt>
                <c:pt idx="100">
                  <c:v>5.2965764676607633E-3</c:v>
                </c:pt>
                <c:pt idx="101">
                  <c:v>5.3762234064923991E-3</c:v>
                </c:pt>
                <c:pt idx="102">
                  <c:v>5.4562656195383304E-3</c:v>
                </c:pt>
                <c:pt idx="103">
                  <c:v>5.5367011643603524E-3</c:v>
                </c:pt>
                <c:pt idx="104">
                  <c:v>5.6175281268784245E-3</c:v>
                </c:pt>
                <c:pt idx="105">
                  <c:v>5.6987446206873058E-3</c:v>
                </c:pt>
                <c:pt idx="106">
                  <c:v>5.780348786396005E-3</c:v>
                </c:pt>
                <c:pt idx="107">
                  <c:v>5.8623387909891144E-3</c:v>
                </c:pt>
                <c:pt idx="108">
                  <c:v>5.944712827209063E-3</c:v>
                </c:pt>
                <c:pt idx="109">
                  <c:v>6.0274691129584617E-3</c:v>
                </c:pt>
                <c:pt idx="110">
                  <c:v>6.1106058907216603E-3</c:v>
                </c:pt>
                <c:pt idx="111">
                  <c:v>6.19412142700476E-3</c:v>
                </c:pt>
                <c:pt idx="112">
                  <c:v>6.2780140117933633E-3</c:v>
                </c:pt>
                <c:pt idx="113">
                  <c:v>6.3622819580272227E-3</c:v>
                </c:pt>
                <c:pt idx="114">
                  <c:v>6.4469236010912985E-3</c:v>
                </c:pt>
                <c:pt idx="115">
                  <c:v>6.531937298322397E-3</c:v>
                </c:pt>
                <c:pt idx="116">
                  <c:v>6.6173214285309007E-3</c:v>
                </c:pt>
                <c:pt idx="117">
                  <c:v>6.7030743915369546E-3</c:v>
                </c:pt>
                <c:pt idx="118">
                  <c:v>6.7891946077205494E-3</c:v>
                </c:pt>
                <c:pt idx="119">
                  <c:v>6.8756805175849822E-3</c:v>
                </c:pt>
                <c:pt idx="120">
                  <c:v>6.9625305813331975E-3</c:v>
                </c:pt>
                <c:pt idx="121">
                  <c:v>7.0497432784564773E-3</c:v>
                </c:pt>
                <c:pt idx="122">
                  <c:v>7.1373171073350955E-3</c:v>
                </c:pt>
                <c:pt idx="123">
                  <c:v>7.2252505848504327E-3</c:v>
                </c:pt>
                <c:pt idx="124">
                  <c:v>7.3135422460081402E-3</c:v>
                </c:pt>
                <c:pt idx="125">
                  <c:v>7.4021906435719938E-3</c:v>
                </c:pt>
                <c:pt idx="126">
                  <c:v>7.4911943477079818E-3</c:v>
                </c:pt>
                <c:pt idx="127">
                  <c:v>7.5805519456383485E-3</c:v>
                </c:pt>
                <c:pt idx="128">
                  <c:v>7.6702620413051275E-3</c:v>
                </c:pt>
                <c:pt idx="129">
                  <c:v>7.7603232550429594E-3</c:v>
                </c:pt>
                <c:pt idx="130">
                  <c:v>7.8507342232607639E-3</c:v>
                </c:pt>
                <c:pt idx="131">
                  <c:v>7.9414935981320118E-3</c:v>
                </c:pt>
                <c:pt idx="132">
                  <c:v>8.032600047293283E-3</c:v>
                </c:pt>
                <c:pt idx="133">
                  <c:v>8.1240522535508293E-3</c:v>
                </c:pt>
                <c:pt idx="134">
                  <c:v>8.2158489145949063E-3</c:v>
                </c:pt>
                <c:pt idx="135">
                  <c:v>8.3079887427215202E-3</c:v>
                </c:pt>
                <c:pt idx="136">
                  <c:v>8.4004704645614815E-3</c:v>
                </c:pt>
                <c:pt idx="137">
                  <c:v>8.4932928208163588E-3</c:v>
                </c:pt>
                <c:pt idx="138">
                  <c:v>8.5864545660012653E-3</c:v>
                </c:pt>
                <c:pt idx="139">
                  <c:v>8.6799544681941312E-3</c:v>
                </c:pt>
                <c:pt idx="140">
                  <c:v>8.7737913087913288E-3</c:v>
                </c:pt>
                <c:pt idx="141">
                  <c:v>8.8679638822693994E-3</c:v>
                </c:pt>
                <c:pt idx="142">
                  <c:v>8.9624709959527232E-3</c:v>
                </c:pt>
                <c:pt idx="143">
                  <c:v>9.0573114697869214E-3</c:v>
                </c:pt>
                <c:pt idx="144">
                  <c:v>9.1524841361178052E-3</c:v>
                </c:pt>
                <c:pt idx="145">
                  <c:v>9.2479878394756982E-3</c:v>
                </c:pt>
                <c:pt idx="146">
                  <c:v>9.343821436365007E-3</c:v>
                </c:pt>
                <c:pt idx="147">
                  <c:v>9.4399837950588442E-3</c:v>
                </c:pt>
                <c:pt idx="148">
                  <c:v>9.5364737953984747E-3</c:v>
                </c:pt>
                <c:pt idx="149">
                  <c:v>9.6332903285976362E-3</c:v>
                </c:pt>
                <c:pt idx="150">
                  <c:v>9.7304322970513529E-3</c:v>
                </c:pt>
              </c:numCache>
            </c:numRef>
          </c:yVal>
          <c:smooth val="1"/>
          <c:extLst>
            <c:ext xmlns:c16="http://schemas.microsoft.com/office/drawing/2014/chart" uri="{C3380CC4-5D6E-409C-BE32-E72D297353CC}">
              <c16:uniqueId val="{00000003-D428-476F-9D9B-414A5D21B4D3}"/>
            </c:ext>
          </c:extLst>
        </c:ser>
        <c:dLbls>
          <c:showLegendKey val="0"/>
          <c:showVal val="0"/>
          <c:showCatName val="0"/>
          <c:showSerName val="0"/>
          <c:showPercent val="0"/>
          <c:showBubbleSize val="0"/>
        </c:dLbls>
        <c:axId val="162552448"/>
        <c:axId val="162550528"/>
      </c:scatterChart>
      <c:valAx>
        <c:axId val="161084544"/>
        <c:scaling>
          <c:orientation val="minMax"/>
        </c:scaling>
        <c:delete val="0"/>
        <c:axPos val="b"/>
        <c:majorGridlines/>
        <c:numFmt formatCode="General" sourceLinked="1"/>
        <c:majorTickMark val="out"/>
        <c:minorTickMark val="none"/>
        <c:tickLblPos val="nextTo"/>
        <c:crossAx val="161086080"/>
        <c:crosses val="autoZero"/>
        <c:crossBetween val="midCat"/>
      </c:valAx>
      <c:valAx>
        <c:axId val="161086080"/>
        <c:scaling>
          <c:orientation val="minMax"/>
          <c:max val="100"/>
          <c:min val="60"/>
        </c:scaling>
        <c:delete val="0"/>
        <c:axPos val="l"/>
        <c:majorGridlines/>
        <c:title>
          <c:tx>
            <c:rich>
              <a:bodyPr rot="-5400000" vert="horz"/>
              <a:lstStyle/>
              <a:p>
                <a:pPr>
                  <a:defRPr sz="1400"/>
                </a:pPr>
                <a:r>
                  <a:rPr lang="en-US" sz="1400"/>
                  <a:t>Efficiency</a:t>
                </a:r>
                <a:r>
                  <a:rPr lang="en-US" sz="1400" baseline="0"/>
                  <a:t> (%)</a:t>
                </a:r>
                <a:endParaRPr lang="en-US" sz="1400"/>
              </a:p>
            </c:rich>
          </c:tx>
          <c:overlay val="0"/>
        </c:title>
        <c:numFmt formatCode="General" sourceLinked="1"/>
        <c:majorTickMark val="out"/>
        <c:minorTickMark val="none"/>
        <c:tickLblPos val="nextTo"/>
        <c:crossAx val="161084544"/>
        <c:crosses val="autoZero"/>
        <c:crossBetween val="midCat"/>
      </c:valAx>
      <c:valAx>
        <c:axId val="162550528"/>
        <c:scaling>
          <c:orientation val="minMax"/>
        </c:scaling>
        <c:delete val="0"/>
        <c:axPos val="r"/>
        <c:title>
          <c:tx>
            <c:rich>
              <a:bodyPr rot="-5400000" vert="horz"/>
              <a:lstStyle/>
              <a:p>
                <a:pPr>
                  <a:defRPr sz="1400"/>
                </a:pPr>
                <a:r>
                  <a:rPr lang="en-US" sz="1400"/>
                  <a:t>Losses</a:t>
                </a:r>
                <a:r>
                  <a:rPr lang="en-US" sz="1400" baseline="0"/>
                  <a:t> (W)</a:t>
                </a:r>
                <a:endParaRPr lang="en-US" sz="1400"/>
              </a:p>
            </c:rich>
          </c:tx>
          <c:overlay val="0"/>
        </c:title>
        <c:numFmt formatCode="General" sourceLinked="1"/>
        <c:majorTickMark val="out"/>
        <c:minorTickMark val="none"/>
        <c:tickLblPos val="nextTo"/>
        <c:crossAx val="162552448"/>
        <c:crosses val="max"/>
        <c:crossBetween val="midCat"/>
      </c:valAx>
      <c:valAx>
        <c:axId val="162552448"/>
        <c:scaling>
          <c:orientation val="minMax"/>
        </c:scaling>
        <c:delete val="1"/>
        <c:axPos val="b"/>
        <c:title>
          <c:tx>
            <c:rich>
              <a:bodyPr/>
              <a:lstStyle/>
              <a:p>
                <a:pPr>
                  <a:defRPr/>
                </a:pPr>
                <a:r>
                  <a:rPr lang="en-US"/>
                  <a:t>Loac</a:t>
                </a:r>
                <a:r>
                  <a:rPr lang="en-US" baseline="0"/>
                  <a:t> Current (A)</a:t>
                </a:r>
                <a:endParaRPr lang="en-US"/>
              </a:p>
            </c:rich>
          </c:tx>
          <c:overlay val="0"/>
        </c:title>
        <c:numFmt formatCode="General" sourceLinked="1"/>
        <c:majorTickMark val="out"/>
        <c:minorTickMark val="none"/>
        <c:tickLblPos val="nextTo"/>
        <c:crossAx val="162550528"/>
        <c:crosses val="autoZero"/>
        <c:crossBetween val="midCat"/>
      </c:valAx>
    </c:plotArea>
    <c:legend>
      <c:legendPos val="r"/>
      <c:layout>
        <c:manualLayout>
          <c:xMode val="edge"/>
          <c:yMode val="edge"/>
          <c:x val="0.51894403926190358"/>
          <c:y val="6.4862204724409449E-3"/>
          <c:w val="0.39609572935704079"/>
          <c:h val="0.12183653099700564"/>
        </c:manualLayout>
      </c:layout>
      <c:overlay val="1"/>
    </c:legend>
    <c:plotVisOnly val="1"/>
    <c:dispBlanksAs val="gap"/>
    <c:showDLblsOverMax val="0"/>
  </c:chart>
  <c:spPr>
    <a:ln>
      <a:noFill/>
    </a:ln>
  </c:spPr>
  <c:printSettings>
    <c:headerFooter/>
    <c:pageMargins b="0.75" l="0.7" r="0.7" t="0.75" header="0.3" footer="0.3"/>
    <c:pageSetup/>
  </c:printSettings>
</c:chartSpace>
</file>

<file path=xl/ctrlProps/ctrlProp1.xml><?xml version="1.0" encoding="utf-8"?>
<formControlPr xmlns="http://schemas.microsoft.com/office/spreadsheetml/2009/9/main" objectType="Drop" dropStyle="combo" dx="26" fmlaRange="$1:$1048576" noThreeD="1" sel="0" val="0"/>
</file>

<file path=xl/ctrlProps/ctrlProp2.xml><?xml version="1.0" encoding="utf-8"?>
<formControlPr xmlns="http://schemas.microsoft.com/office/spreadsheetml/2009/9/main" objectType="Spin" dx="20" fmlaLink="$H$8" max="45" noThreeD="1" page="10" val="12"/>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chart" Target="../charts/chart4.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9.emf"/></Relationships>
</file>

<file path=xl/drawings/_rels/drawing8.xml.rels><?xml version="1.0" encoding="UTF-8" standalone="yes"?>
<Relationships xmlns="http://schemas.openxmlformats.org/package/2006/relationships"><Relationship Id="rId3" Type="http://schemas.openxmlformats.org/officeDocument/2006/relationships/hyperlink" Target="http://www.ti.com/corp/docs/legal/copyright.shtml" TargetMode="External"/><Relationship Id="rId2" Type="http://schemas.openxmlformats.org/officeDocument/2006/relationships/image" Target="../media/image11.gif"/><Relationship Id="rId1" Type="http://schemas.openxmlformats.org/officeDocument/2006/relationships/hyperlink" Target="http://www.ti.co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596900</xdr:colOff>
          <xdr:row>30</xdr:row>
          <xdr:rowOff>88900</xdr:rowOff>
        </xdr:from>
        <xdr:to>
          <xdr:col>16</xdr:col>
          <xdr:colOff>215900</xdr:colOff>
          <xdr:row>31</xdr:row>
          <xdr:rowOff>114300</xdr:rowOff>
        </xdr:to>
        <xdr:sp macro="" textlink="">
          <xdr:nvSpPr>
            <xdr:cNvPr id="1170" name="Drop Down 146" descr="This is just there to fix the excel issue with comments and linked pictures" hidden="1">
              <a:extLst>
                <a:ext uri="{63B3BB69-23CF-44E3-9099-C40C66FF867C}">
                  <a14:compatExt spid="_x0000_s1170"/>
                </a:ext>
                <a:ext uri="{FF2B5EF4-FFF2-40B4-BE49-F238E27FC236}">
                  <a16:creationId xmlns:a16="http://schemas.microsoft.com/office/drawing/2014/main" id="{00000000-0008-0000-00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xdr:twoCellAnchor>
    <xdr:from>
      <xdr:col>9</xdr:col>
      <xdr:colOff>22860</xdr:colOff>
      <xdr:row>50</xdr:row>
      <xdr:rowOff>1</xdr:rowOff>
    </xdr:from>
    <xdr:to>
      <xdr:col>25</xdr:col>
      <xdr:colOff>598714</xdr:colOff>
      <xdr:row>71</xdr:row>
      <xdr:rowOff>175261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22861</xdr:colOff>
      <xdr:row>74</xdr:row>
      <xdr:rowOff>7620</xdr:rowOff>
    </xdr:from>
    <xdr:to>
      <xdr:col>25</xdr:col>
      <xdr:colOff>600637</xdr:colOff>
      <xdr:row>98</xdr:row>
      <xdr:rowOff>163286</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7</xdr:col>
          <xdr:colOff>508000</xdr:colOff>
          <xdr:row>56</xdr:row>
          <xdr:rowOff>0</xdr:rowOff>
        </xdr:from>
        <xdr:to>
          <xdr:col>8</xdr:col>
          <xdr:colOff>12700</xdr:colOff>
          <xdr:row>58</xdr:row>
          <xdr:rowOff>0</xdr:rowOff>
        </xdr:to>
        <xdr:sp macro="" textlink="">
          <xdr:nvSpPr>
            <xdr:cNvPr id="1060" name="Spinner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14</xdr:col>
      <xdr:colOff>134501</xdr:colOff>
      <xdr:row>49</xdr:row>
      <xdr:rowOff>62752</xdr:rowOff>
    </xdr:from>
    <xdr:to>
      <xdr:col>15</xdr:col>
      <xdr:colOff>484124</xdr:colOff>
      <xdr:row>51</xdr:row>
      <xdr:rowOff>161363</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326001" y="10338546"/>
          <a:ext cx="943535" cy="546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15</xdr:col>
      <xdr:colOff>197245</xdr:colOff>
      <xdr:row>49</xdr:row>
      <xdr:rowOff>71718</xdr:rowOff>
    </xdr:from>
    <xdr:to>
      <xdr:col>16</xdr:col>
      <xdr:colOff>528939</xdr:colOff>
      <xdr:row>51</xdr:row>
      <xdr:rowOff>170330</xdr:rowOff>
    </xdr:to>
    <xdr:sp macro="" textlink="VIN_nom">
      <xdr:nvSpPr>
        <xdr:cNvPr id="3" name="TextBox 2">
          <a:extLst>
            <a:ext uri="{FF2B5EF4-FFF2-40B4-BE49-F238E27FC236}">
              <a16:creationId xmlns:a16="http://schemas.microsoft.com/office/drawing/2014/main" id="{00000000-0008-0000-0000-000003000000}"/>
            </a:ext>
          </a:extLst>
        </xdr:cNvPr>
        <xdr:cNvSpPr txBox="1"/>
      </xdr:nvSpPr>
      <xdr:spPr>
        <a:xfrm>
          <a:off x="8955763" y="9538447"/>
          <a:ext cx="941294" cy="493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12</a:t>
          </a:fld>
          <a:endParaRPr lang="en-US" sz="2400"/>
        </a:p>
      </xdr:txBody>
    </xdr:sp>
    <xdr:clientData/>
  </xdr:twoCellAnchor>
  <xdr:twoCellAnchor>
    <xdr:from>
      <xdr:col>15</xdr:col>
      <xdr:colOff>568726</xdr:colOff>
      <xdr:row>49</xdr:row>
      <xdr:rowOff>62752</xdr:rowOff>
    </xdr:from>
    <xdr:to>
      <xdr:col>17</xdr:col>
      <xdr:colOff>318274</xdr:colOff>
      <xdr:row>51</xdr:row>
      <xdr:rowOff>161363</xdr:rowOff>
    </xdr:to>
    <xdr:sp macro="" textlink="">
      <xdr:nvSpPr>
        <xdr:cNvPr id="12" name="TextBox 11">
          <a:extLst>
            <a:ext uri="{FF2B5EF4-FFF2-40B4-BE49-F238E27FC236}">
              <a16:creationId xmlns:a16="http://schemas.microsoft.com/office/drawing/2014/main" id="{00000000-0008-0000-0000-00000C000000}"/>
            </a:ext>
          </a:extLst>
        </xdr:cNvPr>
        <xdr:cNvSpPr txBox="1"/>
      </xdr:nvSpPr>
      <xdr:spPr>
        <a:xfrm>
          <a:off x="9354138" y="10338546"/>
          <a:ext cx="937371" cy="5468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11</xdr:col>
      <xdr:colOff>376517</xdr:colOff>
      <xdr:row>74</xdr:row>
      <xdr:rowOff>26894</xdr:rowOff>
    </xdr:from>
    <xdr:to>
      <xdr:col>13</xdr:col>
      <xdr:colOff>116540</xdr:colOff>
      <xdr:row>76</xdr:row>
      <xdr:rowOff>134470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96635" y="14379388"/>
          <a:ext cx="959223" cy="493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r>
            <a:rPr lang="en-US" sz="2400" baseline="-25000"/>
            <a:t>IN</a:t>
          </a:r>
          <a:r>
            <a:rPr lang="en-US" sz="2400"/>
            <a:t> =</a:t>
          </a:r>
        </a:p>
      </xdr:txBody>
    </xdr:sp>
    <xdr:clientData/>
  </xdr:twoCellAnchor>
  <xdr:twoCellAnchor>
    <xdr:from>
      <xdr:col>12</xdr:col>
      <xdr:colOff>439261</xdr:colOff>
      <xdr:row>74</xdr:row>
      <xdr:rowOff>35860</xdr:rowOff>
    </xdr:from>
    <xdr:to>
      <xdr:col>14</xdr:col>
      <xdr:colOff>161355</xdr:colOff>
      <xdr:row>76</xdr:row>
      <xdr:rowOff>143437</xdr:rowOff>
    </xdr:to>
    <xdr:sp macro="" textlink="VIN_nom">
      <xdr:nvSpPr>
        <xdr:cNvPr id="10" name="TextBox 9">
          <a:extLst>
            <a:ext uri="{FF2B5EF4-FFF2-40B4-BE49-F238E27FC236}">
              <a16:creationId xmlns:a16="http://schemas.microsoft.com/office/drawing/2014/main" id="{00000000-0008-0000-0000-00000A000000}"/>
            </a:ext>
          </a:extLst>
        </xdr:cNvPr>
        <xdr:cNvSpPr txBox="1"/>
      </xdr:nvSpPr>
      <xdr:spPr>
        <a:xfrm>
          <a:off x="7368979" y="14388354"/>
          <a:ext cx="941294" cy="4930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B6E0D9B-34B5-4A81-8CB9-A88F658AFD78}" type="TxLink">
            <a:rPr lang="en-US" sz="2400" b="0" i="0" u="none" strike="noStrike">
              <a:solidFill>
                <a:srgbClr val="000000"/>
              </a:solidFill>
              <a:latin typeface="Calibri"/>
            </a:rPr>
            <a:pPr/>
            <a:t>12</a:t>
          </a:fld>
          <a:endParaRPr lang="en-US" sz="2400"/>
        </a:p>
      </xdr:txBody>
    </xdr:sp>
    <xdr:clientData/>
  </xdr:twoCellAnchor>
  <xdr:twoCellAnchor>
    <xdr:from>
      <xdr:col>13</xdr:col>
      <xdr:colOff>233079</xdr:colOff>
      <xdr:row>74</xdr:row>
      <xdr:rowOff>26894</xdr:rowOff>
    </xdr:from>
    <xdr:to>
      <xdr:col>14</xdr:col>
      <xdr:colOff>582702</xdr:colOff>
      <xdr:row>76</xdr:row>
      <xdr:rowOff>134470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772397" y="14379388"/>
          <a:ext cx="959223" cy="49305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V</a:t>
          </a:r>
        </a:p>
      </xdr:txBody>
    </xdr:sp>
    <xdr:clientData/>
  </xdr:twoCellAnchor>
  <xdr:twoCellAnchor>
    <xdr:from>
      <xdr:col>11</xdr:col>
      <xdr:colOff>99097</xdr:colOff>
      <xdr:row>67</xdr:row>
      <xdr:rowOff>155530</xdr:rowOff>
    </xdr:from>
    <xdr:to>
      <xdr:col>13</xdr:col>
      <xdr:colOff>150962</xdr:colOff>
      <xdr:row>68</xdr:row>
      <xdr:rowOff>132991</xdr:rowOff>
    </xdr:to>
    <xdr:sp macro="" textlink="Loop_Modeling!A69">
      <xdr:nvSpPr>
        <xdr:cNvPr id="14" name="TextBox 13">
          <a:extLst>
            <a:ext uri="{FF2B5EF4-FFF2-40B4-BE49-F238E27FC236}">
              <a16:creationId xmlns:a16="http://schemas.microsoft.com/office/drawing/2014/main" id="{00000000-0008-0000-0000-00000E000000}"/>
            </a:ext>
          </a:extLst>
        </xdr:cNvPr>
        <xdr:cNvSpPr txBox="1"/>
      </xdr:nvSpPr>
      <xdr:spPr>
        <a:xfrm>
          <a:off x="6475455" y="14328011"/>
          <a:ext cx="1230809" cy="1787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6E2E744-8A5D-4458-A426-E4363EDE50C7}" type="TxLink">
            <a:rPr lang="en-US" sz="1100" b="1" i="0" u="none" strike="noStrike">
              <a:solidFill>
                <a:schemeClr val="accent1">
                  <a:lumMod val="75000"/>
                </a:schemeClr>
              </a:solidFill>
              <a:latin typeface="Calibri"/>
              <a:cs typeface="Calibri"/>
            </a:rPr>
            <a:pPr/>
            <a:t>Phase Margin = -96°</a:t>
          </a:fld>
          <a:endParaRPr lang="en-US" sz="2400" b="1">
            <a:solidFill>
              <a:schemeClr val="accent1">
                <a:lumMod val="75000"/>
              </a:schemeClr>
            </a:solidFill>
          </a:endParaRPr>
        </a:p>
      </xdr:txBody>
    </xdr:sp>
    <xdr:clientData/>
  </xdr:twoCellAnchor>
  <xdr:twoCellAnchor>
    <xdr:from>
      <xdr:col>11</xdr:col>
      <xdr:colOff>98632</xdr:colOff>
      <xdr:row>66</xdr:row>
      <xdr:rowOff>109818</xdr:rowOff>
    </xdr:from>
    <xdr:to>
      <xdr:col>15</xdr:col>
      <xdr:colOff>224116</xdr:colOff>
      <xdr:row>67</xdr:row>
      <xdr:rowOff>123265</xdr:rowOff>
    </xdr:to>
    <xdr:sp macro="" textlink="Loop_Modeling!A68">
      <xdr:nvSpPr>
        <xdr:cNvPr id="15" name="TextBox 14">
          <a:extLst>
            <a:ext uri="{FF2B5EF4-FFF2-40B4-BE49-F238E27FC236}">
              <a16:creationId xmlns:a16="http://schemas.microsoft.com/office/drawing/2014/main" id="{00000000-0008-0000-0000-00000F000000}"/>
            </a:ext>
          </a:extLst>
        </xdr:cNvPr>
        <xdr:cNvSpPr txBox="1"/>
      </xdr:nvSpPr>
      <xdr:spPr>
        <a:xfrm>
          <a:off x="6508397" y="13982700"/>
          <a:ext cx="2501131" cy="2039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F506B42-A944-4597-8E98-BD1D41977E0E}" type="TxLink">
            <a:rPr lang="en-US" sz="1100" b="1" i="0" u="none" strike="noStrike">
              <a:solidFill>
                <a:srgbClr val="C00000"/>
              </a:solidFill>
              <a:latin typeface="+mn-lt"/>
              <a:cs typeface="Arial" panose="020B0604020202020204" pitchFamily="34" charset="0"/>
            </a:rPr>
            <a:pPr/>
            <a:t>Crossover Frequency = 66.1 kHz</a:t>
          </a:fld>
          <a:endParaRPr lang="en-US" sz="2400" b="1">
            <a:solidFill>
              <a:srgbClr val="C00000"/>
            </a:solidFill>
            <a:latin typeface="+mn-lt"/>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10</xdr:col>
          <xdr:colOff>18648</xdr:colOff>
          <xdr:row>6</xdr:row>
          <xdr:rowOff>9525</xdr:rowOff>
        </xdr:from>
        <xdr:to>
          <xdr:col>25</xdr:col>
          <xdr:colOff>417820</xdr:colOff>
          <xdr:row>36</xdr:row>
          <xdr:rowOff>167640</xdr:rowOff>
        </xdr:to>
        <xdr:pic>
          <xdr:nvPicPr>
            <xdr:cNvPr id="18" name="Picture 17">
              <a:extLst>
                <a:ext uri="{FF2B5EF4-FFF2-40B4-BE49-F238E27FC236}">
                  <a16:creationId xmlns:a16="http://schemas.microsoft.com/office/drawing/2014/main" id="{00000000-0008-0000-0000-000012000000}"/>
                </a:ext>
              </a:extLst>
            </xdr:cNvPr>
            <xdr:cNvPicPr>
              <a:picLocks noChangeAspect="1"/>
              <a:extLst>
                <a:ext uri="{84589F7E-364E-4C9E-8A38-B11213B215E9}">
                  <a14:cameraTool cellRange="display_SCH" spid="_x0000_s1425"/>
                </a:ext>
              </a:extLst>
            </xdr:cNvPicPr>
          </xdr:nvPicPr>
          <xdr:blipFill rotWithShape="1">
            <a:blip xmlns:r="http://schemas.openxmlformats.org/officeDocument/2006/relationships" r:embed="rId3"/>
            <a:srcRect/>
            <a:stretch>
              <a:fillRect/>
            </a:stretch>
          </xdr:blipFill>
          <xdr:spPr>
            <a:xfrm>
              <a:off x="5834501" y="1567143"/>
              <a:ext cx="9195790" cy="6116058"/>
            </a:xfrm>
            <a:prstGeom prst="rect">
              <a:avLst/>
            </a:prstGeom>
            <a:solidFill>
              <a:schemeClr val="bg1"/>
            </a:solidFill>
          </xdr:spPr>
        </xdr:pic>
        <xdr:clientData/>
      </xdr:twoCellAnchor>
    </mc:Choice>
    <mc:Fallback/>
  </mc:AlternateContent>
  <xdr:twoCellAnchor>
    <xdr:from>
      <xdr:col>14</xdr:col>
      <xdr:colOff>333375</xdr:colOff>
      <xdr:row>16</xdr:row>
      <xdr:rowOff>85724</xdr:rowOff>
    </xdr:from>
    <xdr:to>
      <xdr:col>16</xdr:col>
      <xdr:colOff>428625</xdr:colOff>
      <xdr:row>18</xdr:row>
      <xdr:rowOff>57149</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8486775" y="3543299"/>
          <a:ext cx="127635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latin typeface="Arial" panose="020B0604020202020204" pitchFamily="34" charset="0"/>
              <a:cs typeface="Arial" panose="020B0604020202020204" pitchFamily="34" charset="0"/>
            </a:rPr>
            <a:t>LM5155/56</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851647</xdr:colOff>
      <xdr:row>215</xdr:row>
      <xdr:rowOff>170330</xdr:rowOff>
    </xdr:from>
    <xdr:to>
      <xdr:col>14</xdr:col>
      <xdr:colOff>484094</xdr:colOff>
      <xdr:row>223</xdr:row>
      <xdr:rowOff>71719</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9807388" y="26544495"/>
          <a:ext cx="3541059" cy="1335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Need to explain the placement of the Zero</a:t>
          </a:r>
          <a:r>
            <a:rPr lang="en-US" sz="1100" baseline="0"/>
            <a:t> a little bit better. The pole location should also be based on the location of the zero</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63500</xdr:colOff>
          <xdr:row>154</xdr:row>
          <xdr:rowOff>139700</xdr:rowOff>
        </xdr:from>
        <xdr:to>
          <xdr:col>12</xdr:col>
          <xdr:colOff>393700</xdr:colOff>
          <xdr:row>157</xdr:row>
          <xdr:rowOff>25400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solidFill>
              <a:srgbClr val="FFFFFF"/>
            </a:solidFill>
            <a:ln w="9525">
              <a:solidFill>
                <a:srgbClr val="000000"/>
              </a:solidFill>
              <a:miter lim="800000"/>
              <a:headEnd/>
              <a:tailEnd/>
            </a:ln>
          </xdr:spPr>
        </xdr:sp>
        <xdr:clientData/>
      </xdr:twoCellAnchor>
    </mc:Choice>
    <mc:Fallback/>
  </mc:AlternateContent>
  <xdr:twoCellAnchor>
    <xdr:from>
      <xdr:col>8</xdr:col>
      <xdr:colOff>842683</xdr:colOff>
      <xdr:row>186</xdr:row>
      <xdr:rowOff>17930</xdr:rowOff>
    </xdr:from>
    <xdr:to>
      <xdr:col>14</xdr:col>
      <xdr:colOff>475130</xdr:colOff>
      <xdr:row>195</xdr:row>
      <xdr:rowOff>98613</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798424" y="23523389"/>
          <a:ext cx="3541059" cy="1335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Loop</a:t>
          </a:r>
          <a:r>
            <a:rPr lang="en-US" sz="1100" baseline="0"/>
            <a:t> compensation is calculated for the minimum input voltage. This ensure stability over the input voltage range</a:t>
          </a:r>
          <a:endParaRPr lang="en-US" sz="1100"/>
        </a:p>
      </xdr:txBody>
    </xdr:sp>
    <xdr:clientData/>
  </xdr:twoCellAnchor>
  <xdr:twoCellAnchor>
    <xdr:from>
      <xdr:col>14</xdr:col>
      <xdr:colOff>11205</xdr:colOff>
      <xdr:row>33</xdr:row>
      <xdr:rowOff>100853</xdr:rowOff>
    </xdr:from>
    <xdr:to>
      <xdr:col>18</xdr:col>
      <xdr:colOff>582705</xdr:colOff>
      <xdr:row>38</xdr:row>
      <xdr:rowOff>78441</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2920381" y="6555441"/>
          <a:ext cx="2991971" cy="9300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Lm is </a:t>
          </a:r>
        </a:p>
        <a:p>
          <a:r>
            <a:rPr lang="en-US" sz="1100" baseline="0"/>
            <a:t>lower then each of them -&gt; CCM</a:t>
          </a:r>
        </a:p>
        <a:p>
          <a:r>
            <a:rPr lang="en-US" sz="1100" baseline="0"/>
            <a:t>Higher </a:t>
          </a:r>
          <a:r>
            <a:rPr lang="en-US" sz="1100" baseline="0">
              <a:solidFill>
                <a:schemeClr val="dk1"/>
              </a:solidFill>
              <a:effectLst/>
              <a:latin typeface="+mn-lt"/>
              <a:ea typeface="+mn-ea"/>
              <a:cs typeface="+mn-cs"/>
            </a:rPr>
            <a:t>lower then each of them </a:t>
          </a:r>
          <a:r>
            <a:rPr lang="en-US" sz="1100" baseline="0"/>
            <a:t> -&gt; DCM</a:t>
          </a:r>
        </a:p>
        <a:p>
          <a:r>
            <a:rPr lang="en-US" sz="1100" baseline="0"/>
            <a:t>else CCM and DCM </a:t>
          </a:r>
          <a:endParaRPr lang="en-US" sz="1100"/>
        </a:p>
      </xdr:txBody>
    </xdr:sp>
    <xdr:clientData/>
  </xdr:twoCellAnchor>
  <xdr:twoCellAnchor>
    <xdr:from>
      <xdr:col>13</xdr:col>
      <xdr:colOff>268941</xdr:colOff>
      <xdr:row>23</xdr:row>
      <xdr:rowOff>112059</xdr:rowOff>
    </xdr:from>
    <xdr:to>
      <xdr:col>16</xdr:col>
      <xdr:colOff>571500</xdr:colOff>
      <xdr:row>28</xdr:row>
      <xdr:rowOff>168088</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2920382" y="4661647"/>
          <a:ext cx="2330824" cy="1008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Check</a:t>
          </a:r>
          <a:r>
            <a:rPr lang="en-US" sz="1100" baseline="0"/>
            <a:t> if DC for DCM would be less the DC for CCM -&gt; in this case it would run in DCM mode</a:t>
          </a:r>
        </a:p>
        <a:p>
          <a:r>
            <a:rPr lang="en-US" sz="1100" baseline="0"/>
            <a:t>Check if at the 3 points CCM or DCM would be used</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528917</xdr:colOff>
      <xdr:row>67</xdr:row>
      <xdr:rowOff>89006</xdr:rowOff>
    </xdr:from>
    <xdr:to>
      <xdr:col>30</xdr:col>
      <xdr:colOff>79513</xdr:colOff>
      <xdr:row>86</xdr:row>
      <xdr:rowOff>92765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1051560</xdr:colOff>
      <xdr:row>49</xdr:row>
      <xdr:rowOff>45720</xdr:rowOff>
    </xdr:from>
    <xdr:to>
      <xdr:col>25</xdr:col>
      <xdr:colOff>563880</xdr:colOff>
      <xdr:row>73</xdr:row>
      <xdr:rowOff>19050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32</xdr:col>
      <xdr:colOff>186690</xdr:colOff>
      <xdr:row>39</xdr:row>
      <xdr:rowOff>167640</xdr:rowOff>
    </xdr:from>
    <xdr:to>
      <xdr:col>34</xdr:col>
      <xdr:colOff>530487</xdr:colOff>
      <xdr:row>45</xdr:row>
      <xdr:rowOff>56599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a:stretch>
          <a:fillRect/>
        </a:stretch>
      </xdr:blipFill>
      <xdr:spPr>
        <a:xfrm>
          <a:off x="21541740" y="5482590"/>
          <a:ext cx="1840230" cy="1045293"/>
        </a:xfrm>
        <a:prstGeom prst="rect">
          <a:avLst/>
        </a:prstGeom>
      </xdr:spPr>
    </xdr:pic>
    <xdr:clientData/>
  </xdr:twoCellAnchor>
  <xdr:twoCellAnchor editAs="oneCell">
    <xdr:from>
      <xdr:col>34</xdr:col>
      <xdr:colOff>247650</xdr:colOff>
      <xdr:row>40</xdr:row>
      <xdr:rowOff>60960</xdr:rowOff>
    </xdr:from>
    <xdr:to>
      <xdr:col>38</xdr:col>
      <xdr:colOff>567929</xdr:colOff>
      <xdr:row>44</xdr:row>
      <xdr:rowOff>148662</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3"/>
        <a:stretch>
          <a:fillRect/>
        </a:stretch>
      </xdr:blipFill>
      <xdr:spPr>
        <a:xfrm>
          <a:off x="23888700" y="5566410"/>
          <a:ext cx="2758679" cy="830649"/>
        </a:xfrm>
        <a:prstGeom prst="rect">
          <a:avLst/>
        </a:prstGeom>
      </xdr:spPr>
    </xdr:pic>
    <xdr:clientData/>
  </xdr:twoCellAnchor>
  <xdr:twoCellAnchor>
    <xdr:from>
      <xdr:col>31</xdr:col>
      <xdr:colOff>30480</xdr:colOff>
      <xdr:row>49</xdr:row>
      <xdr:rowOff>64770</xdr:rowOff>
    </xdr:from>
    <xdr:to>
      <xdr:col>42</xdr:col>
      <xdr:colOff>144780</xdr:colOff>
      <xdr:row>73</xdr:row>
      <xdr:rowOff>38100</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317182</xdr:colOff>
      <xdr:row>23</xdr:row>
      <xdr:rowOff>62388</xdr:rowOff>
    </xdr:from>
    <xdr:to>
      <xdr:col>24</xdr:col>
      <xdr:colOff>450532</xdr:colOff>
      <xdr:row>47</xdr:row>
      <xdr:rowOff>20478</xdr:rowOff>
    </xdr:to>
    <xdr:graphicFrame macro="">
      <xdr:nvGraphicFramePr>
        <xdr:cNvPr id="10" name="Chart 9">
          <a:extLst>
            <a:ext uri="{FF2B5EF4-FFF2-40B4-BE49-F238E27FC236}">
              <a16:creationId xmlns:a16="http://schemas.microsoft.com/office/drawing/2014/main" id="{00000000-0008-0000-03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8325</xdr:colOff>
      <xdr:row>38</xdr:row>
      <xdr:rowOff>8964</xdr:rowOff>
    </xdr:from>
    <xdr:to>
      <xdr:col>11</xdr:col>
      <xdr:colOff>591031</xdr:colOff>
      <xdr:row>46</xdr:row>
      <xdr:rowOff>131269</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6187669" y="7533714"/>
          <a:ext cx="2571050" cy="164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 points</a:t>
          </a:r>
          <a:r>
            <a:rPr lang="en-US" sz="1100" baseline="0"/>
            <a:t> later to show where the pole and zerDc_Mode_Loopos of the loops are at. Similar to the LM5175 QS</a:t>
          </a:r>
        </a:p>
        <a:p>
          <a:endParaRPr lang="en-US" sz="1100" baseline="0"/>
        </a:p>
        <a:p>
          <a:r>
            <a:rPr lang="en-US" sz="1100" baseline="0"/>
            <a:t>Should also update to the more accurate equation of the DC gain. See Mathcad and Sheehan paper.</a:t>
          </a:r>
          <a:endParaRPr lang="en-US" sz="1100"/>
        </a:p>
      </xdr:txBody>
    </xdr:sp>
    <xdr:clientData/>
  </xdr:twoCellAnchor>
  <xdr:twoCellAnchor>
    <xdr:from>
      <xdr:col>8</xdr:col>
      <xdr:colOff>0</xdr:colOff>
      <xdr:row>52</xdr:row>
      <xdr:rowOff>13855</xdr:rowOff>
    </xdr:from>
    <xdr:to>
      <xdr:col>12</xdr:col>
      <xdr:colOff>83127</xdr:colOff>
      <xdr:row>63</xdr:row>
      <xdr:rowOff>13855</xdr:rowOff>
    </xdr:to>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6276109" y="8936182"/>
          <a:ext cx="2521527"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Next</a:t>
          </a:r>
          <a:r>
            <a:rPr lang="en-US" sz="1100" baseline="0"/>
            <a:t> Revision additions</a:t>
          </a:r>
        </a:p>
        <a:p>
          <a:r>
            <a:rPr lang="en-US" sz="1100" baseline="0"/>
            <a:t>- Add the effect of the EA output resistance and capacitance</a:t>
          </a:r>
        </a:p>
      </xdr:txBody>
    </xdr:sp>
    <xdr:clientData/>
  </xdr:twoCellAnchor>
  <xdr:twoCellAnchor>
    <xdr:from>
      <xdr:col>8</xdr:col>
      <xdr:colOff>291694</xdr:colOff>
      <xdr:row>12</xdr:row>
      <xdr:rowOff>113739</xdr:rowOff>
    </xdr:from>
    <xdr:to>
      <xdr:col>12</xdr:col>
      <xdr:colOff>267182</xdr:colOff>
      <xdr:row>20</xdr:row>
      <xdr:rowOff>188419</xdr:rowOff>
    </xdr:to>
    <xdr:sp macro="" textlink="">
      <xdr:nvSpPr>
        <xdr:cNvPr id="13" name="TextBox 12">
          <a:extLst>
            <a:ext uri="{FF2B5EF4-FFF2-40B4-BE49-F238E27FC236}">
              <a16:creationId xmlns:a16="http://schemas.microsoft.com/office/drawing/2014/main" id="{00000000-0008-0000-0300-00000D000000}"/>
            </a:ext>
          </a:extLst>
        </xdr:cNvPr>
        <xdr:cNvSpPr txBox="1"/>
      </xdr:nvSpPr>
      <xdr:spPr>
        <a:xfrm>
          <a:off x="6471038" y="2637864"/>
          <a:ext cx="2571050" cy="16463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Duty Cycle</a:t>
          </a:r>
          <a:r>
            <a:rPr lang="en-US" sz="1100" baseline="0"/>
            <a:t> mode for </a:t>
          </a:r>
          <a:r>
            <a:rPr lang="en-US" sz="1100"/>
            <a:t>Loop Comenstation is fixed to</a:t>
          </a:r>
          <a:r>
            <a:rPr lang="en-US" sz="1100" baseline="0"/>
            <a:t> CCM as it stable in DCM when stable in CCM but if required could be also set to selected mode on variable Management page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548640</xdr:colOff>
      <xdr:row>8</xdr:row>
      <xdr:rowOff>0</xdr:rowOff>
    </xdr:from>
    <xdr:to>
      <xdr:col>12</xdr:col>
      <xdr:colOff>449580</xdr:colOff>
      <xdr:row>10</xdr:row>
      <xdr:rowOff>123546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269480" y="1638300"/>
          <a:ext cx="2948940" cy="489306"/>
        </a:xfrm>
        <a:prstGeom prst="rect">
          <a:avLst/>
        </a:prstGeom>
      </xdr:spPr>
    </xdr:pic>
    <xdr:clientData/>
  </xdr:twoCellAnchor>
  <xdr:twoCellAnchor editAs="oneCell">
    <xdr:from>
      <xdr:col>8</xdr:col>
      <xdr:colOff>7620</xdr:colOff>
      <xdr:row>12</xdr:row>
      <xdr:rowOff>132742</xdr:rowOff>
    </xdr:from>
    <xdr:to>
      <xdr:col>13</xdr:col>
      <xdr:colOff>350520</xdr:colOff>
      <xdr:row>16</xdr:row>
      <xdr:rowOff>76286</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7338060" y="2502562"/>
          <a:ext cx="3390900" cy="675064"/>
        </a:xfrm>
        <a:prstGeom prst="rect">
          <a:avLst/>
        </a:prstGeom>
      </xdr:spPr>
    </xdr:pic>
    <xdr:clientData/>
  </xdr:twoCellAnchor>
  <xdr:twoCellAnchor editAs="oneCell">
    <xdr:from>
      <xdr:col>9</xdr:col>
      <xdr:colOff>129540</xdr:colOff>
      <xdr:row>22</xdr:row>
      <xdr:rowOff>0</xdr:rowOff>
    </xdr:from>
    <xdr:to>
      <xdr:col>13</xdr:col>
      <xdr:colOff>76200</xdr:colOff>
      <xdr:row>30</xdr:row>
      <xdr:rowOff>45370</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069580" y="4198620"/>
          <a:ext cx="2385060" cy="152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9157</xdr:colOff>
      <xdr:row>3</xdr:row>
      <xdr:rowOff>0</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609599</xdr:colOff>
      <xdr:row>1</xdr:row>
      <xdr:rowOff>0</xdr:rowOff>
    </xdr:from>
    <xdr:to>
      <xdr:col>1</xdr:col>
      <xdr:colOff>5057640</xdr:colOff>
      <xdr:row>1</xdr:row>
      <xdr:rowOff>2762250</xdr:rowOff>
    </xdr:to>
    <xdr:pic>
      <xdr:nvPicPr>
        <xdr:cNvPr id="7" name="Picture 6">
          <a:extLst>
            <a:ext uri="{FF2B5EF4-FFF2-40B4-BE49-F238E27FC236}">
              <a16:creationId xmlns:a16="http://schemas.microsoft.com/office/drawing/2014/main" id="{00000000-0008-0000-06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599" y="190500"/>
          <a:ext cx="5057641"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609599</xdr:colOff>
      <xdr:row>3</xdr:row>
      <xdr:rowOff>0</xdr:rowOff>
    </xdr:from>
    <xdr:to>
      <xdr:col>1</xdr:col>
      <xdr:colOff>5057640</xdr:colOff>
      <xdr:row>3</xdr:row>
      <xdr:rowOff>2762250</xdr:rowOff>
    </xdr:to>
    <xdr:pic>
      <xdr:nvPicPr>
        <xdr:cNvPr id="8" name="Picture 7">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599" y="3771900"/>
          <a:ext cx="5057641"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1</xdr:col>
      <xdr:colOff>592455</xdr:colOff>
      <xdr:row>2</xdr:row>
      <xdr:rowOff>93296</xdr:rowOff>
    </xdr:to>
    <xdr:pic>
      <xdr:nvPicPr>
        <xdr:cNvPr id="2" name="Picture 1" descr="ti logo">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52400"/>
          <a:ext cx="2314575" cy="295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200025</xdr:colOff>
      <xdr:row>0</xdr:row>
      <xdr:rowOff>114300</xdr:rowOff>
    </xdr:from>
    <xdr:ext cx="3752850" cy="381708"/>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1914525" y="114300"/>
          <a:ext cx="3752850"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a:latin typeface="Arial Black" panose="020B0A04020102020204" pitchFamily="34" charset="0"/>
            </a:rPr>
            <a:t>About this tool...</a:t>
          </a:r>
        </a:p>
      </xdr:txBody>
    </xdr:sp>
    <xdr:clientData/>
  </xdr:oneCellAnchor>
  <xdr:oneCellAnchor>
    <xdr:from>
      <xdr:col>3</xdr:col>
      <xdr:colOff>323850</xdr:colOff>
      <xdr:row>1</xdr:row>
      <xdr:rowOff>28575</xdr:rowOff>
    </xdr:from>
    <xdr:ext cx="4719497" cy="254557"/>
    <xdr:sp macro="" textlink="">
      <xdr:nvSpPr>
        <xdr:cNvPr id="4" name="TextBox 3">
          <a:hlinkClick xmlns:r="http://schemas.openxmlformats.org/officeDocument/2006/relationships" r:id="rId3"/>
          <a:extLst>
            <a:ext uri="{FF2B5EF4-FFF2-40B4-BE49-F238E27FC236}">
              <a16:creationId xmlns:a16="http://schemas.microsoft.com/office/drawing/2014/main" id="{00000000-0008-0000-0800-000004000000}"/>
            </a:ext>
          </a:extLst>
        </xdr:cNvPr>
        <xdr:cNvSpPr txBox="1"/>
      </xdr:nvSpPr>
      <xdr:spPr>
        <a:xfrm>
          <a:off x="6419850" y="209550"/>
          <a:ext cx="471949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chemeClr val="tx1"/>
              </a:solidFill>
              <a:effectLst/>
              <a:latin typeface="Arial" panose="020B0604020202020204" pitchFamily="34" charset="0"/>
              <a:ea typeface="+mn-ea"/>
              <a:cs typeface="Arial" panose="020B0604020202020204" pitchFamily="34" charset="0"/>
              <a:hlinkClick xmlns:r="http://schemas.openxmlformats.org/officeDocument/2006/relationships" r:id=""/>
            </a:rPr>
            <a:t>© Copyright 2021</a:t>
          </a:r>
          <a:r>
            <a:rPr lang="en-US" sz="1100" b="0" i="0">
              <a:solidFill>
                <a:schemeClr val="tx1"/>
              </a:solidFill>
              <a:effectLst/>
              <a:latin typeface="Arial" panose="020B0604020202020204" pitchFamily="34" charset="0"/>
              <a:ea typeface="+mn-ea"/>
              <a:cs typeface="Arial" panose="020B0604020202020204" pitchFamily="34" charset="0"/>
            </a:rPr>
            <a:t> Texas Instruments Incorporated. All rights reserved.</a:t>
          </a:r>
          <a:endParaRPr lang="en-US" sz="1100" b="0">
            <a:latin typeface="Arial" panose="020B0604020202020204" pitchFamily="34" charset="0"/>
            <a:cs typeface="Arial" panose="020B0604020202020204" pitchFamily="34" charset="0"/>
          </a:endParaRPr>
        </a:p>
      </xdr:txBody>
    </xdr:sp>
    <xdr:clientData/>
  </xdr:oneCellAnchor>
  <xdr:oneCellAnchor>
    <xdr:from>
      <xdr:col>0</xdr:col>
      <xdr:colOff>95247</xdr:colOff>
      <xdr:row>6</xdr:row>
      <xdr:rowOff>47623</xdr:rowOff>
    </xdr:from>
    <xdr:ext cx="11229977" cy="4086227"/>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95247" y="1114423"/>
          <a:ext cx="11229977" cy="408622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00" b="1">
              <a:latin typeface="Arial" panose="020B0604020202020204" pitchFamily="34" charset="0"/>
              <a:cs typeface="Arial" panose="020B0604020202020204" pitchFamily="34" charset="0"/>
            </a:rPr>
            <a:t>LICENSE INFORMATION:</a:t>
          </a:r>
        </a:p>
        <a:p>
          <a:r>
            <a:rPr lang="en-US" sz="900">
              <a:solidFill>
                <a:schemeClr val="tx1"/>
              </a:solidFill>
              <a:effectLst/>
              <a:latin typeface="Arial" panose="020B0604020202020204" pitchFamily="34" charset="0"/>
              <a:ea typeface="+mn-ea"/>
              <a:cs typeface="Arial" panose="020B0604020202020204" pitchFamily="34" charset="0"/>
            </a:rPr>
            <a:t>Copyright (c) 2021 Texas Instruments Incorporated</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All rights reserved not granted herein.</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Limited License.  </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Texas Instruments Incorporated grants a world-wide, royalty-free, non-exclusive license under copyrights and patents it now or hereafter owns or controls to make, have made, use, import, offer to sell and sell ("Utilize") this software subject to the terms herein.  With respect to the foregoing patent license, such license is granted  solely to the extent that any such patent is necessary to Utilize the software alone.  The patent license shall not apply to any combinations which include this software, other than combinations with devices manufactured by or for TI (“TI Devices”).  No hardware patent is licensed hereunder.</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Redistributions must preserve existing copyright notices and reproduce this license (including the above copyright notice and the disclaimer and (if applicable) source code license limitations below) in the documentation and/or other materials provided with the distribution</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Redistribution and use in binary form, without modification, are permitted provided that the following conditions are met:</a:t>
          </a:r>
        </a:p>
        <a:p>
          <a:r>
            <a:rPr lang="en-US" sz="900">
              <a:solidFill>
                <a:schemeClr val="tx1"/>
              </a:solidFill>
              <a:effectLst/>
              <a:latin typeface="Arial" panose="020B0604020202020204" pitchFamily="34" charset="0"/>
              <a:ea typeface="+mn-ea"/>
              <a:cs typeface="Arial" panose="020B0604020202020204" pitchFamily="34" charset="0"/>
            </a:rPr>
            <a:t>*	No reverse engineering, decompilation, or disassembly of this software is permitted with respect to any software provided in binary form. </a:t>
          </a:r>
        </a:p>
        <a:p>
          <a:r>
            <a:rPr lang="en-US" sz="900">
              <a:solidFill>
                <a:schemeClr val="tx1"/>
              </a:solidFill>
              <a:effectLst/>
              <a:latin typeface="Arial" panose="020B0604020202020204" pitchFamily="34" charset="0"/>
              <a:ea typeface="+mn-ea"/>
              <a:cs typeface="Arial" panose="020B0604020202020204" pitchFamily="34" charset="0"/>
            </a:rPr>
            <a:t>*	Any redistribution and use are licensed by TI for use only with TI Devices.</a:t>
          </a:r>
        </a:p>
        <a:p>
          <a:r>
            <a:rPr lang="en-US" sz="900">
              <a:solidFill>
                <a:schemeClr val="tx1"/>
              </a:solidFill>
              <a:effectLst/>
              <a:latin typeface="Arial" panose="020B0604020202020204" pitchFamily="34" charset="0"/>
              <a:ea typeface="+mn-ea"/>
              <a:cs typeface="Arial" panose="020B0604020202020204" pitchFamily="34" charset="0"/>
            </a:rPr>
            <a:t>*	Nothing shall obligate TI to provide you with source code for the software licensed and provided to you in object code.</a:t>
          </a:r>
        </a:p>
        <a:p>
          <a:r>
            <a:rPr lang="en-US" sz="900">
              <a:solidFill>
                <a:schemeClr val="tx1"/>
              </a:solidFill>
              <a:effectLst/>
              <a:latin typeface="Arial" panose="020B0604020202020204" pitchFamily="34" charset="0"/>
              <a:ea typeface="+mn-ea"/>
              <a:cs typeface="Arial" panose="020B0604020202020204" pitchFamily="34" charset="0"/>
            </a:rPr>
            <a:t> </a:t>
          </a:r>
        </a:p>
        <a:p>
          <a:r>
            <a:rPr lang="en-US" sz="900">
              <a:solidFill>
                <a:schemeClr val="tx1"/>
              </a:solidFill>
              <a:effectLst/>
              <a:latin typeface="Arial" panose="020B0604020202020204" pitchFamily="34" charset="0"/>
              <a:ea typeface="+mn-ea"/>
              <a:cs typeface="Arial" panose="020B0604020202020204" pitchFamily="34" charset="0"/>
            </a:rPr>
            <a:t>If software source code is provided to you, modification and redistribution of the source code are permitted provided that the following conditions are met:</a:t>
          </a:r>
        </a:p>
        <a:p>
          <a:r>
            <a:rPr lang="en-US" sz="900">
              <a:solidFill>
                <a:schemeClr val="tx1"/>
              </a:solidFill>
              <a:effectLst/>
              <a:latin typeface="Arial" panose="020B0604020202020204" pitchFamily="34" charset="0"/>
              <a:ea typeface="+mn-ea"/>
              <a:cs typeface="Arial" panose="020B0604020202020204" pitchFamily="34" charset="0"/>
            </a:rPr>
            <a:t>*	Any redistribution and use of the source code, including any resulting derivative works, are licensed by TI for use only with TI Devices.</a:t>
          </a:r>
        </a:p>
        <a:p>
          <a:r>
            <a:rPr lang="en-US" sz="900">
              <a:solidFill>
                <a:schemeClr val="tx1"/>
              </a:solidFill>
              <a:effectLst/>
              <a:latin typeface="Arial" panose="020B0604020202020204" pitchFamily="34" charset="0"/>
              <a:ea typeface="+mn-ea"/>
              <a:cs typeface="Arial" panose="020B0604020202020204" pitchFamily="34" charset="0"/>
            </a:rPr>
            <a:t>*	Any redistribution and use of any object code compiled from the source code and any resulting derivative works, are licensed by TI for use only with TI Devices.</a:t>
          </a:r>
        </a:p>
        <a:p>
          <a:endParaRPr lang="en-US" sz="900">
            <a:solidFill>
              <a:schemeClr val="tx1"/>
            </a:solidFill>
            <a:effectLst/>
            <a:latin typeface="Arial" panose="020B0604020202020204" pitchFamily="34" charset="0"/>
            <a:ea typeface="+mn-ea"/>
            <a:cs typeface="Arial" panose="020B0604020202020204" pitchFamily="34" charset="0"/>
          </a:endParaRPr>
        </a:p>
        <a:p>
          <a:r>
            <a:rPr lang="en-US" sz="900">
              <a:solidFill>
                <a:schemeClr val="tx1"/>
              </a:solidFill>
              <a:effectLst/>
              <a:latin typeface="Arial" panose="020B0604020202020204" pitchFamily="34" charset="0"/>
              <a:ea typeface="+mn-ea"/>
              <a:cs typeface="Arial" panose="020B0604020202020204" pitchFamily="34" charset="0"/>
            </a:rPr>
            <a:t>Neither the name of Texas Instruments Incorporated nor the names of its suppliers may be used to endorse or promote products derived from this software without specific prior written permission.</a:t>
          </a:r>
          <a:endParaRPr lang="en-US" sz="1000" b="1">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000" baseline="0">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000" b="1" baseline="0">
              <a:latin typeface="Arial" panose="020B0604020202020204" pitchFamily="34" charset="0"/>
              <a:cs typeface="Arial" panose="020B0604020202020204" pitchFamily="34" charset="0"/>
            </a:rPr>
            <a:t>DISCLAMER:</a:t>
          </a:r>
        </a:p>
        <a:p>
          <a:pPr marL="0" marR="0" indent="0" defTabSz="914400" eaLnBrk="1" fontAlgn="auto" latinLnBrk="0" hangingPunct="1">
            <a:lnSpc>
              <a:spcPct val="100000"/>
            </a:lnSpc>
            <a:spcBef>
              <a:spcPts val="0"/>
            </a:spcBef>
            <a:spcAft>
              <a:spcPts val="0"/>
            </a:spcAft>
            <a:buClrTx/>
            <a:buSzTx/>
            <a:buFontTx/>
            <a:buNone/>
            <a:tabLst/>
            <a:defRPr/>
          </a:pPr>
          <a:r>
            <a:rPr lang="en-US" sz="800" baseline="0">
              <a:latin typeface="Arial" panose="020B0604020202020204" pitchFamily="34" charset="0"/>
              <a:cs typeface="Arial" panose="020B0604020202020204" pitchFamily="34" charset="0"/>
            </a:rPr>
            <a:t>THIS SOFTWARE IS PROVIDED BY TI AND TI’S LICENSORS "AS IS" AND ANY EXPRESS OR IMPLIED WARRANTIES, INCLUDING, BUT NOT LIMITED TO, THE IMPLIED WARRANTIES OF MERCHANTABILITY AND FITNESS FOR A PARTICULAR PURPOSE ARE DISCLAIMED. IN NO EVENT SHALL TI AND TI’S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a:t>
          </a:r>
        </a:p>
      </xdr:txBody>
    </xdr:sp>
    <xdr:clientData/>
  </xdr:oneCellAnchor>
  <xdr:oneCellAnchor>
    <xdr:from>
      <xdr:col>0</xdr:col>
      <xdr:colOff>95247</xdr:colOff>
      <xdr:row>29</xdr:row>
      <xdr:rowOff>47623</xdr:rowOff>
    </xdr:from>
    <xdr:ext cx="11229977" cy="809627"/>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95247" y="5276848"/>
          <a:ext cx="11229977" cy="809627"/>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tx1"/>
              </a:solidFill>
              <a:effectLst/>
              <a:latin typeface="+mn-lt"/>
              <a:ea typeface="+mn-ea"/>
              <a:cs typeface="+mn-cs"/>
            </a:rPr>
            <a:t>IMPORTANT</a:t>
          </a:r>
          <a:r>
            <a:rPr lang="en-US" sz="1100" b="1" baseline="0">
              <a:solidFill>
                <a:schemeClr val="tx1"/>
              </a:solidFill>
              <a:effectLst/>
              <a:latin typeface="+mn-lt"/>
              <a:ea typeface="+mn-ea"/>
              <a:cs typeface="+mn-cs"/>
            </a:rPr>
            <a:t>:   </a:t>
          </a:r>
          <a:endParaRPr lang="en-US" sz="800">
            <a:effectLst/>
          </a:endParaRPr>
        </a:p>
        <a:p>
          <a:r>
            <a:rPr lang="en-US" sz="1100" baseline="0">
              <a:solidFill>
                <a:schemeClr val="tx1"/>
              </a:solidFill>
              <a:effectLst/>
              <a:latin typeface="+mn-lt"/>
              <a:ea typeface="+mn-ea"/>
              <a:cs typeface="+mn-cs"/>
            </a:rPr>
            <a:t>1.  Do not delete this worksheet!</a:t>
          </a:r>
          <a:endParaRPr lang="en-US" sz="800">
            <a:effectLst/>
          </a:endParaRPr>
        </a:p>
        <a:p>
          <a:pPr eaLnBrk="1" fontAlgn="auto" latinLnBrk="0" hangingPunct="1"/>
          <a:r>
            <a:rPr lang="en-US" sz="1100" baseline="0">
              <a:solidFill>
                <a:schemeClr val="tx1"/>
              </a:solidFill>
              <a:effectLst/>
              <a:latin typeface="+mn-lt"/>
              <a:ea typeface="+mn-ea"/>
              <a:cs typeface="+mn-cs"/>
            </a:rPr>
            <a:t>2.  Redistributions must retain the above copyright and the following disclaimer.</a:t>
          </a:r>
          <a:endParaRPr lang="en-US" sz="800">
            <a:effectLst/>
          </a:endParaRPr>
        </a:p>
        <a:p>
          <a:endParaRPr lang="en-US" sz="800" baseline="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0196876/Downloads/ADS1235%20Design%20Calcula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
      <sheetName val="Common-Mode Range"/>
      <sheetName val="Code Conversions"/>
      <sheetName val="Digital Filter"/>
      <sheetName val="STATUS"/>
      <sheetName val="CRC"/>
      <sheetName val="About"/>
      <sheetName val="Help"/>
    </sheetNames>
    <sheetDataSet>
      <sheetData sheetId="0" refreshError="1"/>
      <sheetData sheetId="1" refreshError="1"/>
      <sheetData sheetId="2" refreshError="1"/>
      <sheetData sheetId="3">
        <row r="84">
          <cell r="T84" t="b">
            <v>0</v>
          </cell>
        </row>
      </sheetData>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AA100"/>
  <sheetViews>
    <sheetView tabSelected="1" topLeftCell="A41" zoomScale="134" zoomScaleNormal="100" workbookViewId="0">
      <selection activeCell="H71" sqref="H71"/>
    </sheetView>
  </sheetViews>
  <sheetFormatPr baseColWidth="10" defaultColWidth="8.83203125" defaultRowHeight="15" x14ac:dyDescent="0.2"/>
  <cols>
    <col min="1" max="5" width="8.83203125" style="57" customWidth="1"/>
    <col min="6" max="6" width="12.6640625" style="57" bestFit="1" customWidth="1"/>
    <col min="7" max="7" width="8.83203125" style="113" customWidth="1"/>
    <col min="8" max="8" width="12" style="57" bestFit="1" customWidth="1"/>
    <col min="9" max="9" width="4.33203125" style="57" bestFit="1" customWidth="1"/>
    <col min="10" max="10" width="4.6640625" style="57" customWidth="1"/>
    <col min="11" max="21" width="8.83203125" style="57" customWidth="1"/>
    <col min="22" max="22" width="7.33203125" style="57" customWidth="1"/>
    <col min="23" max="26" width="8.83203125" style="57" customWidth="1"/>
    <col min="27" max="27" width="1.6640625" style="114" customWidth="1"/>
    <col min="28" max="16384" width="8.83203125" style="57"/>
  </cols>
  <sheetData>
    <row r="1" spans="1:27" ht="47" customHeight="1" x14ac:dyDescent="0.2">
      <c r="A1" s="53"/>
      <c r="B1" s="53"/>
      <c r="C1" s="53"/>
      <c r="D1" s="53"/>
      <c r="E1" s="54" t="s">
        <v>579</v>
      </c>
      <c r="F1" s="53"/>
      <c r="G1" s="55"/>
      <c r="H1" s="53"/>
      <c r="I1" s="53"/>
      <c r="J1" s="53"/>
      <c r="K1" s="53"/>
      <c r="L1" s="53"/>
      <c r="M1" s="53"/>
      <c r="N1" s="53"/>
      <c r="O1" s="53"/>
      <c r="P1" s="53"/>
      <c r="Q1" s="53"/>
      <c r="R1" s="53"/>
      <c r="S1" s="53"/>
      <c r="T1" s="53"/>
      <c r="U1" s="53"/>
      <c r="V1" s="53"/>
      <c r="W1" s="53"/>
      <c r="X1" s="53"/>
      <c r="Y1" s="53"/>
      <c r="Z1" s="53"/>
      <c r="AA1" s="56"/>
    </row>
    <row r="2" spans="1:27" x14ac:dyDescent="0.2">
      <c r="A2" s="58"/>
      <c r="B2" s="58"/>
      <c r="C2" s="58"/>
      <c r="D2" s="58"/>
      <c r="E2" s="58"/>
      <c r="F2" s="58"/>
      <c r="G2" s="59"/>
      <c r="H2" s="58"/>
      <c r="I2" s="58"/>
      <c r="J2" s="58"/>
      <c r="K2" s="58"/>
      <c r="L2" s="58"/>
      <c r="M2" s="58"/>
      <c r="N2" s="58"/>
      <c r="O2" s="58"/>
      <c r="P2" s="58"/>
      <c r="Q2" s="58"/>
      <c r="R2" s="58"/>
      <c r="S2" s="58"/>
      <c r="T2" s="58"/>
      <c r="U2" s="58"/>
      <c r="V2" s="58"/>
      <c r="W2" s="58"/>
      <c r="X2" s="58"/>
      <c r="Y2" s="58"/>
      <c r="Z2" s="58"/>
      <c r="AA2" s="56"/>
    </row>
    <row r="3" spans="1:27" x14ac:dyDescent="0.2">
      <c r="A3" s="60" t="s">
        <v>1</v>
      </c>
      <c r="B3" s="58"/>
      <c r="C3" s="58"/>
      <c r="D3" s="58"/>
      <c r="E3" s="61"/>
      <c r="F3" s="62" t="s">
        <v>2</v>
      </c>
      <c r="G3" s="59"/>
      <c r="H3" s="58"/>
      <c r="I3" s="58"/>
      <c r="J3" s="58"/>
      <c r="K3" s="58"/>
      <c r="L3" s="58"/>
      <c r="M3" s="58"/>
      <c r="N3" s="228" t="s">
        <v>0</v>
      </c>
      <c r="O3" s="228"/>
      <c r="P3" s="58"/>
      <c r="Q3" s="58"/>
      <c r="R3" s="58"/>
      <c r="S3" s="58"/>
      <c r="T3" s="58"/>
      <c r="U3" s="58"/>
      <c r="V3" s="58"/>
      <c r="W3" s="58"/>
      <c r="X3" s="58"/>
      <c r="Y3" s="58"/>
      <c r="Z3" s="58"/>
      <c r="AA3" s="56"/>
    </row>
    <row r="4" spans="1:27" s="66" customFormat="1" x14ac:dyDescent="0.2">
      <c r="A4" s="63"/>
      <c r="B4" s="63"/>
      <c r="C4" s="63"/>
      <c r="D4" s="63"/>
      <c r="E4" s="63"/>
      <c r="F4" s="63"/>
      <c r="G4" s="64"/>
      <c r="H4" s="63"/>
      <c r="I4" s="63"/>
      <c r="J4" s="63"/>
      <c r="K4" s="63"/>
      <c r="L4" s="63"/>
      <c r="M4" s="63"/>
      <c r="N4" s="63"/>
      <c r="O4" s="63"/>
      <c r="P4" s="63"/>
      <c r="Q4" s="63"/>
      <c r="R4" s="63"/>
      <c r="S4" s="63"/>
      <c r="T4" s="63"/>
      <c r="U4" s="63"/>
      <c r="V4" s="63"/>
      <c r="W4" s="63"/>
      <c r="X4" s="63"/>
      <c r="Y4" s="63"/>
      <c r="Z4" s="63"/>
      <c r="AA4" s="65"/>
    </row>
    <row r="5" spans="1:27" x14ac:dyDescent="0.2">
      <c r="A5" s="67"/>
      <c r="B5" s="67"/>
      <c r="C5" s="67"/>
      <c r="D5" s="67"/>
      <c r="E5" s="67"/>
      <c r="F5" s="67"/>
      <c r="G5" s="68"/>
      <c r="H5" s="67"/>
      <c r="I5" s="67"/>
      <c r="J5" s="67"/>
      <c r="K5" s="67"/>
      <c r="L5" s="67"/>
      <c r="M5" s="67"/>
      <c r="N5" s="67" t="s">
        <v>577</v>
      </c>
      <c r="O5" s="69" t="s">
        <v>578</v>
      </c>
      <c r="P5" s="67"/>
      <c r="Q5" s="67"/>
      <c r="R5" s="67"/>
      <c r="S5" s="67"/>
      <c r="T5" s="67"/>
      <c r="U5" s="67"/>
      <c r="V5" s="67"/>
      <c r="W5" s="67"/>
      <c r="X5" s="67"/>
      <c r="Y5" s="67"/>
      <c r="Z5" s="67"/>
      <c r="AA5" s="56"/>
    </row>
    <row r="6" spans="1:27" ht="16" thickBot="1" x14ac:dyDescent="0.25">
      <c r="A6" s="70" t="s">
        <v>3</v>
      </c>
      <c r="B6" s="67"/>
      <c r="C6" s="67"/>
      <c r="D6" s="67"/>
      <c r="E6" s="67"/>
      <c r="F6" s="67"/>
      <c r="G6" s="68"/>
      <c r="H6" s="67"/>
      <c r="I6" s="67"/>
      <c r="J6" s="67"/>
      <c r="K6" s="67"/>
      <c r="L6" s="67"/>
      <c r="M6" s="67"/>
      <c r="N6" s="67"/>
      <c r="O6" s="67"/>
      <c r="P6" s="67"/>
      <c r="Q6" s="67"/>
      <c r="R6" s="67"/>
      <c r="S6" s="67"/>
      <c r="T6" s="67"/>
      <c r="U6" s="67"/>
      <c r="V6" s="67"/>
      <c r="W6" s="67"/>
      <c r="X6" s="67"/>
      <c r="Y6" s="67"/>
      <c r="Z6" s="67"/>
      <c r="AA6" s="56"/>
    </row>
    <row r="7" spans="1:27" ht="16" x14ac:dyDescent="0.25">
      <c r="A7" s="71"/>
      <c r="B7" s="72"/>
      <c r="C7" s="72"/>
      <c r="D7" s="72"/>
      <c r="E7" s="72"/>
      <c r="F7" s="72"/>
      <c r="G7" s="73" t="s">
        <v>4</v>
      </c>
      <c r="H7" s="116">
        <v>4.8</v>
      </c>
      <c r="I7" s="74" t="s">
        <v>10</v>
      </c>
      <c r="J7" s="67"/>
      <c r="K7" s="67"/>
      <c r="L7" s="67"/>
      <c r="M7" s="67"/>
      <c r="N7" s="67"/>
      <c r="O7" s="67"/>
      <c r="P7" s="67"/>
      <c r="Q7" s="67"/>
      <c r="R7" s="67"/>
      <c r="S7" s="67"/>
      <c r="T7" s="67"/>
      <c r="U7" s="67"/>
      <c r="V7" s="67"/>
      <c r="W7" s="67"/>
      <c r="X7" s="67"/>
      <c r="Y7" s="67"/>
      <c r="Z7" s="67"/>
      <c r="AA7" s="56"/>
    </row>
    <row r="8" spans="1:27" ht="16" x14ac:dyDescent="0.25">
      <c r="A8" s="75"/>
      <c r="B8" s="67"/>
      <c r="C8" s="67"/>
      <c r="D8" s="67"/>
      <c r="E8" s="67"/>
      <c r="F8" s="67"/>
      <c r="G8" s="76" t="s">
        <v>5</v>
      </c>
      <c r="H8" s="117">
        <v>12</v>
      </c>
      <c r="I8" s="77" t="s">
        <v>10</v>
      </c>
      <c r="J8" s="67"/>
      <c r="K8" s="67"/>
      <c r="L8" s="67"/>
      <c r="M8" s="67"/>
      <c r="N8" s="67"/>
      <c r="O8" s="67"/>
      <c r="P8" s="67"/>
      <c r="Q8" s="67"/>
      <c r="R8" s="67"/>
      <c r="S8" s="67"/>
      <c r="T8" s="67"/>
      <c r="U8" s="67"/>
      <c r="V8" s="67"/>
      <c r="W8" s="67"/>
      <c r="X8" s="67"/>
      <c r="Y8" s="67"/>
      <c r="Z8" s="67"/>
      <c r="AA8" s="56"/>
    </row>
    <row r="9" spans="1:27" ht="16" x14ac:dyDescent="0.25">
      <c r="A9" s="75"/>
      <c r="B9" s="67"/>
      <c r="C9" s="67"/>
      <c r="D9" s="67"/>
      <c r="E9" s="67"/>
      <c r="F9" s="67"/>
      <c r="G9" s="76" t="s">
        <v>6</v>
      </c>
      <c r="H9" s="117">
        <v>18</v>
      </c>
      <c r="I9" s="77" t="s">
        <v>10</v>
      </c>
      <c r="J9" s="67"/>
      <c r="K9" s="67"/>
      <c r="L9" s="67"/>
      <c r="M9" s="67"/>
      <c r="N9" s="67"/>
      <c r="O9" s="67"/>
      <c r="P9" s="67"/>
      <c r="Q9" s="67"/>
      <c r="R9" s="67"/>
      <c r="S9" s="67"/>
      <c r="T9" s="67"/>
      <c r="U9" s="67"/>
      <c r="V9" s="67"/>
      <c r="W9" s="67"/>
      <c r="X9" s="67"/>
      <c r="Y9" s="67"/>
      <c r="Z9" s="67"/>
      <c r="AA9" s="56"/>
    </row>
    <row r="10" spans="1:27" ht="16" x14ac:dyDescent="0.25">
      <c r="A10" s="75"/>
      <c r="B10" s="67"/>
      <c r="C10" s="67"/>
      <c r="D10" s="67"/>
      <c r="E10" s="67"/>
      <c r="F10" s="67"/>
      <c r="G10" s="76" t="s">
        <v>540</v>
      </c>
      <c r="H10" s="117">
        <v>173</v>
      </c>
      <c r="I10" s="77" t="s">
        <v>10</v>
      </c>
      <c r="J10" s="67"/>
      <c r="K10" s="67"/>
      <c r="L10" s="67"/>
      <c r="M10" s="67"/>
      <c r="N10" s="67"/>
      <c r="O10" s="67"/>
      <c r="P10" s="67"/>
      <c r="Q10" s="67"/>
      <c r="R10" s="67"/>
      <c r="S10" s="67"/>
      <c r="T10" s="67"/>
      <c r="U10" s="67"/>
      <c r="V10" s="67"/>
      <c r="W10" s="67"/>
      <c r="X10" s="67"/>
      <c r="Y10" s="67"/>
      <c r="Z10" s="67"/>
      <c r="AA10" s="56"/>
    </row>
    <row r="11" spans="1:27" ht="16" x14ac:dyDescent="0.25">
      <c r="A11" s="75"/>
      <c r="B11" s="67"/>
      <c r="C11" s="67"/>
      <c r="D11" s="67"/>
      <c r="E11" s="67"/>
      <c r="F11" s="67"/>
      <c r="G11" s="76" t="s">
        <v>7</v>
      </c>
      <c r="H11" s="117">
        <v>1.4999999999999999E-2</v>
      </c>
      <c r="I11" s="77" t="s">
        <v>11</v>
      </c>
      <c r="J11" s="67"/>
      <c r="K11" s="67"/>
      <c r="L11" s="67"/>
      <c r="M11" s="67"/>
      <c r="N11" s="67"/>
      <c r="O11" s="67"/>
      <c r="P11" s="67"/>
      <c r="Q11" s="67"/>
      <c r="R11" s="67"/>
      <c r="S11" s="67"/>
      <c r="T11" s="67"/>
      <c r="U11" s="67"/>
      <c r="V11" s="67"/>
      <c r="W11" s="67"/>
      <c r="X11" s="67"/>
      <c r="Y11" s="67"/>
      <c r="Z11" s="67"/>
      <c r="AA11" s="56"/>
    </row>
    <row r="12" spans="1:27" ht="16" x14ac:dyDescent="0.25">
      <c r="A12" s="75"/>
      <c r="B12" s="67"/>
      <c r="C12" s="67"/>
      <c r="D12" s="67"/>
      <c r="E12" s="67"/>
      <c r="F12" s="67"/>
      <c r="G12" s="76" t="s">
        <v>8</v>
      </c>
      <c r="H12" s="117">
        <v>100</v>
      </c>
      <c r="I12" s="77" t="s">
        <v>12</v>
      </c>
      <c r="J12" s="67"/>
      <c r="K12" s="67"/>
      <c r="L12" s="67"/>
      <c r="M12" s="67"/>
      <c r="N12" s="67"/>
      <c r="O12" s="67"/>
      <c r="P12" s="67"/>
      <c r="Q12" s="67"/>
      <c r="R12" s="67"/>
      <c r="S12" s="67"/>
      <c r="T12" s="67"/>
      <c r="U12" s="67"/>
      <c r="V12" s="67"/>
      <c r="W12" s="67"/>
      <c r="X12" s="67"/>
      <c r="Y12" s="67"/>
      <c r="Z12" s="67"/>
      <c r="AA12" s="56"/>
    </row>
    <row r="13" spans="1:27" ht="16" x14ac:dyDescent="0.25">
      <c r="A13" s="75"/>
      <c r="B13" s="67"/>
      <c r="C13" s="67"/>
      <c r="D13" s="67"/>
      <c r="E13" s="67"/>
      <c r="F13" s="67"/>
      <c r="G13" s="76" t="s">
        <v>75</v>
      </c>
      <c r="H13" s="118">
        <f>RT/1000</f>
        <v>220.04499999999999</v>
      </c>
      <c r="I13" s="77" t="s">
        <v>76</v>
      </c>
      <c r="J13" s="67"/>
      <c r="K13" s="67"/>
      <c r="L13" s="67"/>
      <c r="M13" s="67"/>
      <c r="N13" s="67"/>
      <c r="O13" s="67"/>
      <c r="P13" s="67"/>
      <c r="Q13" s="67"/>
      <c r="R13" s="67"/>
      <c r="S13" s="67"/>
      <c r="T13" s="67"/>
      <c r="U13" s="67"/>
      <c r="V13" s="67"/>
      <c r="W13" s="67"/>
      <c r="X13" s="67"/>
      <c r="Y13" s="67"/>
      <c r="Z13" s="67"/>
      <c r="AA13" s="56"/>
    </row>
    <row r="14" spans="1:27" x14ac:dyDescent="0.2">
      <c r="A14" s="75"/>
      <c r="B14" s="67"/>
      <c r="C14" s="67"/>
      <c r="D14" s="67"/>
      <c r="E14" s="67"/>
      <c r="F14" s="67"/>
      <c r="G14" s="76" t="s">
        <v>9</v>
      </c>
      <c r="H14" s="117">
        <v>95</v>
      </c>
      <c r="I14" s="77" t="s">
        <v>13</v>
      </c>
      <c r="J14" s="67"/>
      <c r="K14" s="67"/>
      <c r="L14" s="67"/>
      <c r="M14" s="67"/>
      <c r="N14" s="67"/>
      <c r="O14" s="67"/>
      <c r="P14" s="67"/>
      <c r="Q14" s="67"/>
      <c r="R14" s="67"/>
      <c r="S14" s="67"/>
      <c r="T14" s="67"/>
      <c r="U14" s="67"/>
      <c r="V14" s="67"/>
      <c r="W14" s="67"/>
      <c r="X14" s="67"/>
      <c r="Y14" s="67"/>
      <c r="Z14" s="67"/>
      <c r="AA14" s="56"/>
    </row>
    <row r="15" spans="1:27" ht="16" x14ac:dyDescent="0.25">
      <c r="A15" s="75"/>
      <c r="B15" s="67"/>
      <c r="C15" s="67"/>
      <c r="D15" s="67"/>
      <c r="E15" s="67"/>
      <c r="F15" s="67"/>
      <c r="G15" s="76" t="s">
        <v>14</v>
      </c>
      <c r="H15" s="119">
        <f>POUT</f>
        <v>2.5949999999999998</v>
      </c>
      <c r="I15" s="77" t="s">
        <v>38</v>
      </c>
      <c r="J15" s="67"/>
      <c r="K15" s="67"/>
      <c r="L15" s="67"/>
      <c r="M15" s="67"/>
      <c r="N15" s="67"/>
      <c r="O15" s="67"/>
      <c r="P15" s="67"/>
      <c r="Q15" s="67"/>
      <c r="R15" s="67"/>
      <c r="S15" s="67"/>
      <c r="T15" s="67"/>
      <c r="U15" s="67"/>
      <c r="V15" s="67"/>
      <c r="W15" s="67"/>
      <c r="X15" s="67"/>
      <c r="Y15" s="67"/>
      <c r="Z15" s="67"/>
      <c r="AA15" s="56"/>
    </row>
    <row r="16" spans="1:27" ht="16" x14ac:dyDescent="0.25">
      <c r="A16" s="78"/>
      <c r="B16" s="79"/>
      <c r="C16" s="79"/>
      <c r="D16" s="79"/>
      <c r="E16" s="79"/>
      <c r="F16" s="67"/>
      <c r="G16" s="80" t="s">
        <v>486</v>
      </c>
      <c r="H16" s="119">
        <f>Dc_max_IC*100</f>
        <v>93</v>
      </c>
      <c r="I16" s="77" t="s">
        <v>13</v>
      </c>
      <c r="J16" s="67"/>
      <c r="K16" s="67"/>
      <c r="L16" s="67"/>
      <c r="M16" s="67"/>
      <c r="N16" s="67"/>
      <c r="O16" s="67"/>
      <c r="P16" s="67"/>
      <c r="Q16" s="67"/>
      <c r="R16" s="67"/>
      <c r="S16" s="67"/>
      <c r="T16" s="67"/>
      <c r="U16" s="67"/>
      <c r="V16" s="67"/>
      <c r="W16" s="67"/>
      <c r="X16" s="67"/>
      <c r="Y16" s="67"/>
      <c r="Z16" s="67"/>
      <c r="AA16" s="56"/>
    </row>
    <row r="17" spans="1:27" ht="16" thickBot="1" x14ac:dyDescent="0.25">
      <c r="A17" s="78"/>
      <c r="B17" s="79"/>
      <c r="C17" s="79"/>
      <c r="D17" s="79"/>
      <c r="E17" s="79"/>
      <c r="F17" s="67"/>
      <c r="G17" s="80" t="s">
        <v>518</v>
      </c>
      <c r="H17" s="142">
        <f>Variable_Management!B39*100</f>
        <v>97.225433526011557</v>
      </c>
      <c r="I17" s="77" t="s">
        <v>13</v>
      </c>
      <c r="J17" s="67"/>
      <c r="K17" s="67"/>
      <c r="L17" s="67"/>
      <c r="M17" s="67"/>
      <c r="N17" s="67"/>
      <c r="O17" s="67"/>
      <c r="P17" s="67"/>
      <c r="Q17" s="67"/>
      <c r="R17" s="67"/>
      <c r="S17" s="67"/>
      <c r="T17" s="67"/>
      <c r="U17" s="67"/>
      <c r="V17" s="67"/>
      <c r="W17" s="67"/>
      <c r="X17" s="67"/>
      <c r="Y17" s="67"/>
      <c r="Z17" s="67"/>
      <c r="AA17" s="56"/>
    </row>
    <row r="18" spans="1:27" ht="16" thickBot="1" x14ac:dyDescent="0.25">
      <c r="A18" s="81"/>
      <c r="B18" s="82"/>
      <c r="C18" s="82"/>
      <c r="D18" s="82"/>
      <c r="E18" s="82"/>
      <c r="F18" s="83"/>
      <c r="G18" s="84" t="s">
        <v>522</v>
      </c>
      <c r="H18" s="138" t="s">
        <v>496</v>
      </c>
      <c r="I18" s="85"/>
      <c r="J18" s="67"/>
      <c r="K18" s="67"/>
      <c r="L18" s="67"/>
      <c r="M18" s="67"/>
      <c r="N18" s="67"/>
      <c r="O18" s="67"/>
      <c r="P18" s="67"/>
      <c r="Q18" s="67"/>
      <c r="R18" s="67"/>
      <c r="S18" s="67"/>
      <c r="T18" s="67"/>
      <c r="U18" s="67"/>
      <c r="V18" s="67"/>
      <c r="W18" s="67"/>
      <c r="X18" s="67"/>
      <c r="Y18" s="67"/>
      <c r="Z18" s="67"/>
      <c r="AA18" s="56"/>
    </row>
    <row r="19" spans="1:27" x14ac:dyDescent="0.2">
      <c r="A19" s="79"/>
      <c r="B19" s="79"/>
      <c r="C19" s="79"/>
      <c r="D19" s="79"/>
      <c r="E19" s="79"/>
      <c r="F19" s="67"/>
      <c r="G19" s="68"/>
      <c r="H19" s="67"/>
      <c r="I19" s="67"/>
      <c r="J19" s="67"/>
      <c r="K19" s="67"/>
      <c r="L19" s="67"/>
      <c r="M19" s="67"/>
      <c r="N19" s="67"/>
      <c r="O19" s="67"/>
      <c r="P19" s="67"/>
      <c r="Q19" s="67"/>
      <c r="R19" s="67"/>
      <c r="S19" s="67"/>
      <c r="T19" s="67"/>
      <c r="U19" s="67"/>
      <c r="V19" s="67"/>
      <c r="W19" s="67"/>
      <c r="X19" s="67"/>
      <c r="Y19" s="67"/>
      <c r="Z19" s="67"/>
      <c r="AA19" s="56"/>
    </row>
    <row r="20" spans="1:27" ht="16" thickBot="1" x14ac:dyDescent="0.25">
      <c r="A20" s="70" t="s">
        <v>77</v>
      </c>
      <c r="B20" s="79"/>
      <c r="C20" s="79"/>
      <c r="D20" s="79"/>
      <c r="E20" s="79"/>
      <c r="F20" s="67"/>
      <c r="G20" s="68"/>
      <c r="H20" s="67"/>
      <c r="I20" s="67"/>
      <c r="J20" s="67"/>
      <c r="K20" s="67"/>
      <c r="L20" s="67"/>
      <c r="M20" s="67"/>
      <c r="N20" s="67"/>
      <c r="O20" s="67"/>
      <c r="P20" s="67"/>
      <c r="Q20" s="67"/>
      <c r="R20" s="67"/>
      <c r="S20" s="67"/>
      <c r="T20" s="67"/>
      <c r="U20" s="67"/>
      <c r="V20" s="67"/>
      <c r="W20" s="67"/>
      <c r="X20" s="67"/>
      <c r="Y20" s="67"/>
      <c r="Z20" s="67"/>
      <c r="AA20" s="56"/>
    </row>
    <row r="21" spans="1:27" ht="16" x14ac:dyDescent="0.25">
      <c r="A21" s="86"/>
      <c r="B21" s="87"/>
      <c r="C21" s="87"/>
      <c r="D21" s="87"/>
      <c r="E21" s="87"/>
      <c r="F21" s="72"/>
      <c r="G21" s="73" t="s">
        <v>487</v>
      </c>
      <c r="H21" s="116">
        <v>60</v>
      </c>
      <c r="I21" s="74" t="s">
        <v>13</v>
      </c>
      <c r="J21" s="67"/>
      <c r="K21" s="67"/>
      <c r="L21" s="67"/>
      <c r="M21" s="67"/>
      <c r="N21" s="67"/>
      <c r="O21" s="67"/>
      <c r="P21" s="67"/>
      <c r="Q21" s="67"/>
      <c r="R21" s="67"/>
      <c r="S21" s="67"/>
      <c r="T21" s="67"/>
      <c r="U21" s="67"/>
      <c r="V21" s="67"/>
      <c r="W21" s="67"/>
      <c r="X21" s="67"/>
      <c r="Y21" s="67"/>
      <c r="Z21" s="67"/>
      <c r="AA21" s="56"/>
    </row>
    <row r="22" spans="1:27" ht="16" x14ac:dyDescent="0.25">
      <c r="A22" s="75"/>
      <c r="B22" s="67"/>
      <c r="C22" s="67"/>
      <c r="D22" s="67"/>
      <c r="E22" s="67"/>
      <c r="F22" s="67"/>
      <c r="G22" s="76" t="s">
        <v>459</v>
      </c>
      <c r="H22" s="120">
        <f>IF(H18="CCM",Lopt_2*10^6,L_DCM*10^6)</f>
        <v>43.161348524842097</v>
      </c>
      <c r="I22" s="77" t="s">
        <v>542</v>
      </c>
      <c r="J22" s="67"/>
      <c r="K22" s="67"/>
      <c r="L22" s="67"/>
      <c r="M22" s="67"/>
      <c r="N22" s="67"/>
      <c r="O22" s="67"/>
      <c r="P22" s="67"/>
      <c r="Q22" s="67"/>
      <c r="R22" s="67"/>
      <c r="S22" s="67"/>
      <c r="T22" s="67"/>
      <c r="U22" s="67"/>
      <c r="V22" s="67"/>
      <c r="W22" s="67"/>
      <c r="X22" s="67"/>
      <c r="Y22" s="67"/>
      <c r="Z22" s="67"/>
      <c r="AA22" s="56"/>
    </row>
    <row r="23" spans="1:27" ht="16" x14ac:dyDescent="0.25">
      <c r="A23" s="75"/>
      <c r="B23" s="67"/>
      <c r="C23" s="67"/>
      <c r="D23" s="67"/>
      <c r="E23" s="67"/>
      <c r="F23" s="67"/>
      <c r="G23" s="76" t="s">
        <v>460</v>
      </c>
      <c r="H23" s="117">
        <v>10</v>
      </c>
      <c r="I23" s="77" t="s">
        <v>542</v>
      </c>
      <c r="J23" s="67"/>
      <c r="K23" s="67"/>
      <c r="L23" s="67"/>
      <c r="M23" s="67"/>
      <c r="N23" s="67"/>
      <c r="O23" s="67"/>
      <c r="P23" s="67"/>
      <c r="Q23" s="67"/>
      <c r="R23" s="67"/>
      <c r="S23" s="67"/>
      <c r="T23" s="67"/>
      <c r="U23" s="67"/>
      <c r="V23" s="67"/>
      <c r="W23" s="67"/>
      <c r="X23" s="67"/>
      <c r="Y23" s="67"/>
      <c r="Z23" s="67"/>
      <c r="AA23" s="56"/>
    </row>
    <row r="24" spans="1:27" ht="16" x14ac:dyDescent="0.25">
      <c r="A24" s="75"/>
      <c r="B24" s="67"/>
      <c r="C24" s="67"/>
      <c r="D24" s="67"/>
      <c r="E24" s="67"/>
      <c r="F24" s="67"/>
      <c r="G24" s="76" t="s">
        <v>81</v>
      </c>
      <c r="H24" s="117">
        <v>35</v>
      </c>
      <c r="I24" s="77" t="s">
        <v>105</v>
      </c>
      <c r="J24" s="67"/>
      <c r="K24" s="67"/>
      <c r="L24" s="67"/>
      <c r="M24" s="67"/>
      <c r="N24" s="67"/>
      <c r="O24" s="67"/>
      <c r="P24" s="67"/>
      <c r="Q24" s="67"/>
      <c r="R24" s="67"/>
      <c r="S24" s="67"/>
      <c r="T24" s="67"/>
      <c r="U24" s="67"/>
      <c r="V24" s="67"/>
      <c r="W24" s="67"/>
      <c r="X24" s="67"/>
      <c r="Y24" s="67"/>
      <c r="Z24" s="67"/>
      <c r="AA24" s="56"/>
    </row>
    <row r="25" spans="1:27" ht="17" thickBot="1" x14ac:dyDescent="0.3">
      <c r="A25" s="88"/>
      <c r="B25" s="83"/>
      <c r="C25" s="83"/>
      <c r="D25" s="83"/>
      <c r="E25" s="83"/>
      <c r="F25" s="83"/>
      <c r="G25" s="89" t="s">
        <v>106</v>
      </c>
      <c r="H25" s="121">
        <f>ILp_VINmin</f>
        <v>2.2463303408003017</v>
      </c>
      <c r="I25" s="85" t="s">
        <v>11</v>
      </c>
      <c r="J25" s="67"/>
      <c r="K25" s="67"/>
      <c r="L25" s="67"/>
      <c r="M25" s="67"/>
      <c r="N25" s="67"/>
      <c r="O25" s="67"/>
      <c r="P25" s="67"/>
      <c r="Q25" s="67"/>
      <c r="R25" s="67"/>
      <c r="S25" s="67"/>
      <c r="T25" s="67"/>
      <c r="U25" s="67"/>
      <c r="V25" s="67"/>
      <c r="W25" s="67"/>
      <c r="X25" s="67"/>
      <c r="Y25" s="67"/>
      <c r="Z25" s="67"/>
      <c r="AA25" s="56"/>
    </row>
    <row r="26" spans="1:27" x14ac:dyDescent="0.2">
      <c r="A26" s="67"/>
      <c r="B26" s="67"/>
      <c r="C26" s="67"/>
      <c r="D26" s="67"/>
      <c r="E26" s="67"/>
      <c r="F26" s="67"/>
      <c r="G26" s="68"/>
      <c r="H26" s="67"/>
      <c r="I26" s="67"/>
      <c r="J26" s="67"/>
      <c r="K26" s="67"/>
      <c r="L26" s="67"/>
      <c r="M26" s="67"/>
      <c r="N26" s="67"/>
      <c r="O26" s="67"/>
      <c r="P26" s="67"/>
      <c r="Q26" s="67"/>
      <c r="R26" s="67"/>
      <c r="S26" s="67"/>
      <c r="T26" s="67"/>
      <c r="U26" s="67"/>
      <c r="V26" s="67"/>
      <c r="W26" s="67"/>
      <c r="X26" s="67"/>
      <c r="Y26" s="67"/>
      <c r="Z26" s="67"/>
      <c r="AA26" s="56"/>
    </row>
    <row r="27" spans="1:27" ht="16" thickBot="1" x14ac:dyDescent="0.25">
      <c r="A27" s="70" t="s">
        <v>127</v>
      </c>
      <c r="B27" s="67"/>
      <c r="C27" s="67"/>
      <c r="D27" s="67"/>
      <c r="E27" s="67"/>
      <c r="F27" s="67"/>
      <c r="G27" s="68"/>
      <c r="H27" s="67"/>
      <c r="I27" s="67"/>
      <c r="J27" s="67"/>
      <c r="K27" s="67"/>
      <c r="L27" s="67"/>
      <c r="M27" s="67"/>
      <c r="N27" s="67"/>
      <c r="O27" s="67"/>
      <c r="P27" s="67"/>
      <c r="Q27" s="67"/>
      <c r="R27" s="67"/>
      <c r="S27" s="67"/>
      <c r="T27" s="67"/>
      <c r="U27" s="67"/>
      <c r="V27" s="67"/>
      <c r="W27" s="67"/>
      <c r="X27" s="67"/>
      <c r="Y27" s="67"/>
      <c r="Z27" s="67"/>
      <c r="AA27" s="56"/>
    </row>
    <row r="28" spans="1:27" x14ac:dyDescent="0.2">
      <c r="A28" s="71"/>
      <c r="B28" s="72"/>
      <c r="C28" s="72"/>
      <c r="D28" s="72"/>
      <c r="E28" s="72"/>
      <c r="F28" s="72"/>
      <c r="G28" s="73" t="s">
        <v>488</v>
      </c>
      <c r="H28" s="116">
        <v>20</v>
      </c>
      <c r="I28" s="74" t="s">
        <v>13</v>
      </c>
      <c r="J28" s="67"/>
      <c r="K28" s="67"/>
      <c r="L28" s="67"/>
      <c r="M28" s="67"/>
      <c r="N28" s="67"/>
      <c r="O28" s="67"/>
      <c r="P28" s="67"/>
      <c r="Q28" s="67"/>
      <c r="R28" s="67"/>
      <c r="S28" s="67"/>
      <c r="T28" s="67"/>
      <c r="U28" s="67"/>
      <c r="V28" s="67"/>
      <c r="W28" s="67"/>
      <c r="X28" s="67"/>
      <c r="Y28" s="67"/>
      <c r="Z28" s="67"/>
      <c r="AA28" s="56"/>
    </row>
    <row r="29" spans="1:27" ht="17" x14ac:dyDescent="0.25">
      <c r="A29" s="75"/>
      <c r="B29" s="67"/>
      <c r="C29" s="67"/>
      <c r="D29" s="67"/>
      <c r="E29" s="67"/>
      <c r="F29" s="67"/>
      <c r="G29" s="68" t="s">
        <v>203</v>
      </c>
      <c r="H29" s="118">
        <f>Ipk_selected</f>
        <v>2.6955964089603621</v>
      </c>
      <c r="I29" s="77" t="s">
        <v>11</v>
      </c>
      <c r="J29" s="67"/>
      <c r="K29" s="67"/>
      <c r="L29" s="67"/>
      <c r="M29" s="67"/>
      <c r="N29" s="67"/>
      <c r="O29" s="67"/>
      <c r="P29" s="67"/>
      <c r="Q29" s="67"/>
      <c r="R29" s="67"/>
      <c r="S29" s="67"/>
      <c r="T29" s="67"/>
      <c r="U29" s="67"/>
      <c r="V29" s="67"/>
      <c r="W29" s="67"/>
      <c r="X29" s="67"/>
      <c r="Y29" s="67"/>
      <c r="Z29" s="67"/>
      <c r="AA29" s="56"/>
    </row>
    <row r="30" spans="1:27" ht="17" x14ac:dyDescent="0.25">
      <c r="A30" s="75"/>
      <c r="B30" s="67"/>
      <c r="C30" s="67"/>
      <c r="D30" s="67"/>
      <c r="E30" s="67"/>
      <c r="F30" s="67"/>
      <c r="G30" s="68" t="s">
        <v>493</v>
      </c>
      <c r="H30" s="118">
        <f>Variable_Management!B135*1000</f>
        <v>37.097541630339244</v>
      </c>
      <c r="I30" s="77" t="s">
        <v>105</v>
      </c>
      <c r="J30" s="67"/>
      <c r="K30" s="67"/>
      <c r="L30" s="67"/>
      <c r="M30" s="67"/>
      <c r="N30" s="67"/>
      <c r="O30" s="67"/>
      <c r="P30" s="67"/>
      <c r="Q30" s="67"/>
      <c r="R30" s="67"/>
      <c r="S30" s="67"/>
      <c r="T30" s="67"/>
      <c r="U30" s="67"/>
      <c r="V30" s="67"/>
      <c r="W30" s="67"/>
      <c r="X30" s="67"/>
      <c r="Y30" s="67"/>
      <c r="Z30" s="67"/>
      <c r="AA30" s="56"/>
    </row>
    <row r="31" spans="1:27" ht="17" x14ac:dyDescent="0.25">
      <c r="A31" s="75"/>
      <c r="B31" s="67"/>
      <c r="C31" s="67"/>
      <c r="D31" s="67"/>
      <c r="E31" s="67"/>
      <c r="F31" s="67"/>
      <c r="G31" s="68" t="s">
        <v>166</v>
      </c>
      <c r="H31" s="122">
        <f>Variable_Management!B136</f>
        <v>0</v>
      </c>
      <c r="I31" s="90" t="s">
        <v>36</v>
      </c>
      <c r="J31" s="67"/>
      <c r="K31" s="67"/>
      <c r="L31" s="67"/>
      <c r="M31" s="67"/>
      <c r="N31" s="67"/>
      <c r="O31" s="67"/>
      <c r="P31" s="67"/>
      <c r="Q31" s="67"/>
      <c r="R31" s="67"/>
      <c r="S31" s="67"/>
      <c r="T31" s="67"/>
      <c r="U31" s="67"/>
      <c r="V31" s="67"/>
      <c r="W31" s="67"/>
      <c r="X31" s="67"/>
      <c r="Y31" s="67"/>
      <c r="Z31" s="67"/>
      <c r="AA31" s="56"/>
    </row>
    <row r="32" spans="1:27" ht="17" x14ac:dyDescent="0.25">
      <c r="A32" s="75"/>
      <c r="B32" s="67"/>
      <c r="C32" s="67"/>
      <c r="D32" s="67"/>
      <c r="E32" s="67"/>
      <c r="F32" s="67"/>
      <c r="G32" s="68" t="s">
        <v>494</v>
      </c>
      <c r="H32" s="117">
        <v>33</v>
      </c>
      <c r="I32" s="77" t="s">
        <v>105</v>
      </c>
      <c r="J32" s="67"/>
      <c r="K32" s="67"/>
      <c r="L32" s="67"/>
      <c r="M32" s="67"/>
      <c r="N32" s="67"/>
      <c r="O32" s="67"/>
      <c r="P32" s="67"/>
      <c r="Q32" s="67"/>
      <c r="R32" s="67"/>
      <c r="S32" s="67"/>
      <c r="T32" s="67"/>
      <c r="U32" s="67"/>
      <c r="V32" s="67"/>
      <c r="W32" s="67"/>
      <c r="X32" s="67"/>
      <c r="Y32" s="67"/>
      <c r="Z32" s="67"/>
      <c r="AA32" s="56"/>
    </row>
    <row r="33" spans="1:27" ht="17" x14ac:dyDescent="0.25">
      <c r="A33" s="75"/>
      <c r="B33" s="67"/>
      <c r="C33" s="67"/>
      <c r="D33" s="67"/>
      <c r="E33" s="67"/>
      <c r="F33" s="67"/>
      <c r="G33" s="68" t="s">
        <v>169</v>
      </c>
      <c r="H33" s="117">
        <v>0</v>
      </c>
      <c r="I33" s="90" t="s">
        <v>36</v>
      </c>
      <c r="J33" s="67"/>
      <c r="K33" s="67"/>
      <c r="L33" s="67"/>
      <c r="M33" s="67"/>
      <c r="N33" s="67"/>
      <c r="O33" s="67"/>
      <c r="P33" s="67"/>
      <c r="Q33" s="67"/>
      <c r="R33" s="67"/>
      <c r="S33" s="67"/>
      <c r="T33" s="67"/>
      <c r="U33" s="67"/>
      <c r="V33" s="67"/>
      <c r="W33" s="67"/>
      <c r="X33" s="67"/>
      <c r="Y33" s="67"/>
      <c r="Z33" s="67"/>
      <c r="AA33" s="56"/>
    </row>
    <row r="34" spans="1:27" x14ac:dyDescent="0.2">
      <c r="A34" s="75"/>
      <c r="B34" s="67"/>
      <c r="C34" s="67"/>
      <c r="D34" s="67"/>
      <c r="E34" s="67"/>
      <c r="F34" s="67"/>
      <c r="G34" s="68" t="s">
        <v>173</v>
      </c>
      <c r="H34" s="118">
        <f>IL_pk_max</f>
        <v>3.0303030303030303</v>
      </c>
      <c r="I34" s="90" t="s">
        <v>11</v>
      </c>
      <c r="J34" s="67"/>
      <c r="K34" s="67"/>
      <c r="L34" s="67"/>
      <c r="M34" s="67"/>
      <c r="N34" s="67"/>
      <c r="O34" s="67"/>
      <c r="P34" s="67"/>
      <c r="Q34" s="67"/>
      <c r="R34" s="67"/>
      <c r="S34" s="67"/>
      <c r="T34" s="67"/>
      <c r="U34" s="67"/>
      <c r="V34" s="67"/>
      <c r="W34" s="67"/>
      <c r="X34" s="67"/>
      <c r="Y34" s="67"/>
      <c r="Z34" s="67"/>
      <c r="AA34" s="56"/>
    </row>
    <row r="35" spans="1:27" ht="16" thickBot="1" x14ac:dyDescent="0.25">
      <c r="A35" s="88"/>
      <c r="B35" s="83"/>
      <c r="C35" s="83"/>
      <c r="D35" s="83"/>
      <c r="E35" s="83"/>
      <c r="F35" s="83"/>
      <c r="G35" s="91" t="s">
        <v>191</v>
      </c>
      <c r="H35" s="123">
        <f>Variable_Management!B145</f>
        <v>3.4848484848484844</v>
      </c>
      <c r="I35" s="92" t="s">
        <v>11</v>
      </c>
      <c r="J35" s="67"/>
      <c r="K35" s="67"/>
      <c r="L35" s="67"/>
      <c r="M35" s="67"/>
      <c r="N35" s="67"/>
      <c r="O35" s="67"/>
      <c r="P35" s="67"/>
      <c r="Q35" s="67"/>
      <c r="R35" s="67"/>
      <c r="S35" s="67"/>
      <c r="T35" s="67"/>
      <c r="U35" s="67"/>
      <c r="V35" s="67"/>
      <c r="W35" s="67"/>
      <c r="X35" s="67"/>
      <c r="Y35" s="67"/>
      <c r="Z35" s="67"/>
      <c r="AA35" s="56"/>
    </row>
    <row r="36" spans="1:27" x14ac:dyDescent="0.2">
      <c r="A36" s="67"/>
      <c r="B36" s="67"/>
      <c r="C36" s="67"/>
      <c r="D36" s="67"/>
      <c r="E36" s="67"/>
      <c r="F36" s="67"/>
      <c r="G36" s="68"/>
      <c r="H36" s="67"/>
      <c r="I36" s="67"/>
      <c r="J36" s="67"/>
      <c r="K36" s="67"/>
      <c r="L36" s="67"/>
      <c r="M36" s="67"/>
      <c r="N36" s="67"/>
      <c r="O36" s="67"/>
      <c r="P36" s="67"/>
      <c r="Q36" s="67"/>
      <c r="R36" s="67"/>
      <c r="S36" s="67"/>
      <c r="T36" s="67"/>
      <c r="U36" s="67"/>
      <c r="V36" s="67"/>
      <c r="W36" s="67"/>
      <c r="X36" s="67"/>
      <c r="Y36" s="67"/>
      <c r="Z36" s="67"/>
      <c r="AA36" s="56"/>
    </row>
    <row r="37" spans="1:27" ht="16" thickBot="1" x14ac:dyDescent="0.25">
      <c r="A37" s="70" t="s">
        <v>185</v>
      </c>
      <c r="B37" s="67"/>
      <c r="C37" s="67"/>
      <c r="D37" s="67"/>
      <c r="E37" s="67"/>
      <c r="F37" s="67"/>
      <c r="G37" s="68"/>
      <c r="H37" s="67"/>
      <c r="I37" s="67"/>
      <c r="J37" s="67"/>
      <c r="K37" s="67"/>
      <c r="L37" s="67"/>
      <c r="M37" s="67"/>
      <c r="N37" s="67"/>
      <c r="O37" s="67"/>
      <c r="P37" s="67"/>
      <c r="Q37" s="67"/>
      <c r="R37" s="67"/>
      <c r="S37" s="67"/>
      <c r="T37" s="67"/>
      <c r="U37" s="67"/>
      <c r="V37" s="67"/>
      <c r="W37" s="67"/>
      <c r="X37" s="67"/>
      <c r="Y37" s="67"/>
      <c r="Z37" s="67"/>
      <c r="AA37" s="56"/>
    </row>
    <row r="38" spans="1:27" ht="17" x14ac:dyDescent="0.25">
      <c r="A38" s="71"/>
      <c r="B38" s="72"/>
      <c r="C38" s="72"/>
      <c r="D38" s="72"/>
      <c r="E38" s="72"/>
      <c r="F38" s="72"/>
      <c r="G38" s="93" t="s">
        <v>541</v>
      </c>
      <c r="H38" s="116">
        <v>100</v>
      </c>
      <c r="I38" s="74" t="s">
        <v>186</v>
      </c>
      <c r="J38" s="67"/>
      <c r="K38" s="67"/>
      <c r="L38" s="67"/>
      <c r="M38" s="67"/>
      <c r="N38" s="67"/>
      <c r="O38" s="67"/>
      <c r="P38" s="67"/>
      <c r="Q38" s="67"/>
      <c r="R38" s="67"/>
      <c r="S38" s="67"/>
      <c r="T38" s="67"/>
      <c r="U38" s="67"/>
      <c r="V38" s="67"/>
      <c r="W38" s="67"/>
      <c r="X38" s="67"/>
      <c r="Y38" s="67"/>
      <c r="Z38" s="67"/>
      <c r="AA38" s="56"/>
    </row>
    <row r="39" spans="1:27" x14ac:dyDescent="0.2">
      <c r="A39" s="75"/>
      <c r="B39" s="67"/>
      <c r="C39" s="67"/>
      <c r="D39" s="67"/>
      <c r="E39" s="67"/>
      <c r="F39" s="67"/>
      <c r="G39" s="68" t="s">
        <v>187</v>
      </c>
      <c r="H39" s="143">
        <f>Cout_min*10^6</f>
        <v>0.70197823150009409</v>
      </c>
      <c r="I39" s="77" t="s">
        <v>543</v>
      </c>
      <c r="J39" s="67"/>
      <c r="K39" s="67"/>
      <c r="L39" s="67"/>
      <c r="M39" s="67"/>
      <c r="N39" s="67"/>
      <c r="O39" s="67"/>
      <c r="P39" s="67"/>
      <c r="Q39" s="67"/>
      <c r="R39" s="67"/>
      <c r="S39" s="67"/>
      <c r="T39" s="67"/>
      <c r="U39" s="67"/>
      <c r="V39" s="67"/>
      <c r="W39" s="67"/>
      <c r="X39" s="67"/>
      <c r="Y39" s="67"/>
      <c r="Z39" s="67"/>
      <c r="AA39" s="56"/>
    </row>
    <row r="40" spans="1:27" ht="17" x14ac:dyDescent="0.25">
      <c r="A40" s="75"/>
      <c r="B40" s="67"/>
      <c r="C40" s="67"/>
      <c r="D40" s="67"/>
      <c r="E40" s="67"/>
      <c r="F40" s="67"/>
      <c r="G40" s="68" t="s">
        <v>195</v>
      </c>
      <c r="H40" s="118">
        <f>IRMS_COUT</f>
        <v>0.94606888255486288</v>
      </c>
      <c r="I40" s="77" t="s">
        <v>11</v>
      </c>
      <c r="J40" s="67"/>
      <c r="K40" s="67"/>
      <c r="L40" s="67"/>
      <c r="M40" s="67"/>
      <c r="N40" s="67"/>
      <c r="O40" s="67"/>
      <c r="P40" s="67"/>
      <c r="Q40" s="67"/>
      <c r="R40" s="67"/>
      <c r="S40" s="67"/>
      <c r="T40" s="67"/>
      <c r="U40" s="67"/>
      <c r="V40" s="67"/>
      <c r="W40" s="67"/>
      <c r="X40" s="67"/>
      <c r="Y40" s="67"/>
      <c r="Z40" s="67"/>
      <c r="AA40" s="56"/>
    </row>
    <row r="41" spans="1:27" ht="17" x14ac:dyDescent="0.25">
      <c r="A41" s="75"/>
      <c r="B41" s="67"/>
      <c r="C41" s="67"/>
      <c r="D41" s="67"/>
      <c r="E41" s="67"/>
      <c r="F41" s="67"/>
      <c r="G41" s="68" t="s">
        <v>188</v>
      </c>
      <c r="H41" s="117">
        <v>10</v>
      </c>
      <c r="I41" s="77" t="s">
        <v>543</v>
      </c>
      <c r="J41" s="67"/>
      <c r="K41" s="67"/>
      <c r="L41" s="67"/>
      <c r="M41" s="67"/>
      <c r="N41" s="67"/>
      <c r="O41" s="67"/>
      <c r="P41" s="67"/>
      <c r="Q41" s="67"/>
      <c r="R41" s="67"/>
      <c r="S41" s="67"/>
      <c r="T41" s="67"/>
      <c r="U41" s="67"/>
      <c r="V41" s="67"/>
      <c r="W41" s="67"/>
      <c r="X41" s="67"/>
      <c r="Y41" s="67"/>
      <c r="Z41" s="67"/>
      <c r="AA41" s="56"/>
    </row>
    <row r="42" spans="1:27" ht="18" thickBot="1" x14ac:dyDescent="0.3">
      <c r="A42" s="88"/>
      <c r="B42" s="83"/>
      <c r="C42" s="83"/>
      <c r="D42" s="83"/>
      <c r="E42" s="83"/>
      <c r="F42" s="83"/>
      <c r="G42" s="91" t="s">
        <v>198</v>
      </c>
      <c r="H42" s="124">
        <v>28000</v>
      </c>
      <c r="I42" s="85" t="s">
        <v>105</v>
      </c>
      <c r="J42" s="67"/>
      <c r="K42" s="67"/>
      <c r="L42" s="67"/>
      <c r="M42" s="67"/>
      <c r="N42" s="67"/>
      <c r="O42" s="67"/>
      <c r="P42" s="67"/>
      <c r="Q42" s="67"/>
      <c r="R42" s="67"/>
      <c r="S42" s="67"/>
      <c r="T42" s="67"/>
      <c r="U42" s="67"/>
      <c r="V42" s="67"/>
      <c r="W42" s="67"/>
      <c r="X42" s="67"/>
      <c r="Y42" s="67"/>
      <c r="Z42" s="67"/>
      <c r="AA42" s="56"/>
    </row>
    <row r="43" spans="1:27" x14ac:dyDescent="0.2">
      <c r="A43" s="67"/>
      <c r="B43" s="67"/>
      <c r="C43" s="67"/>
      <c r="D43" s="67"/>
      <c r="E43" s="67"/>
      <c r="F43" s="67"/>
      <c r="G43" s="68"/>
      <c r="H43" s="67"/>
      <c r="I43" s="67"/>
      <c r="J43" s="67"/>
      <c r="K43" s="67"/>
      <c r="L43" s="67"/>
      <c r="M43" s="67"/>
      <c r="N43" s="67"/>
      <c r="O43" s="67"/>
      <c r="P43" s="67"/>
      <c r="Q43" s="67"/>
      <c r="R43" s="67"/>
      <c r="S43" s="67"/>
      <c r="T43" s="67"/>
      <c r="U43" s="67"/>
      <c r="V43" s="67"/>
      <c r="W43" s="67"/>
      <c r="X43" s="67"/>
      <c r="Y43" s="67"/>
      <c r="Z43" s="67"/>
      <c r="AA43" s="56"/>
    </row>
    <row r="44" spans="1:27" ht="16" thickBot="1" x14ac:dyDescent="0.25">
      <c r="A44" s="70" t="s">
        <v>319</v>
      </c>
      <c r="B44" s="67"/>
      <c r="C44" s="67"/>
      <c r="D44" s="67"/>
      <c r="E44" s="67"/>
      <c r="F44" s="67"/>
      <c r="G44" s="68"/>
      <c r="H44" s="67"/>
      <c r="I44" s="67"/>
      <c r="J44" s="67"/>
      <c r="K44" s="67"/>
      <c r="L44" s="67"/>
      <c r="M44" s="67"/>
      <c r="N44" s="67"/>
      <c r="O44" s="67"/>
      <c r="P44" s="67"/>
      <c r="Q44" s="67"/>
      <c r="R44" s="67"/>
      <c r="S44" s="67"/>
      <c r="T44" s="67"/>
      <c r="U44" s="67"/>
      <c r="V44" s="67"/>
      <c r="W44" s="67"/>
      <c r="X44" s="67"/>
      <c r="Y44" s="67"/>
      <c r="Z44" s="67"/>
      <c r="AA44" s="56"/>
    </row>
    <row r="45" spans="1:27" ht="17" x14ac:dyDescent="0.25">
      <c r="A45" s="71"/>
      <c r="B45" s="72"/>
      <c r="C45" s="72"/>
      <c r="D45" s="72"/>
      <c r="E45" s="72"/>
      <c r="F45" s="72"/>
      <c r="G45" s="93" t="s">
        <v>342</v>
      </c>
      <c r="H45" s="126">
        <f>Variable_Management!B161*(10^9)</f>
        <v>1153.333333333333</v>
      </c>
      <c r="I45" s="74" t="s">
        <v>218</v>
      </c>
      <c r="J45" s="67"/>
      <c r="K45" s="67"/>
      <c r="L45" s="67"/>
      <c r="M45" s="67"/>
      <c r="N45" s="67"/>
      <c r="O45" s="67"/>
      <c r="P45" s="67"/>
      <c r="Q45" s="67"/>
      <c r="R45" s="67"/>
      <c r="S45" s="67"/>
      <c r="T45" s="67"/>
      <c r="U45" s="67"/>
      <c r="V45" s="67"/>
      <c r="W45" s="67"/>
      <c r="X45" s="67"/>
      <c r="Y45" s="67"/>
      <c r="Z45" s="67"/>
      <c r="AA45" s="56"/>
    </row>
    <row r="46" spans="1:27" ht="17" x14ac:dyDescent="0.25">
      <c r="A46" s="75"/>
      <c r="B46" s="67"/>
      <c r="C46" s="67"/>
      <c r="D46" s="67"/>
      <c r="E46" s="67"/>
      <c r="F46" s="67"/>
      <c r="G46" s="68" t="s">
        <v>529</v>
      </c>
      <c r="H46" s="117">
        <v>17</v>
      </c>
      <c r="I46" s="77" t="s">
        <v>343</v>
      </c>
      <c r="J46" s="67"/>
      <c r="K46" s="67"/>
      <c r="L46" s="67"/>
      <c r="M46" s="67"/>
      <c r="N46" s="67"/>
      <c r="O46" s="67"/>
      <c r="P46" s="67"/>
      <c r="Q46" s="67"/>
      <c r="R46" s="67"/>
      <c r="S46" s="67"/>
      <c r="T46" s="67"/>
      <c r="U46" s="67"/>
      <c r="V46" s="67"/>
      <c r="W46" s="67"/>
      <c r="X46" s="67"/>
      <c r="Y46" s="67"/>
      <c r="Z46" s="67"/>
      <c r="AA46" s="56"/>
    </row>
    <row r="47" spans="1:27" ht="18" thickBot="1" x14ac:dyDescent="0.3">
      <c r="A47" s="88"/>
      <c r="B47" s="83"/>
      <c r="C47" s="83"/>
      <c r="D47" s="83"/>
      <c r="E47" s="83"/>
      <c r="F47" s="83"/>
      <c r="G47" s="91" t="s">
        <v>346</v>
      </c>
      <c r="H47" s="127">
        <f>Variable_Management!B163*(10^9)</f>
        <v>174.85136741973838</v>
      </c>
      <c r="I47" s="85" t="s">
        <v>218</v>
      </c>
      <c r="J47" s="67"/>
      <c r="K47" s="67"/>
      <c r="L47" s="67"/>
      <c r="M47" s="67"/>
      <c r="N47" s="67"/>
      <c r="O47" s="67"/>
      <c r="P47" s="67"/>
      <c r="Q47" s="67"/>
      <c r="R47" s="67"/>
      <c r="S47" s="67"/>
      <c r="T47" s="67"/>
      <c r="U47" s="67"/>
      <c r="V47" s="67"/>
      <c r="W47" s="67"/>
      <c r="X47" s="67"/>
      <c r="Y47" s="67"/>
      <c r="Z47" s="67"/>
      <c r="AA47" s="56"/>
    </row>
    <row r="48" spans="1:27" x14ac:dyDescent="0.2">
      <c r="A48" s="67"/>
      <c r="B48" s="67"/>
      <c r="C48" s="67"/>
      <c r="D48" s="67"/>
      <c r="E48" s="67"/>
      <c r="F48" s="67"/>
      <c r="G48" s="68"/>
      <c r="H48" s="67"/>
      <c r="I48" s="67"/>
      <c r="J48" s="67"/>
      <c r="K48" s="67"/>
      <c r="L48" s="67"/>
      <c r="M48" s="67"/>
      <c r="N48" s="67"/>
      <c r="O48" s="67"/>
      <c r="P48" s="67"/>
      <c r="Q48" s="67"/>
      <c r="R48" s="67"/>
      <c r="S48" s="67"/>
      <c r="T48" s="67"/>
      <c r="U48" s="67"/>
      <c r="V48" s="67"/>
      <c r="W48" s="67"/>
      <c r="X48" s="67"/>
      <c r="Y48" s="67"/>
      <c r="Z48" s="67"/>
      <c r="AA48" s="56"/>
    </row>
    <row r="49" spans="1:27" ht="16" thickBot="1" x14ac:dyDescent="0.25">
      <c r="A49" s="70" t="s">
        <v>320</v>
      </c>
      <c r="B49" s="67"/>
      <c r="C49" s="67"/>
      <c r="D49" s="67"/>
      <c r="E49" s="67"/>
      <c r="F49" s="67"/>
      <c r="G49" s="68"/>
      <c r="H49" s="67"/>
      <c r="I49" s="67"/>
      <c r="J49" s="67"/>
      <c r="K49" s="67"/>
      <c r="L49" s="67"/>
      <c r="M49" s="67"/>
      <c r="N49" s="67"/>
      <c r="O49" s="67"/>
      <c r="P49" s="67"/>
      <c r="Q49" s="67"/>
      <c r="R49" s="67"/>
      <c r="S49" s="67"/>
      <c r="T49" s="67"/>
      <c r="U49" s="67"/>
      <c r="V49" s="67"/>
      <c r="W49" s="67"/>
      <c r="X49" s="67"/>
      <c r="Y49" s="67"/>
      <c r="Z49" s="67"/>
      <c r="AA49" s="56"/>
    </row>
    <row r="50" spans="1:27" ht="17" x14ac:dyDescent="0.25">
      <c r="A50" s="71"/>
      <c r="B50" s="72"/>
      <c r="C50" s="72"/>
      <c r="D50" s="72"/>
      <c r="E50" s="72"/>
      <c r="F50" s="72"/>
      <c r="G50" s="93" t="s">
        <v>348</v>
      </c>
      <c r="H50" s="116">
        <v>4.5</v>
      </c>
      <c r="I50" s="74" t="s">
        <v>10</v>
      </c>
      <c r="J50" s="67"/>
      <c r="K50" s="67"/>
      <c r="L50" s="67"/>
      <c r="M50" s="67"/>
      <c r="N50" s="67"/>
      <c r="O50" s="67"/>
      <c r="P50" s="67"/>
      <c r="Q50" s="67"/>
      <c r="R50" s="67"/>
      <c r="S50" s="67"/>
      <c r="T50" s="67"/>
      <c r="U50" s="67"/>
      <c r="V50" s="67"/>
      <c r="W50" s="67"/>
      <c r="X50" s="67"/>
      <c r="Y50" s="67"/>
      <c r="Z50" s="67"/>
      <c r="AA50" s="56"/>
    </row>
    <row r="51" spans="1:27" ht="17" x14ac:dyDescent="0.25">
      <c r="A51" s="75"/>
      <c r="B51" s="67"/>
      <c r="C51" s="67"/>
      <c r="D51" s="67"/>
      <c r="E51" s="67"/>
      <c r="F51" s="67"/>
      <c r="G51" s="68" t="s">
        <v>347</v>
      </c>
      <c r="H51" s="117">
        <v>4.0999999999999996</v>
      </c>
      <c r="I51" s="77" t="s">
        <v>10</v>
      </c>
      <c r="J51" s="67"/>
      <c r="K51" s="67"/>
      <c r="L51" s="67"/>
      <c r="M51" s="67"/>
      <c r="N51" s="67"/>
      <c r="O51" s="67"/>
      <c r="P51" s="67"/>
      <c r="Q51" s="115">
        <f>VIN_min</f>
        <v>4.8</v>
      </c>
      <c r="R51" s="67"/>
      <c r="S51" s="67"/>
      <c r="T51" s="67"/>
      <c r="U51" s="67"/>
      <c r="V51" s="67"/>
      <c r="W51" s="67"/>
      <c r="X51" s="67"/>
      <c r="Y51" s="67"/>
      <c r="Z51" s="67"/>
      <c r="AA51" s="56"/>
    </row>
    <row r="52" spans="1:27" ht="17" x14ac:dyDescent="0.25">
      <c r="A52" s="75"/>
      <c r="B52" s="67"/>
      <c r="C52" s="67"/>
      <c r="D52" s="67"/>
      <c r="E52" s="67"/>
      <c r="F52" s="67"/>
      <c r="G52" s="68" t="s">
        <v>463</v>
      </c>
      <c r="H52" s="125">
        <f>Ruvlo_top_calc/1000</f>
        <v>50.300000000000011</v>
      </c>
      <c r="I52" s="90" t="s">
        <v>215</v>
      </c>
      <c r="J52" s="67"/>
      <c r="K52" s="67"/>
      <c r="L52" s="67"/>
      <c r="M52" s="67"/>
      <c r="N52" s="67"/>
      <c r="O52" s="67"/>
      <c r="P52" s="67"/>
      <c r="Q52" s="67"/>
      <c r="R52" s="67"/>
      <c r="S52" s="67"/>
      <c r="T52" s="67"/>
      <c r="U52" s="67"/>
      <c r="V52" s="67"/>
      <c r="W52" s="67"/>
      <c r="X52" s="67"/>
      <c r="Y52" s="67"/>
      <c r="Z52" s="67"/>
      <c r="AA52" s="56"/>
    </row>
    <row r="53" spans="1:27" ht="17" x14ac:dyDescent="0.25">
      <c r="A53" s="75"/>
      <c r="B53" s="67"/>
      <c r="C53" s="67"/>
      <c r="D53" s="67"/>
      <c r="E53" s="67"/>
      <c r="F53" s="67"/>
      <c r="G53" s="68" t="s">
        <v>464</v>
      </c>
      <c r="H53" s="117">
        <v>50</v>
      </c>
      <c r="I53" s="90" t="s">
        <v>215</v>
      </c>
      <c r="J53" s="67"/>
      <c r="K53" s="67"/>
      <c r="L53" s="67"/>
      <c r="M53" s="67"/>
      <c r="N53" s="67"/>
      <c r="O53" s="67"/>
      <c r="P53" s="67"/>
      <c r="Q53" s="67"/>
      <c r="R53" s="67"/>
      <c r="S53" s="67"/>
      <c r="T53" s="67"/>
      <c r="U53" s="67"/>
      <c r="V53" s="67"/>
      <c r="W53" s="67"/>
      <c r="X53" s="67"/>
      <c r="Y53" s="67"/>
      <c r="Z53" s="67"/>
      <c r="AA53" s="56"/>
    </row>
    <row r="54" spans="1:27" ht="18" thickBot="1" x14ac:dyDescent="0.3">
      <c r="A54" s="88"/>
      <c r="B54" s="83"/>
      <c r="C54" s="83"/>
      <c r="D54" s="83"/>
      <c r="E54" s="83"/>
      <c r="F54" s="83"/>
      <c r="G54" s="91" t="s">
        <v>465</v>
      </c>
      <c r="H54" s="219">
        <f>IF(Ruvlo_bottom_calc/1000=0,"NA",Ruvlo_bottom_calc/1000)</f>
        <v>25</v>
      </c>
      <c r="I54" s="92" t="s">
        <v>215</v>
      </c>
      <c r="J54" s="67"/>
      <c r="K54" s="67"/>
      <c r="L54" s="67"/>
      <c r="M54" s="67"/>
      <c r="N54" s="67"/>
      <c r="O54" s="67"/>
      <c r="P54" s="67"/>
      <c r="Q54" s="67"/>
      <c r="R54" s="67"/>
      <c r="S54" s="67"/>
      <c r="T54" s="67"/>
      <c r="U54" s="67"/>
      <c r="V54" s="67"/>
      <c r="W54" s="67"/>
      <c r="X54" s="67"/>
      <c r="Y54" s="67"/>
      <c r="Z54" s="67"/>
      <c r="AA54" s="56"/>
    </row>
    <row r="55" spans="1:27" x14ac:dyDescent="0.2">
      <c r="A55" s="67"/>
      <c r="B55" s="67"/>
      <c r="C55" s="67"/>
      <c r="D55" s="67"/>
      <c r="E55" s="67"/>
      <c r="F55" s="67"/>
      <c r="G55" s="68"/>
      <c r="H55" s="67"/>
      <c r="I55" s="67"/>
      <c r="J55" s="67"/>
      <c r="K55" s="67"/>
      <c r="L55" s="67"/>
      <c r="M55" s="67"/>
      <c r="N55" s="67"/>
      <c r="O55" s="67"/>
      <c r="P55" s="67"/>
      <c r="Q55" s="67"/>
      <c r="R55" s="67"/>
      <c r="S55" s="67"/>
      <c r="T55" s="67"/>
      <c r="U55" s="67"/>
      <c r="V55" s="67"/>
      <c r="W55" s="67"/>
      <c r="X55" s="67"/>
      <c r="Y55" s="67"/>
      <c r="Z55" s="67"/>
      <c r="AA55" s="56"/>
    </row>
    <row r="56" spans="1:27" ht="16" thickBot="1" x14ac:dyDescent="0.25">
      <c r="A56" s="70" t="s">
        <v>371</v>
      </c>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56"/>
    </row>
    <row r="57" spans="1:27" ht="17" x14ac:dyDescent="0.25">
      <c r="A57" s="94"/>
      <c r="B57" s="72"/>
      <c r="C57" s="72"/>
      <c r="D57" s="72"/>
      <c r="E57" s="72"/>
      <c r="F57" s="72"/>
      <c r="G57" s="95" t="s">
        <v>489</v>
      </c>
      <c r="H57" s="128" t="str">
        <f>VIN_nom&amp;"V"</f>
        <v>12V</v>
      </c>
      <c r="I57" s="74"/>
      <c r="J57" s="67"/>
      <c r="K57" s="67"/>
      <c r="L57" s="67"/>
      <c r="M57" s="67"/>
      <c r="N57" s="67"/>
      <c r="O57" s="67"/>
      <c r="P57" s="67"/>
      <c r="Q57" s="67"/>
      <c r="R57" s="67"/>
      <c r="S57" s="67"/>
      <c r="T57" s="67"/>
      <c r="U57" s="67"/>
      <c r="V57" s="67"/>
      <c r="W57" s="67"/>
      <c r="X57" s="67"/>
      <c r="Y57" s="67"/>
      <c r="Z57" s="67"/>
      <c r="AA57" s="56"/>
    </row>
    <row r="58" spans="1:27" x14ac:dyDescent="0.2">
      <c r="A58" s="75"/>
      <c r="B58" s="67"/>
      <c r="C58" s="67"/>
      <c r="D58" s="67"/>
      <c r="E58" s="67"/>
      <c r="F58" s="67"/>
      <c r="G58" s="67"/>
      <c r="H58" s="129"/>
      <c r="I58" s="77"/>
      <c r="J58" s="67"/>
      <c r="K58" s="67"/>
      <c r="L58" s="67"/>
      <c r="M58" s="67"/>
      <c r="N58" s="67"/>
      <c r="O58" s="67"/>
      <c r="P58" s="67"/>
      <c r="Q58" s="67"/>
      <c r="R58" s="67"/>
      <c r="S58" s="67"/>
      <c r="T58" s="67"/>
      <c r="U58" s="67"/>
      <c r="V58" s="67"/>
      <c r="W58" s="67"/>
      <c r="X58" s="67"/>
      <c r="Y58" s="67"/>
      <c r="Z58" s="67"/>
      <c r="AA58" s="56"/>
    </row>
    <row r="59" spans="1:27" x14ac:dyDescent="0.2">
      <c r="A59" s="96"/>
      <c r="B59" s="67"/>
      <c r="C59" s="67"/>
      <c r="D59" s="67"/>
      <c r="E59" s="67"/>
      <c r="F59" s="67"/>
      <c r="G59" s="97" t="s">
        <v>216</v>
      </c>
      <c r="H59" s="119"/>
      <c r="I59" s="77"/>
      <c r="J59" s="67"/>
      <c r="K59" s="67"/>
      <c r="L59" s="67"/>
      <c r="M59" s="67"/>
      <c r="N59" s="67"/>
      <c r="O59" s="67"/>
      <c r="P59" s="67"/>
      <c r="Q59" s="67"/>
      <c r="R59" s="67"/>
      <c r="S59" s="67"/>
      <c r="T59" s="67"/>
      <c r="U59" s="67"/>
      <c r="V59" s="67"/>
      <c r="W59" s="67"/>
      <c r="X59" s="67"/>
      <c r="Y59" s="67"/>
      <c r="Z59" s="67"/>
      <c r="AA59" s="56"/>
    </row>
    <row r="60" spans="1:27" ht="17" x14ac:dyDescent="0.25">
      <c r="A60" s="96"/>
      <c r="B60" s="67"/>
      <c r="C60" s="67"/>
      <c r="D60" s="67"/>
      <c r="E60" s="67"/>
      <c r="F60" s="67"/>
      <c r="G60" s="68" t="s">
        <v>318</v>
      </c>
      <c r="H60" s="117">
        <v>1000</v>
      </c>
      <c r="I60" s="90" t="s">
        <v>215</v>
      </c>
      <c r="J60" s="67"/>
      <c r="K60" s="67"/>
      <c r="L60" s="67"/>
      <c r="M60" s="67"/>
      <c r="N60" s="67"/>
      <c r="O60" s="67"/>
      <c r="P60" s="67"/>
      <c r="Q60" s="67"/>
      <c r="R60" s="67"/>
      <c r="S60" s="67"/>
      <c r="T60" s="67"/>
      <c r="U60" s="67"/>
      <c r="V60" s="67"/>
      <c r="W60" s="67"/>
      <c r="X60" s="67"/>
      <c r="Y60" s="67"/>
      <c r="Z60" s="67"/>
      <c r="AA60" s="56"/>
    </row>
    <row r="61" spans="1:27" ht="17" x14ac:dyDescent="0.25">
      <c r="A61" s="96"/>
      <c r="B61" s="67"/>
      <c r="C61" s="67"/>
      <c r="D61" s="67"/>
      <c r="E61" s="67"/>
      <c r="F61" s="67"/>
      <c r="G61" s="68" t="s">
        <v>294</v>
      </c>
      <c r="H61" s="125">
        <f>RFBB_calc/1000</f>
        <v>5.8139534883720927</v>
      </c>
      <c r="I61" s="90" t="s">
        <v>215</v>
      </c>
      <c r="J61" s="67"/>
      <c r="K61" s="67"/>
      <c r="L61" s="67"/>
      <c r="M61" s="67"/>
      <c r="N61" s="67"/>
      <c r="O61" s="67"/>
      <c r="P61" s="67"/>
      <c r="Q61" s="67"/>
      <c r="R61" s="67"/>
      <c r="S61" s="67"/>
      <c r="T61" s="67"/>
      <c r="U61" s="67"/>
      <c r="V61" s="67"/>
      <c r="W61" s="67"/>
      <c r="X61" s="67"/>
      <c r="Y61" s="67"/>
      <c r="Z61" s="67"/>
      <c r="AA61" s="56"/>
    </row>
    <row r="62" spans="1:27" ht="17" x14ac:dyDescent="0.25">
      <c r="A62" s="96"/>
      <c r="B62" s="67"/>
      <c r="C62" s="67"/>
      <c r="D62" s="67"/>
      <c r="E62" s="67"/>
      <c r="F62" s="67"/>
      <c r="G62" s="68" t="s">
        <v>530</v>
      </c>
      <c r="H62" s="117">
        <v>5.75</v>
      </c>
      <c r="I62" s="90" t="s">
        <v>215</v>
      </c>
      <c r="J62" s="67"/>
      <c r="K62" s="67"/>
      <c r="L62" s="67"/>
      <c r="M62" s="67"/>
      <c r="N62" s="67"/>
      <c r="O62" s="67"/>
      <c r="P62" s="67"/>
      <c r="Q62" s="67"/>
      <c r="R62" s="67"/>
      <c r="S62" s="67"/>
      <c r="T62" s="67"/>
      <c r="U62" s="67"/>
      <c r="V62" s="67"/>
      <c r="W62" s="67"/>
      <c r="X62" s="67"/>
      <c r="Y62" s="67"/>
      <c r="Z62" s="67"/>
      <c r="AA62" s="56"/>
    </row>
    <row r="63" spans="1:27" x14ac:dyDescent="0.2">
      <c r="A63" s="75"/>
      <c r="B63" s="67"/>
      <c r="C63" s="67"/>
      <c r="D63" s="67"/>
      <c r="E63" s="67"/>
      <c r="F63" s="67"/>
      <c r="G63" s="68"/>
      <c r="H63" s="119"/>
      <c r="I63" s="77"/>
      <c r="J63" s="67"/>
      <c r="K63" s="67"/>
      <c r="L63" s="67"/>
      <c r="M63" s="67"/>
      <c r="N63" s="67"/>
      <c r="O63" s="67"/>
      <c r="P63" s="67"/>
      <c r="Q63" s="67"/>
      <c r="R63" s="67"/>
      <c r="S63" s="67"/>
      <c r="T63" s="67"/>
      <c r="U63" s="67"/>
      <c r="V63" s="67"/>
      <c r="W63" s="67"/>
      <c r="X63" s="67"/>
      <c r="Y63" s="67"/>
      <c r="Z63" s="67"/>
      <c r="AA63" s="56"/>
    </row>
    <row r="64" spans="1:27" x14ac:dyDescent="0.2">
      <c r="A64" s="75"/>
      <c r="B64" s="67"/>
      <c r="C64" s="67"/>
      <c r="D64" s="67"/>
      <c r="E64" s="67"/>
      <c r="F64" s="67"/>
      <c r="G64" s="68"/>
      <c r="H64" s="119"/>
      <c r="I64" s="77"/>
      <c r="J64" s="67"/>
      <c r="K64" s="67"/>
      <c r="L64" s="67"/>
      <c r="M64" s="67"/>
      <c r="N64" s="67"/>
      <c r="O64" s="67"/>
      <c r="P64" s="67"/>
      <c r="Q64" s="67"/>
      <c r="R64" s="67"/>
      <c r="S64" s="67"/>
      <c r="T64" s="67"/>
      <c r="U64" s="67"/>
      <c r="V64" s="67"/>
      <c r="W64" s="67"/>
      <c r="X64" s="67"/>
      <c r="Y64" s="67"/>
      <c r="Z64" s="67"/>
      <c r="AA64" s="56"/>
    </row>
    <row r="65" spans="1:27" x14ac:dyDescent="0.2">
      <c r="A65" s="75"/>
      <c r="B65" s="67"/>
      <c r="C65" s="67"/>
      <c r="D65" s="67"/>
      <c r="E65" s="67"/>
      <c r="F65" s="67"/>
      <c r="G65" s="68" t="s">
        <v>550</v>
      </c>
      <c r="H65" s="220">
        <f>fcross_est/1000</f>
        <v>10</v>
      </c>
      <c r="I65" s="77" t="s">
        <v>12</v>
      </c>
      <c r="J65" s="67"/>
      <c r="K65" s="67"/>
      <c r="L65" s="67"/>
      <c r="M65" s="67"/>
      <c r="N65" s="67"/>
      <c r="O65" s="67"/>
      <c r="P65" s="67"/>
      <c r="Q65" s="67"/>
      <c r="R65" s="67"/>
      <c r="S65" s="67"/>
      <c r="T65" s="67"/>
      <c r="U65" s="67"/>
      <c r="V65" s="67"/>
      <c r="W65" s="67"/>
      <c r="X65" s="67"/>
      <c r="Y65" s="67"/>
      <c r="Z65" s="67"/>
      <c r="AA65" s="56"/>
    </row>
    <row r="66" spans="1:27" ht="17" x14ac:dyDescent="0.25">
      <c r="A66" s="75"/>
      <c r="B66" s="67"/>
      <c r="C66" s="67"/>
      <c r="D66" s="67"/>
      <c r="E66" s="67"/>
      <c r="F66" s="67"/>
      <c r="G66" s="68" t="s">
        <v>551</v>
      </c>
      <c r="H66" s="117">
        <v>1</v>
      </c>
      <c r="I66" s="77" t="s">
        <v>12</v>
      </c>
      <c r="J66" s="67"/>
      <c r="K66" s="67"/>
      <c r="L66" s="67"/>
      <c r="M66" s="67"/>
      <c r="N66" s="67"/>
      <c r="O66" s="67"/>
      <c r="P66" s="67"/>
      <c r="Q66" s="67"/>
      <c r="R66" s="67"/>
      <c r="S66" s="67"/>
      <c r="T66" s="67"/>
      <c r="U66" s="67"/>
      <c r="V66" s="67"/>
      <c r="W66" s="67"/>
      <c r="X66" s="67"/>
      <c r="Y66" s="67"/>
      <c r="Z66" s="67"/>
      <c r="AA66" s="56"/>
    </row>
    <row r="67" spans="1:27" x14ac:dyDescent="0.2">
      <c r="A67" s="75"/>
      <c r="B67" s="67"/>
      <c r="C67" s="67"/>
      <c r="D67" s="67"/>
      <c r="E67" s="67"/>
      <c r="F67" s="67"/>
      <c r="G67" s="68"/>
      <c r="H67" s="119"/>
      <c r="I67" s="77"/>
      <c r="J67" s="67"/>
      <c r="K67" s="67"/>
      <c r="L67" s="67" t="str">
        <f>Loop_Modeling!A68</f>
        <v>Crossover Frequency = 66.1 kHz</v>
      </c>
      <c r="M67" s="67"/>
      <c r="N67" s="67"/>
      <c r="O67" s="67"/>
      <c r="P67" s="67"/>
      <c r="Q67" s="67"/>
      <c r="R67" s="67"/>
      <c r="S67" s="67"/>
      <c r="T67" s="67"/>
      <c r="U67" s="67"/>
      <c r="V67" s="67"/>
      <c r="W67" s="67"/>
      <c r="X67" s="67"/>
      <c r="Y67" s="67"/>
      <c r="Z67" s="67"/>
      <c r="AA67" s="56"/>
    </row>
    <row r="68" spans="1:27" ht="16" thickBot="1" x14ac:dyDescent="0.25">
      <c r="A68" s="75"/>
      <c r="B68" s="67"/>
      <c r="C68" s="67"/>
      <c r="D68" s="67"/>
      <c r="E68" s="67"/>
      <c r="F68" s="99" t="s">
        <v>323</v>
      </c>
      <c r="G68" s="99"/>
      <c r="H68" s="130" t="s">
        <v>324</v>
      </c>
      <c r="I68" s="100"/>
      <c r="J68" s="67"/>
      <c r="K68" s="67"/>
      <c r="L68" s="67" t="str">
        <f>Loop_Modeling!A69</f>
        <v>Phase Margin = -96°</v>
      </c>
      <c r="M68" s="67"/>
      <c r="N68" s="67"/>
      <c r="O68" s="67"/>
      <c r="P68" s="67"/>
      <c r="Q68" s="67"/>
      <c r="R68" s="67"/>
      <c r="S68" s="67"/>
      <c r="T68" s="67"/>
      <c r="U68" s="67"/>
      <c r="V68" s="67"/>
      <c r="W68" s="67"/>
      <c r="X68" s="67"/>
      <c r="Y68" s="67"/>
      <c r="Z68" s="67"/>
      <c r="AA68" s="56"/>
    </row>
    <row r="69" spans="1:27" ht="18" thickBot="1" x14ac:dyDescent="0.3">
      <c r="A69" s="75"/>
      <c r="B69" s="67"/>
      <c r="C69" s="67"/>
      <c r="D69" s="67"/>
      <c r="E69" s="68" t="s">
        <v>322</v>
      </c>
      <c r="F69" s="141">
        <f>Rcomp_calc/1000</f>
        <v>22.272098499114694</v>
      </c>
      <c r="G69" s="135" t="s">
        <v>215</v>
      </c>
      <c r="H69" s="132">
        <v>22</v>
      </c>
      <c r="I69" s="90" t="s">
        <v>215</v>
      </c>
      <c r="J69" s="67"/>
      <c r="K69" s="67"/>
      <c r="L69" s="67"/>
      <c r="M69" s="67"/>
      <c r="N69" s="67"/>
      <c r="O69" s="67"/>
      <c r="P69" s="67"/>
      <c r="Q69" s="67"/>
      <c r="R69" s="67"/>
      <c r="S69" s="67"/>
      <c r="T69" s="67"/>
      <c r="U69" s="67"/>
      <c r="V69" s="67"/>
      <c r="W69" s="67"/>
      <c r="X69" s="67"/>
      <c r="Y69" s="67"/>
      <c r="Z69" s="67"/>
      <c r="AA69" s="56"/>
    </row>
    <row r="70" spans="1:27" ht="18" thickBot="1" x14ac:dyDescent="0.3">
      <c r="A70" s="75"/>
      <c r="B70" s="67"/>
      <c r="C70" s="67"/>
      <c r="D70" s="67"/>
      <c r="E70" s="68" t="s">
        <v>448</v>
      </c>
      <c r="F70" s="133">
        <f>CComp_calc*(10^9)</f>
        <v>136.0226875435707</v>
      </c>
      <c r="G70" s="135" t="s">
        <v>218</v>
      </c>
      <c r="H70" s="132">
        <v>120</v>
      </c>
      <c r="I70" s="77" t="s">
        <v>218</v>
      </c>
      <c r="J70" s="67"/>
      <c r="K70" s="67"/>
      <c r="L70" s="67"/>
      <c r="M70" s="67"/>
      <c r="N70" s="67"/>
      <c r="O70" s="67"/>
      <c r="P70" s="67"/>
      <c r="Q70" s="67"/>
      <c r="R70" s="67"/>
      <c r="S70" s="67"/>
      <c r="T70" s="67"/>
      <c r="U70" s="67"/>
      <c r="V70" s="67"/>
      <c r="W70" s="67"/>
      <c r="X70" s="67"/>
      <c r="Y70" s="67"/>
      <c r="Z70" s="67"/>
      <c r="AA70" s="56"/>
    </row>
    <row r="71" spans="1:27" ht="18" thickBot="1" x14ac:dyDescent="0.3">
      <c r="A71" s="88"/>
      <c r="B71" s="83"/>
      <c r="C71" s="83"/>
      <c r="D71" s="83"/>
      <c r="E71" s="91" t="s">
        <v>449</v>
      </c>
      <c r="F71" s="131">
        <f>Variable_Management!B231*(10^12)</f>
        <v>50.588900377037817</v>
      </c>
      <c r="G71" s="136" t="s">
        <v>217</v>
      </c>
      <c r="H71" s="124">
        <v>50</v>
      </c>
      <c r="I71" s="85" t="s">
        <v>217</v>
      </c>
      <c r="J71" s="67"/>
      <c r="K71" s="67"/>
      <c r="L71" s="67"/>
      <c r="M71" s="67"/>
      <c r="N71" s="67"/>
      <c r="O71" s="67"/>
      <c r="P71" s="67"/>
      <c r="Q71" s="67"/>
      <c r="R71" s="67"/>
      <c r="S71" s="67"/>
      <c r="T71" s="67"/>
      <c r="U71" s="67"/>
      <c r="V71" s="67"/>
      <c r="W71" s="67"/>
      <c r="X71" s="67"/>
      <c r="Y71" s="67"/>
      <c r="Z71" s="67"/>
      <c r="AA71" s="56"/>
    </row>
    <row r="72" spans="1:27" x14ac:dyDescent="0.2">
      <c r="A72" s="67"/>
      <c r="B72" s="67"/>
      <c r="C72" s="67"/>
      <c r="D72" s="67"/>
      <c r="E72" s="68"/>
      <c r="F72" s="101"/>
      <c r="G72" s="68"/>
      <c r="H72" s="98"/>
      <c r="I72" s="67"/>
      <c r="J72" s="67"/>
      <c r="K72" s="67"/>
      <c r="L72" s="67"/>
      <c r="M72" s="67"/>
      <c r="N72" s="67"/>
      <c r="O72" s="67"/>
      <c r="P72" s="67"/>
      <c r="Q72" s="67"/>
      <c r="R72" s="67"/>
      <c r="S72" s="67"/>
      <c r="T72" s="67"/>
      <c r="U72" s="67"/>
      <c r="V72" s="67"/>
      <c r="W72" s="67"/>
      <c r="X72" s="67"/>
      <c r="Y72" s="67"/>
      <c r="Z72" s="67"/>
      <c r="AA72" s="56"/>
    </row>
    <row r="73" spans="1:27" ht="24" x14ac:dyDescent="0.3">
      <c r="A73" s="102" t="s">
        <v>321</v>
      </c>
      <c r="B73" s="103"/>
      <c r="C73" s="103"/>
      <c r="D73" s="103"/>
      <c r="E73" s="103"/>
      <c r="F73" s="103"/>
      <c r="G73" s="104"/>
      <c r="H73" s="103"/>
      <c r="I73" s="103"/>
      <c r="J73" s="103"/>
      <c r="K73" s="103"/>
      <c r="L73" s="103"/>
      <c r="M73" s="103"/>
      <c r="N73" s="103"/>
      <c r="O73" s="103"/>
      <c r="P73" s="103"/>
      <c r="Q73" s="103"/>
      <c r="R73" s="103"/>
      <c r="S73" s="103"/>
      <c r="T73" s="105"/>
      <c r="U73" s="105"/>
      <c r="V73" s="105"/>
      <c r="W73" s="105"/>
      <c r="X73" s="105"/>
      <c r="Y73" s="105"/>
      <c r="Z73" s="105"/>
    </row>
    <row r="74" spans="1:27" x14ac:dyDescent="0.2">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c r="AA74" s="56"/>
    </row>
    <row r="75" spans="1:27" ht="16" thickBot="1" x14ac:dyDescent="0.25">
      <c r="A75" s="106" t="s">
        <v>399</v>
      </c>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56"/>
    </row>
    <row r="76" spans="1:27" x14ac:dyDescent="0.2">
      <c r="A76" s="71"/>
      <c r="B76" s="72"/>
      <c r="C76" s="72"/>
      <c r="D76" s="72"/>
      <c r="E76" s="72"/>
      <c r="F76" s="72"/>
      <c r="G76" s="107" t="s">
        <v>387</v>
      </c>
      <c r="H76" s="116">
        <v>126</v>
      </c>
      <c r="I76" s="108" t="s">
        <v>394</v>
      </c>
      <c r="J76" s="98"/>
      <c r="K76" s="98"/>
      <c r="L76" s="98"/>
      <c r="M76" s="98"/>
      <c r="N76" s="98"/>
      <c r="O76" s="98"/>
      <c r="P76" s="98"/>
      <c r="Q76" s="98"/>
      <c r="R76" s="98"/>
      <c r="S76" s="98"/>
      <c r="T76" s="98"/>
      <c r="U76" s="98"/>
      <c r="V76" s="98"/>
      <c r="W76" s="98"/>
      <c r="X76" s="98"/>
      <c r="Y76" s="98"/>
      <c r="Z76" s="98"/>
      <c r="AA76" s="56"/>
    </row>
    <row r="77" spans="1:27" x14ac:dyDescent="0.2">
      <c r="A77" s="96"/>
      <c r="B77" s="67"/>
      <c r="C77" s="67"/>
      <c r="D77" s="67"/>
      <c r="E77" s="67"/>
      <c r="F77" s="67"/>
      <c r="G77" s="109" t="s">
        <v>388</v>
      </c>
      <c r="H77" s="117">
        <v>45</v>
      </c>
      <c r="I77" s="110" t="s">
        <v>395</v>
      </c>
      <c r="J77" s="98"/>
      <c r="K77" s="98"/>
      <c r="L77" s="98"/>
      <c r="M77" s="98"/>
      <c r="N77" s="98"/>
      <c r="O77" s="98"/>
      <c r="P77" s="98"/>
      <c r="Q77" s="98"/>
      <c r="R77" s="98"/>
      <c r="S77" s="98"/>
      <c r="T77" s="98"/>
      <c r="U77" s="98"/>
      <c r="V77" s="98"/>
      <c r="W77" s="98"/>
      <c r="X77" s="98"/>
      <c r="Y77" s="98"/>
      <c r="Z77" s="98"/>
      <c r="AA77" s="56"/>
    </row>
    <row r="78" spans="1:27" x14ac:dyDescent="0.2">
      <c r="A78" s="96"/>
      <c r="B78" s="67"/>
      <c r="C78" s="67"/>
      <c r="D78" s="67"/>
      <c r="E78" s="67"/>
      <c r="F78" s="67"/>
      <c r="G78" s="109" t="s">
        <v>389</v>
      </c>
      <c r="H78" s="117">
        <v>8</v>
      </c>
      <c r="I78" s="110" t="s">
        <v>395</v>
      </c>
      <c r="J78" s="98"/>
      <c r="K78" s="98"/>
      <c r="L78" s="98"/>
      <c r="M78" s="98"/>
      <c r="N78" s="98"/>
      <c r="O78" s="98"/>
      <c r="P78" s="98"/>
      <c r="Q78" s="98"/>
      <c r="R78" s="98"/>
      <c r="S78" s="98"/>
      <c r="T78" s="98"/>
      <c r="U78" s="98"/>
      <c r="V78" s="98"/>
      <c r="W78" s="98"/>
      <c r="X78" s="98"/>
      <c r="Y78" s="98"/>
      <c r="Z78" s="98"/>
      <c r="AA78" s="56"/>
    </row>
    <row r="79" spans="1:27" x14ac:dyDescent="0.2">
      <c r="A79" s="75"/>
      <c r="B79" s="67"/>
      <c r="C79" s="67"/>
      <c r="D79" s="67"/>
      <c r="E79" s="67"/>
      <c r="F79" s="67"/>
      <c r="G79" s="109" t="s">
        <v>390</v>
      </c>
      <c r="H79" s="117">
        <v>9</v>
      </c>
      <c r="I79" s="110" t="s">
        <v>395</v>
      </c>
      <c r="J79" s="98"/>
      <c r="K79" s="98"/>
      <c r="L79" s="98"/>
      <c r="M79" s="98"/>
      <c r="N79" s="98"/>
      <c r="O79" s="98"/>
      <c r="P79" s="98"/>
      <c r="Q79" s="98"/>
      <c r="R79" s="98"/>
      <c r="S79" s="98"/>
      <c r="T79" s="98"/>
      <c r="U79" s="98"/>
      <c r="V79" s="98"/>
      <c r="W79" s="98"/>
      <c r="X79" s="98"/>
      <c r="Y79" s="98"/>
      <c r="Z79" s="98"/>
      <c r="AA79" s="56"/>
    </row>
    <row r="80" spans="1:27" x14ac:dyDescent="0.2">
      <c r="A80" s="75"/>
      <c r="B80" s="67"/>
      <c r="C80" s="67"/>
      <c r="D80" s="67"/>
      <c r="E80" s="67"/>
      <c r="F80" s="67"/>
      <c r="G80" s="109" t="s">
        <v>391</v>
      </c>
      <c r="H80" s="117">
        <v>0.7</v>
      </c>
      <c r="I80" s="110" t="s">
        <v>396</v>
      </c>
      <c r="J80" s="98"/>
      <c r="K80" s="98"/>
      <c r="L80" s="98"/>
      <c r="M80" s="98"/>
      <c r="N80" s="98"/>
      <c r="O80" s="98"/>
      <c r="P80" s="98"/>
      <c r="Q80" s="98"/>
      <c r="R80" s="98"/>
      <c r="S80" s="98"/>
      <c r="T80" s="98"/>
      <c r="U80" s="98"/>
      <c r="V80" s="98"/>
      <c r="W80" s="98"/>
      <c r="X80" s="98"/>
      <c r="Y80" s="98"/>
      <c r="Z80" s="98"/>
      <c r="AA80" s="56"/>
    </row>
    <row r="81" spans="1:27" x14ac:dyDescent="0.2">
      <c r="A81" s="75"/>
      <c r="B81" s="67"/>
      <c r="C81" s="67"/>
      <c r="D81" s="67"/>
      <c r="E81" s="67"/>
      <c r="F81" s="67"/>
      <c r="G81" s="109" t="s">
        <v>392</v>
      </c>
      <c r="H81" s="117">
        <v>15.1</v>
      </c>
      <c r="I81" s="110" t="s">
        <v>397</v>
      </c>
      <c r="J81" s="98"/>
      <c r="K81" s="98"/>
      <c r="L81" s="98"/>
      <c r="M81" s="98"/>
      <c r="N81" s="98"/>
      <c r="O81" s="98"/>
      <c r="P81" s="98"/>
      <c r="Q81" s="98"/>
      <c r="R81" s="98"/>
      <c r="S81" s="98"/>
      <c r="T81" s="98"/>
      <c r="U81" s="98"/>
      <c r="V81" s="98"/>
      <c r="W81" s="98"/>
      <c r="X81" s="98"/>
      <c r="Y81" s="98"/>
      <c r="Z81" s="98"/>
      <c r="AA81" s="56"/>
    </row>
    <row r="82" spans="1:27" ht="16" thickBot="1" x14ac:dyDescent="0.25">
      <c r="A82" s="88"/>
      <c r="B82" s="83"/>
      <c r="C82" s="83"/>
      <c r="D82" s="83"/>
      <c r="E82" s="83"/>
      <c r="F82" s="83"/>
      <c r="G82" s="111" t="s">
        <v>393</v>
      </c>
      <c r="H82" s="124">
        <v>3</v>
      </c>
      <c r="I82" s="112" t="s">
        <v>10</v>
      </c>
      <c r="J82" s="98"/>
      <c r="K82" s="98"/>
      <c r="L82" s="98"/>
      <c r="M82" s="98"/>
      <c r="N82" s="98"/>
      <c r="O82" s="98"/>
      <c r="P82" s="98"/>
      <c r="Q82" s="98"/>
      <c r="R82" s="98"/>
      <c r="S82" s="98"/>
      <c r="T82" s="98"/>
      <c r="U82" s="98"/>
      <c r="V82" s="98"/>
      <c r="W82" s="98"/>
      <c r="X82" s="98"/>
      <c r="Y82" s="98"/>
      <c r="Z82" s="98"/>
      <c r="AA82" s="56"/>
    </row>
    <row r="83" spans="1:27" x14ac:dyDescent="0.2">
      <c r="A83" s="67"/>
      <c r="B83" s="67"/>
      <c r="C83" s="67"/>
      <c r="D83" s="67"/>
      <c r="E83" s="67"/>
      <c r="F83" s="67"/>
      <c r="G83" s="68"/>
      <c r="H83" s="67"/>
      <c r="I83" s="67"/>
      <c r="J83" s="67"/>
      <c r="K83" s="67"/>
      <c r="L83" s="67"/>
      <c r="M83" s="67"/>
      <c r="N83" s="67"/>
      <c r="O83" s="67"/>
      <c r="P83" s="67"/>
      <c r="Q83" s="67"/>
      <c r="R83" s="67"/>
      <c r="S83" s="67"/>
      <c r="T83" s="67"/>
      <c r="U83" s="67"/>
      <c r="V83" s="67"/>
      <c r="W83" s="67"/>
      <c r="X83" s="67"/>
      <c r="Y83" s="67"/>
      <c r="Z83" s="67"/>
      <c r="AA83" s="56"/>
    </row>
    <row r="84" spans="1:27" ht="16" thickBot="1" x14ac:dyDescent="0.25">
      <c r="A84" s="106" t="s">
        <v>398</v>
      </c>
      <c r="B84" s="67"/>
      <c r="C84" s="67"/>
      <c r="D84" s="67"/>
      <c r="E84" s="67"/>
      <c r="F84" s="67"/>
      <c r="G84" s="68"/>
      <c r="H84" s="67"/>
      <c r="I84" s="67"/>
      <c r="J84" s="67"/>
      <c r="K84" s="67"/>
      <c r="L84" s="67"/>
      <c r="M84" s="67"/>
      <c r="N84" s="67"/>
      <c r="O84" s="67"/>
      <c r="P84" s="67"/>
      <c r="Q84" s="67"/>
      <c r="R84" s="67"/>
      <c r="S84" s="67"/>
      <c r="T84" s="67"/>
      <c r="U84" s="67"/>
      <c r="V84" s="67"/>
      <c r="W84" s="67"/>
      <c r="X84" s="67"/>
      <c r="Y84" s="67"/>
      <c r="Z84" s="67"/>
      <c r="AA84" s="56"/>
    </row>
    <row r="85" spans="1:27" ht="17" x14ac:dyDescent="0.25">
      <c r="A85" s="71"/>
      <c r="B85" s="72"/>
      <c r="C85" s="72"/>
      <c r="D85" s="72"/>
      <c r="E85" s="72"/>
      <c r="F85" s="72"/>
      <c r="G85" s="93" t="s">
        <v>492</v>
      </c>
      <c r="H85" s="134">
        <f>IOUT</f>
        <v>1.4999999999999999E-2</v>
      </c>
      <c r="I85" s="74" t="s">
        <v>11</v>
      </c>
      <c r="J85" s="98"/>
      <c r="K85" s="98"/>
      <c r="L85" s="98"/>
      <c r="M85" s="98"/>
      <c r="N85" s="98"/>
      <c r="O85" s="98"/>
      <c r="P85" s="98"/>
      <c r="Q85" s="98"/>
      <c r="R85" s="98"/>
      <c r="S85" s="98"/>
      <c r="T85" s="98"/>
      <c r="U85" s="98"/>
      <c r="V85" s="98"/>
      <c r="W85" s="98"/>
      <c r="X85" s="98"/>
      <c r="Y85" s="98"/>
      <c r="Z85" s="98"/>
      <c r="AA85" s="56"/>
    </row>
    <row r="86" spans="1:27" ht="17" x14ac:dyDescent="0.25">
      <c r="A86" s="75"/>
      <c r="B86" s="67"/>
      <c r="C86" s="67"/>
      <c r="D86" s="67"/>
      <c r="E86" s="67"/>
      <c r="F86" s="67"/>
      <c r="G86" s="68" t="s">
        <v>400</v>
      </c>
      <c r="H86" s="117">
        <v>1250</v>
      </c>
      <c r="I86" s="77" t="s">
        <v>186</v>
      </c>
      <c r="J86" s="98"/>
      <c r="K86" s="98"/>
      <c r="L86" s="98"/>
      <c r="M86" s="98"/>
      <c r="N86" s="98"/>
      <c r="O86" s="98"/>
      <c r="P86" s="98"/>
      <c r="Q86" s="98"/>
      <c r="R86" s="98"/>
      <c r="S86" s="98"/>
      <c r="T86" s="98"/>
      <c r="U86" s="98"/>
      <c r="V86" s="98"/>
      <c r="W86" s="98"/>
      <c r="X86" s="98"/>
      <c r="Y86" s="98"/>
      <c r="Z86" s="98"/>
      <c r="AA86" s="56"/>
    </row>
    <row r="87" spans="1:27" ht="16" thickBot="1" x14ac:dyDescent="0.25">
      <c r="A87" s="88"/>
      <c r="B87" s="83"/>
      <c r="C87" s="83"/>
      <c r="D87" s="83"/>
      <c r="E87" s="83"/>
      <c r="F87" s="83"/>
      <c r="G87" s="91" t="s">
        <v>408</v>
      </c>
      <c r="H87" s="124">
        <v>17</v>
      </c>
      <c r="I87" s="85" t="s">
        <v>395</v>
      </c>
      <c r="J87" s="98"/>
      <c r="K87" s="98"/>
      <c r="L87" s="98"/>
      <c r="M87" s="98"/>
      <c r="N87" s="98"/>
      <c r="O87" s="98"/>
      <c r="P87" s="98"/>
      <c r="Q87" s="98"/>
      <c r="R87" s="98"/>
      <c r="S87" s="98"/>
      <c r="T87" s="98"/>
      <c r="U87" s="98"/>
      <c r="V87" s="98"/>
      <c r="W87" s="98"/>
      <c r="X87" s="98"/>
      <c r="Y87" s="98"/>
      <c r="Z87" s="98"/>
      <c r="AA87" s="56"/>
    </row>
    <row r="88" spans="1:27" x14ac:dyDescent="0.2">
      <c r="A88" s="67"/>
      <c r="B88" s="67"/>
      <c r="C88" s="67"/>
      <c r="D88" s="67"/>
      <c r="E88" s="67"/>
      <c r="F88" s="67"/>
      <c r="G88" s="68"/>
      <c r="H88" s="67"/>
      <c r="I88" s="67"/>
      <c r="J88" s="67"/>
      <c r="K88" s="67"/>
      <c r="L88" s="67"/>
      <c r="M88" s="67"/>
      <c r="N88" s="67"/>
      <c r="O88" s="67"/>
      <c r="P88" s="67"/>
      <c r="Q88" s="67"/>
      <c r="R88" s="67"/>
      <c r="S88" s="67"/>
      <c r="T88" s="67"/>
      <c r="U88" s="67"/>
      <c r="V88" s="67"/>
      <c r="W88" s="67"/>
      <c r="X88" s="67"/>
      <c r="Y88" s="67"/>
      <c r="Z88" s="67"/>
      <c r="AA88" s="56"/>
    </row>
    <row r="89" spans="1:27" x14ac:dyDescent="0.2">
      <c r="A89" s="67"/>
      <c r="B89" s="67"/>
      <c r="C89" s="67"/>
      <c r="D89" s="67"/>
      <c r="E89" s="67"/>
      <c r="F89" s="67"/>
      <c r="G89" s="68"/>
      <c r="H89" s="67"/>
      <c r="I89" s="67"/>
      <c r="J89" s="67"/>
      <c r="K89" s="67"/>
      <c r="L89" s="67"/>
      <c r="M89" s="67"/>
      <c r="N89" s="67"/>
      <c r="O89" s="67"/>
      <c r="P89" s="67"/>
      <c r="Q89" s="67"/>
      <c r="R89" s="67"/>
      <c r="S89" s="67"/>
      <c r="T89" s="67"/>
      <c r="U89" s="67"/>
      <c r="V89" s="67"/>
      <c r="W89" s="67"/>
      <c r="X89" s="67"/>
      <c r="Y89" s="67"/>
      <c r="Z89" s="67"/>
      <c r="AA89" s="56"/>
    </row>
    <row r="90" spans="1:27" x14ac:dyDescent="0.2">
      <c r="A90" s="67"/>
      <c r="B90" s="67"/>
      <c r="C90" s="67"/>
      <c r="D90" s="67"/>
      <c r="E90" s="67"/>
      <c r="F90" s="67"/>
      <c r="G90" s="68"/>
      <c r="H90" s="67"/>
      <c r="I90" s="67"/>
      <c r="J90" s="67"/>
      <c r="K90" s="67"/>
      <c r="L90" s="67"/>
      <c r="M90" s="67"/>
      <c r="N90" s="67"/>
      <c r="O90" s="67"/>
      <c r="P90" s="67"/>
      <c r="Q90" s="67"/>
      <c r="R90" s="67"/>
      <c r="S90" s="67"/>
      <c r="T90" s="67"/>
      <c r="U90" s="67"/>
      <c r="V90" s="67"/>
      <c r="W90" s="67"/>
      <c r="X90" s="67"/>
      <c r="Y90" s="67"/>
      <c r="Z90" s="67"/>
      <c r="AA90" s="56"/>
    </row>
    <row r="91" spans="1:27" x14ac:dyDescent="0.2">
      <c r="A91" s="67"/>
      <c r="B91" s="67"/>
      <c r="C91" s="67"/>
      <c r="D91" s="67"/>
      <c r="E91" s="67"/>
      <c r="F91" s="67"/>
      <c r="G91" s="68"/>
      <c r="H91" s="67"/>
      <c r="I91" s="67"/>
      <c r="J91" s="67"/>
      <c r="K91" s="67"/>
      <c r="L91" s="67"/>
      <c r="M91" s="67"/>
      <c r="N91" s="67"/>
      <c r="O91" s="67"/>
      <c r="P91" s="67"/>
      <c r="Q91" s="67"/>
      <c r="R91" s="67"/>
      <c r="S91" s="67"/>
      <c r="T91" s="67"/>
      <c r="U91" s="67"/>
      <c r="V91" s="67"/>
      <c r="W91" s="67"/>
      <c r="X91" s="67"/>
      <c r="Y91" s="67"/>
      <c r="Z91" s="67"/>
      <c r="AA91" s="56"/>
    </row>
    <row r="92" spans="1:27" x14ac:dyDescent="0.2">
      <c r="A92" s="67"/>
      <c r="B92" s="67"/>
      <c r="C92" s="67"/>
      <c r="D92" s="67"/>
      <c r="E92" s="67"/>
      <c r="F92" s="67"/>
      <c r="G92" s="68"/>
      <c r="H92" s="67"/>
      <c r="I92" s="67"/>
      <c r="J92" s="67"/>
      <c r="K92" s="67"/>
      <c r="L92" s="67"/>
      <c r="M92" s="67"/>
      <c r="N92" s="67"/>
      <c r="O92" s="67"/>
      <c r="P92" s="67"/>
      <c r="Q92" s="67"/>
      <c r="R92" s="67"/>
      <c r="S92" s="67"/>
      <c r="T92" s="67"/>
      <c r="U92" s="67"/>
      <c r="V92" s="67"/>
      <c r="W92" s="67"/>
      <c r="X92" s="67"/>
      <c r="Y92" s="67"/>
      <c r="Z92" s="67"/>
      <c r="AA92" s="56"/>
    </row>
    <row r="93" spans="1:27" x14ac:dyDescent="0.2">
      <c r="A93" s="67"/>
      <c r="B93" s="67"/>
      <c r="C93" s="67"/>
      <c r="D93" s="67"/>
      <c r="E93" s="67"/>
      <c r="F93" s="67"/>
      <c r="G93" s="68"/>
      <c r="H93" s="67"/>
      <c r="I93" s="67"/>
      <c r="J93" s="67"/>
      <c r="K93" s="67"/>
      <c r="L93" s="67"/>
      <c r="M93" s="67"/>
      <c r="N93" s="67"/>
      <c r="O93" s="67"/>
      <c r="P93" s="67"/>
      <c r="Q93" s="67"/>
      <c r="R93" s="67"/>
      <c r="S93" s="67"/>
      <c r="T93" s="67"/>
      <c r="U93" s="67"/>
      <c r="V93" s="67"/>
      <c r="W93" s="67"/>
      <c r="X93" s="67"/>
      <c r="Y93" s="67"/>
      <c r="Z93" s="67"/>
      <c r="AA93" s="56"/>
    </row>
    <row r="94" spans="1:27" x14ac:dyDescent="0.2">
      <c r="A94" s="67"/>
      <c r="B94" s="67"/>
      <c r="C94" s="67"/>
      <c r="D94" s="67"/>
      <c r="E94" s="67"/>
      <c r="F94" s="67"/>
      <c r="G94" s="68"/>
      <c r="H94" s="67"/>
      <c r="I94" s="67"/>
      <c r="J94" s="67"/>
      <c r="K94" s="67"/>
      <c r="L94" s="67"/>
      <c r="M94" s="67"/>
      <c r="N94" s="67"/>
      <c r="O94" s="67"/>
      <c r="P94" s="67"/>
      <c r="Q94" s="67"/>
      <c r="R94" s="67"/>
      <c r="S94" s="67"/>
      <c r="T94" s="67"/>
      <c r="U94" s="67"/>
      <c r="V94" s="67"/>
      <c r="W94" s="67"/>
      <c r="X94" s="67"/>
      <c r="Y94" s="67"/>
      <c r="Z94" s="67"/>
      <c r="AA94" s="56"/>
    </row>
    <row r="95" spans="1:27" x14ac:dyDescent="0.2">
      <c r="A95" s="67"/>
      <c r="B95" s="67"/>
      <c r="C95" s="67"/>
      <c r="D95" s="67"/>
      <c r="E95" s="67"/>
      <c r="F95" s="67"/>
      <c r="G95" s="68"/>
      <c r="H95" s="67"/>
      <c r="I95" s="67"/>
      <c r="J95" s="67"/>
      <c r="K95" s="67"/>
      <c r="L95" s="67"/>
      <c r="M95" s="67"/>
      <c r="N95" s="67"/>
      <c r="O95" s="67"/>
      <c r="P95" s="67"/>
      <c r="Q95" s="67"/>
      <c r="R95" s="67"/>
      <c r="S95" s="67"/>
      <c r="T95" s="67"/>
      <c r="U95" s="67"/>
      <c r="V95" s="67"/>
      <c r="W95" s="67"/>
      <c r="X95" s="67"/>
      <c r="Y95" s="67"/>
      <c r="Z95" s="67"/>
      <c r="AA95" s="56"/>
    </row>
    <row r="96" spans="1:27" x14ac:dyDescent="0.2">
      <c r="A96" s="67"/>
      <c r="B96" s="67"/>
      <c r="C96" s="67"/>
      <c r="D96" s="67"/>
      <c r="E96" s="67"/>
      <c r="F96" s="67"/>
      <c r="G96" s="68"/>
      <c r="H96" s="67"/>
      <c r="I96" s="67"/>
      <c r="J96" s="67"/>
      <c r="K96" s="67"/>
      <c r="L96" s="67"/>
      <c r="M96" s="67"/>
      <c r="N96" s="67"/>
      <c r="O96" s="67"/>
      <c r="P96" s="67"/>
      <c r="Q96" s="67"/>
      <c r="R96" s="67"/>
      <c r="S96" s="67"/>
      <c r="T96" s="67"/>
      <c r="U96" s="67"/>
      <c r="V96" s="67"/>
      <c r="W96" s="67"/>
      <c r="X96" s="67"/>
      <c r="Y96" s="67"/>
      <c r="Z96" s="67"/>
      <c r="AA96" s="56"/>
    </row>
    <row r="97" spans="1:27" x14ac:dyDescent="0.2">
      <c r="A97" s="67"/>
      <c r="B97" s="67"/>
      <c r="C97" s="67"/>
      <c r="D97" s="67"/>
      <c r="E97" s="67"/>
      <c r="F97" s="67"/>
      <c r="G97" s="68"/>
      <c r="H97" s="67"/>
      <c r="I97" s="67"/>
      <c r="J97" s="67"/>
      <c r="K97" s="67"/>
      <c r="L97" s="67"/>
      <c r="M97" s="67"/>
      <c r="N97" s="67"/>
      <c r="O97" s="67"/>
      <c r="P97" s="67"/>
      <c r="Q97" s="67"/>
      <c r="R97" s="67"/>
      <c r="S97" s="67"/>
      <c r="T97" s="67"/>
      <c r="U97" s="67"/>
      <c r="V97" s="67"/>
      <c r="W97" s="67"/>
      <c r="X97" s="67"/>
      <c r="Y97" s="67"/>
      <c r="Z97" s="67"/>
      <c r="AA97" s="56"/>
    </row>
    <row r="98" spans="1:27" x14ac:dyDescent="0.2">
      <c r="A98" s="67"/>
      <c r="B98" s="67"/>
      <c r="C98" s="67"/>
      <c r="D98" s="67"/>
      <c r="E98" s="67"/>
      <c r="F98" s="67"/>
      <c r="G98" s="68"/>
      <c r="H98" s="67"/>
      <c r="I98" s="67"/>
      <c r="J98" s="67"/>
      <c r="K98" s="67"/>
      <c r="L98" s="67"/>
      <c r="M98" s="67"/>
      <c r="N98" s="67"/>
      <c r="O98" s="67"/>
      <c r="P98" s="67"/>
      <c r="Q98" s="67"/>
      <c r="R98" s="67"/>
      <c r="S98" s="67"/>
      <c r="T98" s="67"/>
      <c r="U98" s="67"/>
      <c r="V98" s="67"/>
      <c r="W98" s="67"/>
      <c r="X98" s="67"/>
      <c r="Y98" s="67"/>
      <c r="Z98" s="67"/>
      <c r="AA98" s="56"/>
    </row>
    <row r="99" spans="1:27" x14ac:dyDescent="0.2">
      <c r="A99" s="67"/>
      <c r="B99" s="67"/>
      <c r="C99" s="67"/>
      <c r="D99" s="67"/>
      <c r="E99" s="67"/>
      <c r="F99" s="67"/>
      <c r="G99" s="68"/>
      <c r="H99" s="67"/>
      <c r="I99" s="67"/>
      <c r="J99" s="67"/>
      <c r="K99" s="67"/>
      <c r="L99" s="67"/>
      <c r="M99" s="67"/>
      <c r="N99" s="67"/>
      <c r="O99" s="67"/>
      <c r="P99" s="67"/>
      <c r="Q99" s="67"/>
      <c r="R99" s="67"/>
      <c r="S99" s="67"/>
      <c r="T99" s="67"/>
      <c r="U99" s="67"/>
      <c r="V99" s="67"/>
      <c r="W99" s="67"/>
      <c r="X99" s="67"/>
      <c r="Y99" s="67"/>
      <c r="Z99" s="67"/>
      <c r="AA99" s="56"/>
    </row>
    <row r="100" spans="1:27" x14ac:dyDescent="0.2">
      <c r="A100" s="58"/>
      <c r="B100" s="58"/>
      <c r="C100" s="58"/>
      <c r="D100" s="58"/>
      <c r="E100" s="58"/>
      <c r="F100" s="58"/>
      <c r="G100" s="59"/>
      <c r="H100" s="58"/>
      <c r="I100" s="58"/>
      <c r="J100" s="58"/>
      <c r="K100" s="58"/>
      <c r="L100" s="58"/>
      <c r="M100" s="58"/>
      <c r="N100" s="58"/>
      <c r="O100" s="58"/>
      <c r="P100" s="58"/>
      <c r="Q100" s="58"/>
      <c r="R100" s="58"/>
      <c r="S100" s="58"/>
      <c r="T100" s="58"/>
      <c r="U100" s="58"/>
      <c r="V100" s="58"/>
      <c r="W100" s="58"/>
      <c r="X100" s="58"/>
      <c r="Y100" s="58"/>
      <c r="Z100" s="58"/>
      <c r="AA100" s="56"/>
    </row>
  </sheetData>
  <sheetProtection algorithmName="SHA-512" hashValue="IUA5uLyW0mrRZkyPJKKIRFc3+5hN1b0hecgM8dzHCtjOUVEzhalBCWCXogf3HWMbmjeUOfL+5zp1szCxL2zuFA==" saltValue="VgYrN/Jn0z4UXKKRqvjtkQ==" spinCount="100000" sheet="1" objects="1" scenarios="1" selectLockedCells="1"/>
  <mergeCells count="1">
    <mergeCell ref="N3:O3"/>
  </mergeCells>
  <conditionalFormatting sqref="H7">
    <cfRule type="cellIs" dxfId="10" priority="2" operator="greaterThan">
      <formula>VIN_op_max_56</formula>
    </cfRule>
    <cfRule type="cellIs" dxfId="9" priority="17" operator="greaterThan">
      <formula>VIN_op_max</formula>
    </cfRule>
    <cfRule type="cellIs" dxfId="8" priority="18" operator="lessThan">
      <formula>VIN_op_min</formula>
    </cfRule>
  </conditionalFormatting>
  <conditionalFormatting sqref="H8">
    <cfRule type="cellIs" dxfId="7" priority="16" operator="notBetween">
      <formula>$H$7</formula>
      <formula>$H$9</formula>
    </cfRule>
  </conditionalFormatting>
  <conditionalFormatting sqref="H9">
    <cfRule type="cellIs" dxfId="6" priority="1" operator="greaterThan">
      <formula>VIN_op_max_56</formula>
    </cfRule>
    <cfRule type="cellIs" dxfId="5" priority="13" operator="greaterThan">
      <formula>VIN_op_max</formula>
    </cfRule>
    <cfRule type="cellIs" dxfId="4" priority="14" operator="lessThan">
      <formula>VIN_op_min</formula>
    </cfRule>
  </conditionalFormatting>
  <conditionalFormatting sqref="H17">
    <cfRule type="cellIs" dxfId="3" priority="6" operator="greaterThan">
      <formula>$H$16</formula>
    </cfRule>
  </conditionalFormatting>
  <conditionalFormatting sqref="H57">
    <cfRule type="expression" dxfId="1" priority="11">
      <formula>$H$8&gt;$H$9</formula>
    </cfRule>
    <cfRule type="expression" dxfId="0" priority="12">
      <formula>$H$8&lt;$H$7</formula>
    </cfRule>
  </conditionalFormatting>
  <dataValidations disablePrompts="1" count="1">
    <dataValidation type="list" allowBlank="1" showInputMessage="1" showErrorMessage="1" sqref="H18" xr:uid="{B6CBC9E4-52B2-4FA8-BCFD-24B327448BB5}">
      <formula1>CondMode</formula1>
    </dataValidation>
  </dataValidations>
  <hyperlinks>
    <hyperlink ref="N3" location="About!A1" display="TERMS OF USE" xr:uid="{EE270A3B-8816-419E-84BC-D008FEAD0366}"/>
    <hyperlink ref="N3:O3" location="Licenses!A1" display="TERMS OF USE" xr:uid="{7B8CA94F-4734-4CAD-88EF-98DE4E41009B}"/>
  </hyperlinks>
  <pageMargins left="0.2" right="0.2" top="0.25" bottom="0.25" header="0" footer="0"/>
  <pageSetup paperSize="9" scale="4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170" r:id="rId4" name="Drop Down 146">
              <controlPr defaultSize="0" print="0" autoLine="0" autoPict="0" altText="This is just there to fix the excel issue with comments and linked pictures">
                <anchor moveWithCells="1">
                  <from>
                    <xdr:col>14</xdr:col>
                    <xdr:colOff>596900</xdr:colOff>
                    <xdr:row>30</xdr:row>
                    <xdr:rowOff>88900</xdr:rowOff>
                  </from>
                  <to>
                    <xdr:col>16</xdr:col>
                    <xdr:colOff>215900</xdr:colOff>
                    <xdr:row>31</xdr:row>
                    <xdr:rowOff>114300</xdr:rowOff>
                  </to>
                </anchor>
              </controlPr>
            </control>
          </mc:Choice>
        </mc:AlternateContent>
        <mc:AlternateContent xmlns:mc="http://schemas.openxmlformats.org/markup-compatibility/2006">
          <mc:Choice Requires="x14">
            <control shapeId="1060" r:id="rId5" name="Spinner 36">
              <controlPr defaultSize="0" autoPict="0">
                <anchor moveWithCells="1" sizeWithCells="1">
                  <from>
                    <xdr:col>7</xdr:col>
                    <xdr:colOff>508000</xdr:colOff>
                    <xdr:row>56</xdr:row>
                    <xdr:rowOff>0</xdr:rowOff>
                  </from>
                  <to>
                    <xdr:col>8</xdr:col>
                    <xdr:colOff>12700</xdr:colOff>
                    <xdr:row>58</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3" id="{AB53E77D-5294-4F50-832B-89A6F7F8A8A1}">
            <xm:f>NOT(Variable_Management!$K$30)</xm:f>
            <x14:dxf>
              <font>
                <color rgb="FFC00000"/>
              </font>
              <fill>
                <patternFill>
                  <bgColor theme="5" tint="0.59996337778862885"/>
                </patternFill>
              </fill>
            </x14:dxf>
          </x14:cfRule>
          <xm:sqref>H23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256"/>
  <sheetViews>
    <sheetView zoomScale="85" zoomScaleNormal="85" workbookViewId="0">
      <pane ySplit="5" topLeftCell="A48" activePane="bottomLeft" state="frozen"/>
      <selection activeCell="N8" sqref="N8"/>
      <selection pane="bottomLeft" activeCell="B89" sqref="B89"/>
    </sheetView>
  </sheetViews>
  <sheetFormatPr baseColWidth="10" defaultColWidth="8.83203125" defaultRowHeight="15" x14ac:dyDescent="0.2"/>
  <cols>
    <col min="1" max="1" width="28.83203125" customWidth="1"/>
    <col min="2" max="2" width="19.5" customWidth="1"/>
    <col min="3" max="3" width="10.83203125" customWidth="1"/>
    <col min="4" max="4" width="10" bestFit="1" customWidth="1"/>
    <col min="5" max="5" width="18.6640625" customWidth="1"/>
    <col min="6" max="6" width="14.6640625" customWidth="1"/>
    <col min="7" max="7" width="15.1640625" customWidth="1"/>
    <col min="8" max="9" width="12.5" customWidth="1"/>
    <col min="11" max="11" width="12.83203125" bestFit="1" customWidth="1"/>
    <col min="12" max="14" width="12.33203125" bestFit="1" customWidth="1"/>
  </cols>
  <sheetData>
    <row r="1" spans="1:17" ht="28" x14ac:dyDescent="0.3">
      <c r="A1" s="229" t="s">
        <v>15</v>
      </c>
      <c r="B1" s="229"/>
      <c r="C1" s="229"/>
      <c r="D1" s="229"/>
      <c r="E1" s="229"/>
      <c r="F1" s="229"/>
      <c r="G1" s="229"/>
      <c r="H1" s="229"/>
      <c r="I1" s="229"/>
      <c r="J1" s="229"/>
    </row>
    <row r="2" spans="1:17" x14ac:dyDescent="0.2">
      <c r="A2" s="5"/>
      <c r="B2" s="5" t="s">
        <v>16</v>
      </c>
      <c r="C2" s="6"/>
      <c r="D2" s="4"/>
      <c r="E2" s="5"/>
      <c r="F2" s="5"/>
      <c r="G2" s="5"/>
      <c r="H2" s="5"/>
      <c r="I2" s="5"/>
      <c r="J2" s="5"/>
    </row>
    <row r="3" spans="1:17" x14ac:dyDescent="0.2">
      <c r="A3" s="5"/>
      <c r="B3" s="5" t="s">
        <v>17</v>
      </c>
      <c r="C3" s="7"/>
      <c r="D3" s="4"/>
      <c r="E3" s="5"/>
      <c r="F3" s="14" t="s">
        <v>63</v>
      </c>
      <c r="G3" s="15" t="s">
        <v>64</v>
      </c>
      <c r="H3" s="26" t="s">
        <v>67</v>
      </c>
      <c r="I3" s="5"/>
      <c r="J3" s="5"/>
    </row>
    <row r="4" spans="1:17" x14ac:dyDescent="0.2">
      <c r="A4" s="5"/>
      <c r="B4" s="5" t="s">
        <v>18</v>
      </c>
      <c r="C4" s="8"/>
      <c r="D4" s="4"/>
      <c r="E4" s="5"/>
      <c r="F4" s="5"/>
      <c r="G4" s="5"/>
      <c r="H4" s="5"/>
      <c r="I4" s="5"/>
      <c r="J4" s="5"/>
    </row>
    <row r="5" spans="1:17" x14ac:dyDescent="0.2">
      <c r="A5" s="9" t="s">
        <v>19</v>
      </c>
      <c r="B5" s="9" t="s">
        <v>20</v>
      </c>
      <c r="C5" s="9" t="s">
        <v>21</v>
      </c>
      <c r="D5" s="4"/>
      <c r="E5" s="230" t="s">
        <v>22</v>
      </c>
      <c r="F5" s="230"/>
      <c r="G5" s="230"/>
      <c r="H5" s="230"/>
      <c r="I5" s="5"/>
      <c r="J5" s="9" t="s">
        <v>23</v>
      </c>
      <c r="K5" s="9" t="s">
        <v>71</v>
      </c>
      <c r="L5" s="4"/>
      <c r="M5" s="4"/>
      <c r="N5" s="4"/>
      <c r="O5" s="4"/>
      <c r="P5" s="4"/>
      <c r="Q5" s="4"/>
    </row>
    <row r="6" spans="1:17" ht="16" x14ac:dyDescent="0.2">
      <c r="A6" s="10" t="s">
        <v>24</v>
      </c>
      <c r="B6" s="9"/>
      <c r="C6" s="9"/>
      <c r="D6" s="9"/>
      <c r="E6" s="5"/>
      <c r="F6" s="5"/>
      <c r="G6" s="5"/>
      <c r="H6" s="5"/>
      <c r="I6" s="5"/>
      <c r="J6" s="9"/>
      <c r="K6" s="4"/>
      <c r="L6" s="4"/>
      <c r="M6" s="4"/>
      <c r="N6" s="4"/>
      <c r="O6" s="4"/>
      <c r="P6" s="4"/>
      <c r="Q6" s="4"/>
    </row>
    <row r="7" spans="1:17" x14ac:dyDescent="0.2">
      <c r="A7" t="s">
        <v>25</v>
      </c>
      <c r="B7" s="3">
        <f>'Design Converter'!H7</f>
        <v>4.8</v>
      </c>
      <c r="C7" t="s">
        <v>10</v>
      </c>
      <c r="E7" t="s">
        <v>28</v>
      </c>
    </row>
    <row r="8" spans="1:17" x14ac:dyDescent="0.2">
      <c r="A8" t="s">
        <v>26</v>
      </c>
      <c r="B8" s="3">
        <f>'Design Converter'!H8</f>
        <v>12</v>
      </c>
      <c r="C8" t="s">
        <v>10</v>
      </c>
      <c r="E8" t="s">
        <v>29</v>
      </c>
      <c r="K8">
        <f>IF(VIN_min&lt;VIN_min,1,IF(VIN_nom&gt;VIN_max,1,0))</f>
        <v>0</v>
      </c>
    </row>
    <row r="9" spans="1:17" x14ac:dyDescent="0.2">
      <c r="A9" t="s">
        <v>27</v>
      </c>
      <c r="B9" s="3">
        <f>'Design Converter'!H9</f>
        <v>18</v>
      </c>
      <c r="C9" t="s">
        <v>10</v>
      </c>
      <c r="E9" t="s">
        <v>30</v>
      </c>
    </row>
    <row r="10" spans="1:17" x14ac:dyDescent="0.2">
      <c r="A10" t="s">
        <v>68</v>
      </c>
      <c r="B10" s="3">
        <f>'Design Converter'!H12*1000</f>
        <v>100000</v>
      </c>
      <c r="C10" t="s">
        <v>69</v>
      </c>
      <c r="E10" t="s">
        <v>70</v>
      </c>
    </row>
    <row r="11" spans="1:17" x14ac:dyDescent="0.2">
      <c r="A11" t="s">
        <v>73</v>
      </c>
      <c r="B11" s="18">
        <f>((2.21*10^10)/Fsw)-955</f>
        <v>220045</v>
      </c>
      <c r="C11" s="2" t="s">
        <v>36</v>
      </c>
      <c r="E11" t="s">
        <v>74</v>
      </c>
    </row>
    <row r="13" spans="1:17" x14ac:dyDescent="0.2">
      <c r="A13" t="s">
        <v>31</v>
      </c>
      <c r="B13" s="3">
        <f>'Design Converter'!H10</f>
        <v>173</v>
      </c>
      <c r="C13" t="s">
        <v>10</v>
      </c>
      <c r="E13" t="s">
        <v>32</v>
      </c>
    </row>
    <row r="14" spans="1:17" x14ac:dyDescent="0.2">
      <c r="A14" t="s">
        <v>33</v>
      </c>
      <c r="B14" s="3">
        <f>'Design Converter'!H11</f>
        <v>1.4999999999999999E-2</v>
      </c>
      <c r="C14" t="s">
        <v>11</v>
      </c>
      <c r="E14" t="s">
        <v>34</v>
      </c>
    </row>
    <row r="15" spans="1:17" x14ac:dyDescent="0.2">
      <c r="A15" t="s">
        <v>35</v>
      </c>
      <c r="B15" s="1">
        <f>VOUT/IOUT</f>
        <v>11533.333333333334</v>
      </c>
      <c r="C15" s="2" t="s">
        <v>36</v>
      </c>
      <c r="E15" t="s">
        <v>42</v>
      </c>
    </row>
    <row r="16" spans="1:17" x14ac:dyDescent="0.2">
      <c r="A16" t="s">
        <v>37</v>
      </c>
      <c r="B16" s="1">
        <f>VOUT*IOUT</f>
        <v>2.5949999999999998</v>
      </c>
      <c r="C16" s="2" t="s">
        <v>38</v>
      </c>
      <c r="E16" t="s">
        <v>41</v>
      </c>
    </row>
    <row r="17" spans="1:19" x14ac:dyDescent="0.2">
      <c r="A17" t="s">
        <v>39</v>
      </c>
      <c r="B17" s="11">
        <f>'Design Converter'!H14/100</f>
        <v>0.95</v>
      </c>
      <c r="E17" t="s">
        <v>40</v>
      </c>
    </row>
    <row r="19" spans="1:19" x14ac:dyDescent="0.2">
      <c r="A19" s="33" t="s">
        <v>519</v>
      </c>
    </row>
    <row r="20" spans="1:19" x14ac:dyDescent="0.2">
      <c r="A20" t="s">
        <v>43</v>
      </c>
      <c r="B20" s="1">
        <f>IF(B$36="DCM",B55,B39)</f>
        <v>0.46798548766672943</v>
      </c>
      <c r="E20" t="s">
        <v>44</v>
      </c>
    </row>
    <row r="21" spans="1:19" x14ac:dyDescent="0.2">
      <c r="A21" t="s">
        <v>45</v>
      </c>
      <c r="B21" s="12">
        <f>Constants!B20</f>
        <v>0.93</v>
      </c>
      <c r="E21" t="s">
        <v>46</v>
      </c>
      <c r="K21">
        <f>IF(((1-D_limit_nom)/Constants!B12)&lt;Fsw,1,0)</f>
        <v>0</v>
      </c>
    </row>
    <row r="23" spans="1:19" x14ac:dyDescent="0.2">
      <c r="A23" t="s">
        <v>82</v>
      </c>
      <c r="B23" s="1">
        <f>IF(B$36="DCM",B58,B42)</f>
        <v>0.46798548766672943</v>
      </c>
      <c r="E23" t="s">
        <v>506</v>
      </c>
    </row>
    <row r="24" spans="1:19" x14ac:dyDescent="0.2">
      <c r="B24" s="13">
        <f>IF(B$36="DCM",B59,B43)</f>
        <v>4.6798548766672943E-6</v>
      </c>
      <c r="C24" t="s">
        <v>54</v>
      </c>
      <c r="E24" t="s">
        <v>333</v>
      </c>
    </row>
    <row r="25" spans="1:19" x14ac:dyDescent="0.2">
      <c r="A25" t="s">
        <v>92</v>
      </c>
      <c r="B25" s="17">
        <f>IF(B$36="DCM",B60,B44)</f>
        <v>0.54062500000000002</v>
      </c>
      <c r="C25" t="s">
        <v>11</v>
      </c>
      <c r="E25" t="s">
        <v>95</v>
      </c>
      <c r="K25" t="s">
        <v>559</v>
      </c>
      <c r="L25" t="s">
        <v>560</v>
      </c>
      <c r="M25" t="s">
        <v>572</v>
      </c>
    </row>
    <row r="26" spans="1:19" x14ac:dyDescent="0.2">
      <c r="J26" t="s">
        <v>561</v>
      </c>
      <c r="K26" t="b">
        <f>Dc_CCM_VIN_min&lt;B58</f>
        <v>0</v>
      </c>
      <c r="L26" t="b">
        <f>Dc_CCM_VIN_nom&lt;Dc_DCM_VIN_nom</f>
        <v>0</v>
      </c>
      <c r="M26" t="b">
        <f>Dc_CCM_VIN_max&lt;B66</f>
        <v>0</v>
      </c>
    </row>
    <row r="27" spans="1:19" x14ac:dyDescent="0.2">
      <c r="A27" t="s">
        <v>83</v>
      </c>
      <c r="B27" s="1">
        <f>IF(B$36="DCM",B62,B46)</f>
        <v>0.18314384146529927</v>
      </c>
      <c r="E27" t="s">
        <v>507</v>
      </c>
      <c r="J27" t="s">
        <v>565</v>
      </c>
      <c r="K27" t="b">
        <f>AND(K26:M26)</f>
        <v>0</v>
      </c>
    </row>
    <row r="28" spans="1:19" x14ac:dyDescent="0.2">
      <c r="B28" s="13">
        <f>IF(B$36="DCM",B63,B47)</f>
        <v>1.8314384146529927E-6</v>
      </c>
      <c r="C28" t="s">
        <v>54</v>
      </c>
      <c r="E28" t="s">
        <v>333</v>
      </c>
      <c r="J28" t="s">
        <v>566</v>
      </c>
      <c r="K28" t="b">
        <f>NOT(OR(K26:M26))</f>
        <v>1</v>
      </c>
    </row>
    <row r="29" spans="1:19" x14ac:dyDescent="0.2">
      <c r="A29" t="s">
        <v>93</v>
      </c>
      <c r="B29" s="17">
        <f>IF(B$36="DCM",B64,B48)</f>
        <v>0.21624999999999997</v>
      </c>
      <c r="C29" t="s">
        <v>11</v>
      </c>
      <c r="E29" t="s">
        <v>96</v>
      </c>
      <c r="J29" t="s">
        <v>562</v>
      </c>
      <c r="K29" t="b">
        <f>NOT(OR(K27:K28))</f>
        <v>0</v>
      </c>
    </row>
    <row r="30" spans="1:19" x14ac:dyDescent="0.2">
      <c r="J30" t="s">
        <v>567</v>
      </c>
      <c r="K30" t="b">
        <f>IF(Dc_Mode="CCM",K27,IF(Dc_Mode="DCM",K28,K29))</f>
        <v>1</v>
      </c>
      <c r="P30" t="s">
        <v>557</v>
      </c>
      <c r="Q30" t="s">
        <v>555</v>
      </c>
      <c r="R30" t="s">
        <v>556</v>
      </c>
      <c r="S30" t="s">
        <v>558</v>
      </c>
    </row>
    <row r="31" spans="1:19" x14ac:dyDescent="0.2">
      <c r="A31" t="s">
        <v>84</v>
      </c>
      <c r="B31" s="1">
        <f>IF(B$36="DCM",B66,B50)</f>
        <v>0.11979921473804345</v>
      </c>
      <c r="E31" t="s">
        <v>508</v>
      </c>
      <c r="K31" t="s">
        <v>554</v>
      </c>
      <c r="L31" s="137">
        <f>VIN_min/(Fsw*2*IOUT)*Dc_VIN_min*(1-Dc_VIN_min)</f>
        <v>3.9836011360010057E-4</v>
      </c>
      <c r="M31" s="137">
        <f>VIN_nom/(Fsw*2*IOUT)*Dc_VIN_nom*(1-Dc_VIN_nom)</f>
        <v>5.9840869919453043E-4</v>
      </c>
      <c r="N31" s="137">
        <f>VIN_max/(Fsw*2*IOUT)*Dc_VIN_max*(1-Dc_VIN_max)</f>
        <v>6.3268417731714957E-4</v>
      </c>
      <c r="P31" s="137">
        <f>Q31*0.9</f>
        <v>3.5852410224009051E-4</v>
      </c>
      <c r="Q31" s="137">
        <f>MIN(L31:N31)</f>
        <v>3.9836011360010057E-4</v>
      </c>
      <c r="R31" s="137">
        <f>MAX(L31:N31)</f>
        <v>6.3268417731714957E-4</v>
      </c>
      <c r="S31" s="137">
        <f>R31*1.1</f>
        <v>6.9595259504886457E-4</v>
      </c>
    </row>
    <row r="32" spans="1:19" x14ac:dyDescent="0.2">
      <c r="B32" s="13">
        <f>IF(B$36="DCM",B67,B51)</f>
        <v>1.1979921473804345E-6</v>
      </c>
      <c r="C32" t="s">
        <v>54</v>
      </c>
      <c r="E32" t="s">
        <v>333</v>
      </c>
    </row>
    <row r="33" spans="1:14" x14ac:dyDescent="0.2">
      <c r="A33" t="s">
        <v>94</v>
      </c>
      <c r="B33" s="17">
        <f>IF(B$36="DCM",B68,B52)</f>
        <v>0.14416666666666667</v>
      </c>
      <c r="C33" t="s">
        <v>11</v>
      </c>
      <c r="E33" t="s">
        <v>97</v>
      </c>
    </row>
    <row r="34" spans="1:14" x14ac:dyDescent="0.2">
      <c r="N34" t="s">
        <v>553</v>
      </c>
    </row>
    <row r="35" spans="1:14" x14ac:dyDescent="0.2">
      <c r="A35" t="s">
        <v>534</v>
      </c>
      <c r="B35" s="140" t="str">
        <f>IF(AND(K35&lt;Lm,L35&lt;Lm,M35&lt;Lm),"CCM",IF(AND(K35&gt;Lm,L35&gt;Lm,M35&gt;Lm),"DCM","CCM/DCM"))</f>
        <v>DCM</v>
      </c>
      <c r="E35" t="s">
        <v>517</v>
      </c>
      <c r="K35" s="137">
        <f>VIN_min/(Fsw*2*IOUT)*Dc_CCM_VIN_min*(1-Dc_CCM_VIN_min)</f>
        <v>4.31613485248421E-5</v>
      </c>
      <c r="L35" s="137">
        <f>IF(AND(B50&lt;0.5,B42&gt;0.5),VIN_min/(Fsw*2*IOUT)*0.5*(1-0.5),VIN_min/(Fsw*2*IOUT)*Dc_CCM_VIN_nom*(1-Dc_CCM_VIN_nom))</f>
        <v>1.0328443984095688E-4</v>
      </c>
      <c r="M35" s="137">
        <f>VIN_min/(Fsw*2*IOUT)*Dc_CCM_VIN_max*(1-Dc_VIN_max)</f>
        <v>1.261790721069163E-3</v>
      </c>
      <c r="N35" t="b">
        <f>IF(Dc_Mode="CCM",IF(Lm&lt;MAX(K35,L35,M35),TRUE,IF(Lm&gt;MIN(K35,L35,M35),TRUE,FALSE)))</f>
        <v>0</v>
      </c>
    </row>
    <row r="36" spans="1:14" x14ac:dyDescent="0.2">
      <c r="A36" t="s">
        <v>533</v>
      </c>
      <c r="B36" s="139" t="str">
        <f>'Design Converter'!H18</f>
        <v>DCM</v>
      </c>
      <c r="E36" t="s">
        <v>516</v>
      </c>
      <c r="K36" t="str">
        <f>IF(OR(B35="CCM",B35="CCM/DCM"),"CCM","DCM")</f>
        <v>DCM</v>
      </c>
      <c r="L36" t="str">
        <f>IF(B35="CCM/DCM","DCM","")</f>
        <v/>
      </c>
    </row>
    <row r="38" spans="1:14" x14ac:dyDescent="0.2">
      <c r="A38" s="33" t="s">
        <v>495</v>
      </c>
    </row>
    <row r="39" spans="1:14" x14ac:dyDescent="0.2">
      <c r="A39" t="s">
        <v>509</v>
      </c>
      <c r="B39" s="1">
        <f>1-VIN_min/VOUT</f>
        <v>0.97225433526011562</v>
      </c>
      <c r="E39" t="s">
        <v>44</v>
      </c>
    </row>
    <row r="42" spans="1:14" x14ac:dyDescent="0.2">
      <c r="A42" t="s">
        <v>510</v>
      </c>
      <c r="B42" s="1">
        <f>1-VIN_min/VOUT</f>
        <v>0.97225433526011562</v>
      </c>
      <c r="E42" t="s">
        <v>85</v>
      </c>
    </row>
    <row r="43" spans="1:14" x14ac:dyDescent="0.2">
      <c r="B43" s="13">
        <f>B42/Fsw</f>
        <v>9.7225433526011556E-6</v>
      </c>
      <c r="C43" t="s">
        <v>54</v>
      </c>
      <c r="E43" t="s">
        <v>333</v>
      </c>
    </row>
    <row r="44" spans="1:14" x14ac:dyDescent="0.2">
      <c r="A44" t="s">
        <v>511</v>
      </c>
      <c r="B44" s="17">
        <f>(VOUT*IOUT)/(VIN_min)</f>
        <v>0.54062500000000002</v>
      </c>
      <c r="C44" t="s">
        <v>11</v>
      </c>
      <c r="E44" t="s">
        <v>95</v>
      </c>
    </row>
    <row r="46" spans="1:14" x14ac:dyDescent="0.2">
      <c r="A46" t="s">
        <v>512</v>
      </c>
      <c r="B46" s="1">
        <f>1-VIN_nom/VOUT</f>
        <v>0.93063583815028905</v>
      </c>
      <c r="E46" t="s">
        <v>86</v>
      </c>
    </row>
    <row r="47" spans="1:14" x14ac:dyDescent="0.2">
      <c r="B47" s="13">
        <f>B46/Fsw</f>
        <v>9.3063583815028903E-6</v>
      </c>
      <c r="C47" t="s">
        <v>54</v>
      </c>
      <c r="E47" t="s">
        <v>333</v>
      </c>
    </row>
    <row r="48" spans="1:14" x14ac:dyDescent="0.2">
      <c r="A48" t="s">
        <v>513</v>
      </c>
      <c r="B48" s="17">
        <f>(VOUT*IOUT)/(VIN_nom)</f>
        <v>0.21624999999999997</v>
      </c>
      <c r="C48" t="s">
        <v>11</v>
      </c>
      <c r="E48" t="s">
        <v>96</v>
      </c>
    </row>
    <row r="50" spans="1:5" x14ac:dyDescent="0.2">
      <c r="A50" t="s">
        <v>514</v>
      </c>
      <c r="B50" s="1">
        <f>1-VIN_max/VOUT</f>
        <v>0.89595375722543347</v>
      </c>
      <c r="E50" t="s">
        <v>87</v>
      </c>
    </row>
    <row r="51" spans="1:5" x14ac:dyDescent="0.2">
      <c r="B51" s="13">
        <f>B50/Fsw</f>
        <v>8.9595375722543351E-6</v>
      </c>
      <c r="C51" t="s">
        <v>54</v>
      </c>
      <c r="E51" t="s">
        <v>333</v>
      </c>
    </row>
    <row r="52" spans="1:5" x14ac:dyDescent="0.2">
      <c r="A52" t="s">
        <v>515</v>
      </c>
      <c r="B52" s="17">
        <f>(VOUT*IOUT)/(VIN_max)</f>
        <v>0.14416666666666667</v>
      </c>
      <c r="C52" t="s">
        <v>11</v>
      </c>
      <c r="E52" t="s">
        <v>97</v>
      </c>
    </row>
    <row r="54" spans="1:5" x14ac:dyDescent="0.2">
      <c r="A54" s="33" t="s">
        <v>496</v>
      </c>
    </row>
    <row r="55" spans="1:5" x14ac:dyDescent="0.2">
      <c r="A55" t="s">
        <v>497</v>
      </c>
      <c r="B55" s="1">
        <f>1/VIN_min*SQRT(2*Lm*(VOUT-VIN_min)*Fsw*IOUT)</f>
        <v>0.46798548766672943</v>
      </c>
      <c r="E55" t="s">
        <v>44</v>
      </c>
    </row>
    <row r="58" spans="1:5" x14ac:dyDescent="0.2">
      <c r="A58" t="s">
        <v>501</v>
      </c>
      <c r="B58" s="1">
        <f>1/VIN_min*SQRT(2*Lm*(VOUT-VIN_min)*Fsw*IOUT)</f>
        <v>0.46798548766672943</v>
      </c>
      <c r="E58" t="s">
        <v>498</v>
      </c>
    </row>
    <row r="59" spans="1:5" x14ac:dyDescent="0.2">
      <c r="B59" s="13">
        <f>B58/Fsw</f>
        <v>4.6798548766672943E-6</v>
      </c>
      <c r="C59" t="s">
        <v>54</v>
      </c>
      <c r="E59" t="s">
        <v>333</v>
      </c>
    </row>
    <row r="60" spans="1:5" x14ac:dyDescent="0.2">
      <c r="A60" t="s">
        <v>502</v>
      </c>
      <c r="B60" s="17">
        <f>(VOUT*IOUT)/(VIN_min)</f>
        <v>0.54062500000000002</v>
      </c>
      <c r="C60" t="s">
        <v>11</v>
      </c>
      <c r="E60" t="s">
        <v>95</v>
      </c>
    </row>
    <row r="62" spans="1:5" x14ac:dyDescent="0.2">
      <c r="A62" t="s">
        <v>503</v>
      </c>
      <c r="B62" s="1">
        <f>1/VIN_nom*SQRT(2*Lm*(VOUT-VIN_nom)*Fsw*IOUT)</f>
        <v>0.18314384146529927</v>
      </c>
      <c r="E62" t="s">
        <v>499</v>
      </c>
    </row>
    <row r="63" spans="1:5" x14ac:dyDescent="0.2">
      <c r="B63" s="13">
        <f>B62/Fsw</f>
        <v>1.8314384146529927E-6</v>
      </c>
      <c r="C63" t="s">
        <v>54</v>
      </c>
      <c r="E63" t="s">
        <v>333</v>
      </c>
    </row>
    <row r="64" spans="1:5" x14ac:dyDescent="0.2">
      <c r="A64" t="s">
        <v>504</v>
      </c>
      <c r="B64" s="17">
        <f>(VOUT*IOUT)/(VIN_nom)</f>
        <v>0.21624999999999997</v>
      </c>
      <c r="C64" t="s">
        <v>11</v>
      </c>
      <c r="E64" t="s">
        <v>96</v>
      </c>
    </row>
    <row r="66" spans="1:5" x14ac:dyDescent="0.2">
      <c r="A66" t="s">
        <v>505</v>
      </c>
      <c r="B66" s="1">
        <f>1/VIN_max*SQRT(2*Lm*(VOUT-VIN_max)*Fsw*IOUT)</f>
        <v>0.11979921473804345</v>
      </c>
      <c r="E66" t="s">
        <v>500</v>
      </c>
    </row>
    <row r="67" spans="1:5" x14ac:dyDescent="0.2">
      <c r="B67" s="13">
        <f>B66/Fsw</f>
        <v>1.1979921473804345E-6</v>
      </c>
      <c r="C67" t="s">
        <v>54</v>
      </c>
      <c r="E67" t="s">
        <v>333</v>
      </c>
    </row>
    <row r="68" spans="1:5" x14ac:dyDescent="0.2">
      <c r="A68" t="s">
        <v>94</v>
      </c>
      <c r="B68" s="17">
        <f>(VOUT*IOUT)/(VIN_max)</f>
        <v>0.14416666666666667</v>
      </c>
      <c r="C68" t="s">
        <v>11</v>
      </c>
      <c r="E68" t="s">
        <v>97</v>
      </c>
    </row>
    <row r="70" spans="1:5" x14ac:dyDescent="0.2">
      <c r="A70" s="19" t="s">
        <v>77</v>
      </c>
    </row>
    <row r="71" spans="1:5" x14ac:dyDescent="0.2">
      <c r="A71" t="s">
        <v>99</v>
      </c>
      <c r="B71" s="3">
        <f>'Design Converter'!H21/100</f>
        <v>0.6</v>
      </c>
      <c r="E71" t="s">
        <v>122</v>
      </c>
    </row>
    <row r="72" spans="1:5" x14ac:dyDescent="0.2">
      <c r="A72" s="22" t="s">
        <v>107</v>
      </c>
    </row>
    <row r="73" spans="1:5" x14ac:dyDescent="0.2">
      <c r="A73" t="s">
        <v>90</v>
      </c>
      <c r="B73" s="25">
        <f>(VIN_min*Dc_VIN_min)/(IL_avg_VIN_min*ILrip*Fsw)</f>
        <v>6.9251031700972676E-5</v>
      </c>
      <c r="C73" t="s">
        <v>98</v>
      </c>
      <c r="E73" t="s">
        <v>91</v>
      </c>
    </row>
    <row r="74" spans="1:5" x14ac:dyDescent="0.2">
      <c r="A74" t="s">
        <v>569</v>
      </c>
      <c r="B74" s="25">
        <f>(VIN_nom*Dc_VIN_nom)/(IL_avg_VIN_nom*ILrip*Fsw)</f>
        <v>1.6938158748235773E-4</v>
      </c>
      <c r="C74" t="s">
        <v>98</v>
      </c>
      <c r="E74" t="s">
        <v>570</v>
      </c>
    </row>
    <row r="75" spans="1:5" x14ac:dyDescent="0.2">
      <c r="A75" t="s">
        <v>568</v>
      </c>
      <c r="B75" s="25">
        <f>(VIN_max*Dc_VIN_max)/(IL_avg_VIN_max*ILrip*Fsw)</f>
        <v>2.4929316361673777E-4</v>
      </c>
      <c r="C75" t="s">
        <v>98</v>
      </c>
      <c r="E75" t="s">
        <v>571</v>
      </c>
    </row>
    <row r="76" spans="1:5" x14ac:dyDescent="0.2">
      <c r="A76" t="s">
        <v>100</v>
      </c>
      <c r="B76" s="25">
        <f>AVERAGE(B73:B75)</f>
        <v>1.6264192760002274E-4</v>
      </c>
      <c r="C76" t="s">
        <v>98</v>
      </c>
      <c r="E76" t="s">
        <v>101</v>
      </c>
    </row>
    <row r="78" spans="1:5" x14ac:dyDescent="0.2">
      <c r="A78" s="22" t="s">
        <v>108</v>
      </c>
    </row>
    <row r="79" spans="1:5" x14ac:dyDescent="0.2">
      <c r="A79" t="s">
        <v>133</v>
      </c>
      <c r="B79" s="12">
        <v>0.33</v>
      </c>
      <c r="C79" t="s">
        <v>13</v>
      </c>
      <c r="E79" t="s">
        <v>132</v>
      </c>
    </row>
    <row r="80" spans="1:5" x14ac:dyDescent="0.2">
      <c r="A80" t="s">
        <v>109</v>
      </c>
      <c r="B80" s="1">
        <f>IF(Dc_VIN_max&lt;Dc_rip_max,VOUT*(1-Dc_rip_max),VOUT*(1-Dc_VIN_max))</f>
        <v>115.90999999999998</v>
      </c>
      <c r="C80" t="s">
        <v>10</v>
      </c>
      <c r="E80" t="s">
        <v>136</v>
      </c>
    </row>
    <row r="81" spans="1:5" x14ac:dyDescent="0.2">
      <c r="A81" t="s">
        <v>110</v>
      </c>
      <c r="B81" s="16">
        <f>(VOUT*IOUT)/(VIN_33)</f>
        <v>2.2388059701492539E-2</v>
      </c>
      <c r="C81" t="s">
        <v>11</v>
      </c>
      <c r="E81" t="s">
        <v>135</v>
      </c>
    </row>
    <row r="82" spans="1:5" x14ac:dyDescent="0.2">
      <c r="A82" t="s">
        <v>111</v>
      </c>
      <c r="B82" s="25">
        <f>(VIN_33*0.33)/(IIN_33*ILrip*Fsw)</f>
        <v>2.8475223333333324E-2</v>
      </c>
      <c r="C82" t="s">
        <v>98</v>
      </c>
      <c r="E82" t="s">
        <v>134</v>
      </c>
    </row>
    <row r="84" spans="1:5" x14ac:dyDescent="0.2">
      <c r="A84" t="s">
        <v>102</v>
      </c>
      <c r="B84" s="21">
        <f>'Design Converter'!H23*10^-6</f>
        <v>9.9999999999999991E-6</v>
      </c>
      <c r="C84" t="s">
        <v>98</v>
      </c>
      <c r="E84" t="s">
        <v>103</v>
      </c>
    </row>
    <row r="85" spans="1:5" x14ac:dyDescent="0.2">
      <c r="A85" t="s">
        <v>104</v>
      </c>
      <c r="B85" s="3">
        <f>'Design Converter'!H24*10^-3</f>
        <v>3.5000000000000003E-2</v>
      </c>
      <c r="C85" s="2" t="s">
        <v>36</v>
      </c>
      <c r="E85" t="s">
        <v>137</v>
      </c>
    </row>
    <row r="86" spans="1:5" x14ac:dyDescent="0.2">
      <c r="A86" t="s">
        <v>138</v>
      </c>
      <c r="B86" s="12">
        <v>0.2</v>
      </c>
      <c r="C86" s="2"/>
      <c r="E86" t="s">
        <v>139</v>
      </c>
    </row>
    <row r="88" spans="1:5" x14ac:dyDescent="0.2">
      <c r="A88" s="22" t="s">
        <v>573</v>
      </c>
      <c r="C88" s="2"/>
    </row>
    <row r="89" spans="1:5" x14ac:dyDescent="0.2">
      <c r="A89" t="s">
        <v>574</v>
      </c>
      <c r="B89" s="227">
        <f>VIN_min/(2*Fsw*IOUT)*(1-VIN_min/VOUT)*(1-(1-VIN_min/VOUT))</f>
        <v>4.31613485248421E-5</v>
      </c>
      <c r="C89" s="2"/>
    </row>
    <row r="90" spans="1:5" x14ac:dyDescent="0.2">
      <c r="C90" s="2"/>
    </row>
    <row r="91" spans="1:5" x14ac:dyDescent="0.2">
      <c r="A91" s="22" t="s">
        <v>495</v>
      </c>
      <c r="C91" s="2"/>
    </row>
    <row r="92" spans="1:5" x14ac:dyDescent="0.2">
      <c r="A92" t="s">
        <v>115</v>
      </c>
      <c r="B92" s="16">
        <f>(VIN_min*Dc_VIN_min)/(Lm*Fsw)</f>
        <v>2.2463303408003017</v>
      </c>
      <c r="C92" t="s">
        <v>11</v>
      </c>
      <c r="E92" t="s">
        <v>116</v>
      </c>
    </row>
    <row r="93" spans="1:5" x14ac:dyDescent="0.2">
      <c r="A93" t="s">
        <v>113</v>
      </c>
      <c r="B93" s="16">
        <f>(IL_avg_VIN_min/EFF_est)+(ILrip_VINmin/2)</f>
        <v>1.6922441177685719</v>
      </c>
      <c r="C93" t="s">
        <v>11</v>
      </c>
      <c r="E93" t="s">
        <v>114</v>
      </c>
    </row>
    <row r="95" spans="1:5" x14ac:dyDescent="0.2">
      <c r="A95" t="s">
        <v>117</v>
      </c>
      <c r="B95" s="16">
        <f>(VIN_nom*Dc_VIN_nom)/(Lm*Fsw)</f>
        <v>2.1977260975835917</v>
      </c>
      <c r="C95" t="s">
        <v>11</v>
      </c>
      <c r="E95" t="s">
        <v>123</v>
      </c>
    </row>
    <row r="96" spans="1:5" x14ac:dyDescent="0.2">
      <c r="A96" t="s">
        <v>118</v>
      </c>
      <c r="B96" s="16">
        <f>(IL_avg_VIN_nom/EFF_est)+(ILrip_VINnom/2)</f>
        <v>1.3264946277391643</v>
      </c>
      <c r="C96" t="s">
        <v>11</v>
      </c>
      <c r="E96" t="s">
        <v>124</v>
      </c>
    </row>
    <row r="98" spans="1:5" x14ac:dyDescent="0.2">
      <c r="A98" t="s">
        <v>119</v>
      </c>
      <c r="B98" s="16">
        <f>(VIN_max*Dc_VIN_max)/(Lm*Fsw)</f>
        <v>2.1563858652847823</v>
      </c>
      <c r="C98" t="s">
        <v>11</v>
      </c>
      <c r="E98" t="s">
        <v>125</v>
      </c>
    </row>
    <row r="99" spans="1:5" x14ac:dyDescent="0.2">
      <c r="A99" t="s">
        <v>120</v>
      </c>
      <c r="B99" s="16">
        <f>(IL_avg_VIN_max/EFF_est)+(ILrip_VINmax/2)</f>
        <v>1.2299473186073033</v>
      </c>
      <c r="C99" t="s">
        <v>11</v>
      </c>
      <c r="E99" t="s">
        <v>126</v>
      </c>
    </row>
    <row r="100" spans="1:5" x14ac:dyDescent="0.2">
      <c r="C100" s="2"/>
    </row>
    <row r="101" spans="1:5" x14ac:dyDescent="0.2">
      <c r="A101" s="22" t="s">
        <v>496</v>
      </c>
      <c r="C101" s="2"/>
    </row>
    <row r="102" spans="1:5" x14ac:dyDescent="0.2">
      <c r="A102" t="s">
        <v>115</v>
      </c>
      <c r="B102" s="16">
        <f>(VIN_min*Dc_VIN_min)/(Lm*Fsw)</f>
        <v>2.2463303408003017</v>
      </c>
      <c r="C102" t="s">
        <v>11</v>
      </c>
      <c r="E102" t="s">
        <v>116</v>
      </c>
    </row>
    <row r="103" spans="1:5" x14ac:dyDescent="0.2">
      <c r="A103" t="s">
        <v>113</v>
      </c>
      <c r="B103" s="16">
        <f>B102</f>
        <v>2.2463303408003017</v>
      </c>
      <c r="C103" t="s">
        <v>11</v>
      </c>
      <c r="E103" t="s">
        <v>114</v>
      </c>
    </row>
    <row r="105" spans="1:5" x14ac:dyDescent="0.2">
      <c r="A105" t="s">
        <v>117</v>
      </c>
      <c r="B105" s="16">
        <f>(VIN_nom*Dc_VIN_nom)/(Lm*Fsw)</f>
        <v>2.1977260975835917</v>
      </c>
      <c r="C105" t="s">
        <v>11</v>
      </c>
      <c r="E105" t="s">
        <v>123</v>
      </c>
    </row>
    <row r="106" spans="1:5" x14ac:dyDescent="0.2">
      <c r="A106" t="s">
        <v>118</v>
      </c>
      <c r="B106" s="16">
        <f>B105</f>
        <v>2.1977260975835917</v>
      </c>
      <c r="C106" t="s">
        <v>11</v>
      </c>
      <c r="E106" t="s">
        <v>124</v>
      </c>
    </row>
    <row r="108" spans="1:5" x14ac:dyDescent="0.2">
      <c r="A108" t="s">
        <v>119</v>
      </c>
      <c r="B108" s="16">
        <f>(VIN_max*Dc_VIN_max)/(Lm*Fsw)</f>
        <v>2.1563858652847823</v>
      </c>
      <c r="C108" t="s">
        <v>11</v>
      </c>
      <c r="E108" t="s">
        <v>125</v>
      </c>
    </row>
    <row r="109" spans="1:5" x14ac:dyDescent="0.2">
      <c r="A109" t="s">
        <v>120</v>
      </c>
      <c r="B109" s="16">
        <f>B108</f>
        <v>2.1563858652847823</v>
      </c>
      <c r="C109" t="s">
        <v>11</v>
      </c>
      <c r="E109" t="s">
        <v>126</v>
      </c>
    </row>
    <row r="110" spans="1:5" x14ac:dyDescent="0.2">
      <c r="C110" s="2"/>
    </row>
    <row r="111" spans="1:5" x14ac:dyDescent="0.2">
      <c r="A111" s="22" t="s">
        <v>324</v>
      </c>
      <c r="B111" t="s">
        <v>112</v>
      </c>
    </row>
    <row r="112" spans="1:5" x14ac:dyDescent="0.2">
      <c r="A112" t="s">
        <v>115</v>
      </c>
      <c r="B112" s="16">
        <f>IF(B$36="CCM",B92,B102)</f>
        <v>2.2463303408003017</v>
      </c>
      <c r="C112" t="s">
        <v>11</v>
      </c>
      <c r="E112" t="s">
        <v>116</v>
      </c>
    </row>
    <row r="113" spans="1:13" x14ac:dyDescent="0.2">
      <c r="A113" t="s">
        <v>113</v>
      </c>
      <c r="B113" s="16">
        <f>IF(B$36="CCM",B93,B103)</f>
        <v>2.2463303408003017</v>
      </c>
      <c r="C113" t="s">
        <v>11</v>
      </c>
      <c r="E113" t="s">
        <v>114</v>
      </c>
    </row>
    <row r="115" spans="1:13" x14ac:dyDescent="0.2">
      <c r="A115" t="s">
        <v>117</v>
      </c>
      <c r="B115" s="16">
        <f>IF(B$36="CCM",B95,B105)</f>
        <v>2.1977260975835917</v>
      </c>
      <c r="C115" t="s">
        <v>11</v>
      </c>
      <c r="E115" t="s">
        <v>123</v>
      </c>
    </row>
    <row r="116" spans="1:13" x14ac:dyDescent="0.2">
      <c r="A116" t="s">
        <v>118</v>
      </c>
      <c r="B116" s="16">
        <f>IF(B$36="CCM",B96,B106)</f>
        <v>2.1977260975835917</v>
      </c>
      <c r="C116" t="s">
        <v>11</v>
      </c>
      <c r="E116" t="s">
        <v>124</v>
      </c>
    </row>
    <row r="118" spans="1:13" x14ac:dyDescent="0.2">
      <c r="A118" t="s">
        <v>119</v>
      </c>
      <c r="B118" s="16">
        <f>IF(B$36="CCM",B98,B108)</f>
        <v>2.1563858652847823</v>
      </c>
      <c r="C118" t="s">
        <v>11</v>
      </c>
      <c r="E118" t="s">
        <v>125</v>
      </c>
    </row>
    <row r="119" spans="1:13" x14ac:dyDescent="0.2">
      <c r="A119" t="s">
        <v>120</v>
      </c>
      <c r="B119" s="16">
        <f>IF(B$36="CCM",B99,B109)</f>
        <v>2.1563858652847823</v>
      </c>
      <c r="C119" t="s">
        <v>11</v>
      </c>
      <c r="E119" t="s">
        <v>126</v>
      </c>
    </row>
    <row r="121" spans="1:13" x14ac:dyDescent="0.2">
      <c r="A121" s="19" t="s">
        <v>121</v>
      </c>
    </row>
    <row r="122" spans="1:13" x14ac:dyDescent="0.2">
      <c r="A122" t="s">
        <v>128</v>
      </c>
      <c r="B122" s="3">
        <f>'Design Converter'!H28/100</f>
        <v>0.2</v>
      </c>
      <c r="E122" t="s">
        <v>129</v>
      </c>
    </row>
    <row r="123" spans="1:13" x14ac:dyDescent="0.2">
      <c r="A123" t="s">
        <v>130</v>
      </c>
      <c r="B123" s="17">
        <f>(1+Ipk_margin)*ILp_VINmin</f>
        <v>2.6955964089603621</v>
      </c>
      <c r="C123" t="s">
        <v>11</v>
      </c>
      <c r="E123" t="s">
        <v>131</v>
      </c>
    </row>
    <row r="124" spans="1:13" x14ac:dyDescent="0.2">
      <c r="B124" s="17"/>
    </row>
    <row r="125" spans="1:13" x14ac:dyDescent="0.2">
      <c r="A125" t="s">
        <v>142</v>
      </c>
      <c r="B125" s="12">
        <v>0.6</v>
      </c>
      <c r="E125" t="s">
        <v>143</v>
      </c>
      <c r="J125">
        <f>Fsw*Isl*Rsl_int*Lm</f>
        <v>3.9989999999999991E-2</v>
      </c>
    </row>
    <row r="126" spans="1:13" x14ac:dyDescent="0.2">
      <c r="J126">
        <f>Isl</f>
        <v>2.9999999999999997E-5</v>
      </c>
      <c r="K126">
        <f>Fsw</f>
        <v>100000</v>
      </c>
      <c r="L126">
        <f>Lm</f>
        <v>9.9999999999999991E-6</v>
      </c>
      <c r="M126">
        <f>Rsl_int</f>
        <v>1333</v>
      </c>
    </row>
    <row r="127" spans="1:13" x14ac:dyDescent="0.2">
      <c r="A127" t="s">
        <v>140</v>
      </c>
      <c r="B127" s="25">
        <f>(1/B125)*((Fsw*Isl*Rsl_int*Lm)/(VOUT-VIN_min))</f>
        <v>3.962544589774078E-4</v>
      </c>
      <c r="C127" s="2" t="s">
        <v>36</v>
      </c>
      <c r="E127" t="s">
        <v>141</v>
      </c>
    </row>
    <row r="128" spans="1:13" x14ac:dyDescent="0.2">
      <c r="A128" t="s">
        <v>148</v>
      </c>
      <c r="B128" s="25">
        <f>Vcl/Ipk_selected</f>
        <v>3.7097541630339244E-2</v>
      </c>
      <c r="C128" s="2" t="s">
        <v>36</v>
      </c>
      <c r="E128" t="s">
        <v>149</v>
      </c>
    </row>
    <row r="130" spans="1:11" x14ac:dyDescent="0.2">
      <c r="A130" t="s">
        <v>155</v>
      </c>
      <c r="B130" s="12">
        <v>0.83299999999999996</v>
      </c>
      <c r="E130" t="s">
        <v>156</v>
      </c>
    </row>
    <row r="131" spans="1:11" x14ac:dyDescent="0.2">
      <c r="A131" t="s">
        <v>154</v>
      </c>
      <c r="B131" s="24">
        <f>(Lm*Fsw*(Vcl+(Dc_VIN_min*Isl*Rsl_int)))/((Dc_VIN_min*Kslope*VOUT)-(Dc_VIN_min*Kslope*VIN_min)+(Ipk_selected*Lm*Fsw))</f>
        <v>1.7390196502294092E-3</v>
      </c>
      <c r="C131" s="2" t="s">
        <v>36</v>
      </c>
      <c r="E131" t="s">
        <v>165</v>
      </c>
    </row>
    <row r="132" spans="1:11" x14ac:dyDescent="0.2">
      <c r="A132" t="s">
        <v>157</v>
      </c>
      <c r="B132" s="16">
        <f>(Vcl-(Ipk_selected*Rcs_w_sl))/(Isl*Dc_VIN_min)</f>
        <v>6788.8362201810905</v>
      </c>
      <c r="C132" s="2" t="s">
        <v>36</v>
      </c>
      <c r="E132" t="s">
        <v>164</v>
      </c>
    </row>
    <row r="134" spans="1:11" x14ac:dyDescent="0.2">
      <c r="A134" t="s">
        <v>152</v>
      </c>
      <c r="B134" s="1">
        <f>IF(AND(Rcs_wo_sl&gt;Rcs_max,OR(B36="CCM",B36="CCM/DCM")),1,0)</f>
        <v>0</v>
      </c>
      <c r="E134" t="s">
        <v>153</v>
      </c>
    </row>
    <row r="135" spans="1:11" x14ac:dyDescent="0.2">
      <c r="A135" t="s">
        <v>158</v>
      </c>
      <c r="B135" s="27">
        <f>IF(B134=0,Rcs_wo_sl,Rcs_w_sl)</f>
        <v>3.7097541630339244E-2</v>
      </c>
      <c r="C135" s="2" t="s">
        <v>36</v>
      </c>
      <c r="E135" t="s">
        <v>162</v>
      </c>
    </row>
    <row r="136" spans="1:11" x14ac:dyDescent="0.2">
      <c r="A136" t="s">
        <v>159</v>
      </c>
      <c r="B136" s="1">
        <f>IF(K136&gt;Rsl_max,Rsl_max,K136)</f>
        <v>0</v>
      </c>
      <c r="C136" s="2" t="s">
        <v>36</v>
      </c>
      <c r="E136" t="s">
        <v>163</v>
      </c>
      <c r="K136">
        <f>IF(B134=0,0,B132)</f>
        <v>0</v>
      </c>
    </row>
    <row r="138" spans="1:11" x14ac:dyDescent="0.2">
      <c r="A138" t="s">
        <v>160</v>
      </c>
      <c r="B138" s="28">
        <f>'Design Converter'!H32/1000</f>
        <v>3.3000000000000002E-2</v>
      </c>
      <c r="C138" s="2" t="s">
        <v>36</v>
      </c>
      <c r="E138" t="s">
        <v>167</v>
      </c>
    </row>
    <row r="139" spans="1:11" x14ac:dyDescent="0.2">
      <c r="A139" t="s">
        <v>161</v>
      </c>
      <c r="B139" s="3">
        <f>'Design Converter'!H33</f>
        <v>0</v>
      </c>
      <c r="C139" s="2" t="s">
        <v>36</v>
      </c>
      <c r="E139" t="s">
        <v>168</v>
      </c>
    </row>
    <row r="141" spans="1:11" x14ac:dyDescent="0.2">
      <c r="A141" t="s">
        <v>172</v>
      </c>
      <c r="B141" s="1">
        <f>(Isl*(Rsl_int+R_sl)*Fsw)/(((VOUT-VIN_min)/Lm)*R_cs)</f>
        <v>7.2046265268619607E-3</v>
      </c>
      <c r="C141" t="s">
        <v>180</v>
      </c>
      <c r="E141" t="s">
        <v>170</v>
      </c>
      <c r="K141">
        <f>IF(B141&lt;0.5,1,0)</f>
        <v>1</v>
      </c>
    </row>
    <row r="142" spans="1:11" x14ac:dyDescent="0.2">
      <c r="A142" t="s">
        <v>174</v>
      </c>
      <c r="B142" s="17">
        <f>(Vcl-(Isl*R_sl*Dc_VIN_min))/R_cs</f>
        <v>3.0303030303030303</v>
      </c>
      <c r="C142" t="s">
        <v>11</v>
      </c>
      <c r="E142" t="s">
        <v>176</v>
      </c>
      <c r="K142">
        <f>IF(IL_pk&lt;Ipk_selected,1,0)</f>
        <v>0</v>
      </c>
    </row>
    <row r="143" spans="1:11" x14ac:dyDescent="0.2">
      <c r="A143" t="s">
        <v>175</v>
      </c>
      <c r="B143" s="17">
        <f>(Vcl-(Isl*R_sl*Dc_VIN_max))/R_cs</f>
        <v>3.0303030303030303</v>
      </c>
      <c r="C143" t="s">
        <v>11</v>
      </c>
      <c r="E143" t="s">
        <v>177</v>
      </c>
    </row>
    <row r="144" spans="1:11" x14ac:dyDescent="0.2">
      <c r="A144" t="s">
        <v>178</v>
      </c>
      <c r="B144" s="1">
        <f>0.15</f>
        <v>0.15</v>
      </c>
      <c r="E144" t="s">
        <v>179</v>
      </c>
    </row>
    <row r="145" spans="1:5" x14ac:dyDescent="0.2">
      <c r="A145" t="s">
        <v>181</v>
      </c>
      <c r="B145" s="16">
        <f>(1+B144)*B143</f>
        <v>3.4848484848484844</v>
      </c>
      <c r="C145" t="s">
        <v>11</v>
      </c>
      <c r="E145" t="s">
        <v>182</v>
      </c>
    </row>
    <row r="147" spans="1:5" x14ac:dyDescent="0.2">
      <c r="A147" s="22" t="s">
        <v>183</v>
      </c>
    </row>
    <row r="148" spans="1:5" x14ac:dyDescent="0.2">
      <c r="A148" t="s">
        <v>184</v>
      </c>
    </row>
    <row r="150" spans="1:5" x14ac:dyDescent="0.2">
      <c r="A150" s="30" t="s">
        <v>185</v>
      </c>
    </row>
    <row r="152" spans="1:5" x14ac:dyDescent="0.2">
      <c r="A152" t="s">
        <v>190</v>
      </c>
      <c r="B152" s="31">
        <f>'Design Converter'!H38/1000</f>
        <v>0.1</v>
      </c>
      <c r="C152" t="s">
        <v>10</v>
      </c>
      <c r="E152" t="s">
        <v>189</v>
      </c>
    </row>
    <row r="153" spans="1:5" x14ac:dyDescent="0.2">
      <c r="A153" t="s">
        <v>192</v>
      </c>
      <c r="B153" s="1">
        <f>IOUT*Dc_VIN_min/(Fsw*Vout_rip_sel)</f>
        <v>7.0197823150009411E-7</v>
      </c>
      <c r="C153" t="s">
        <v>193</v>
      </c>
      <c r="E153" t="s">
        <v>194</v>
      </c>
    </row>
    <row r="154" spans="1:5" x14ac:dyDescent="0.2">
      <c r="A154" t="s">
        <v>196</v>
      </c>
      <c r="B154" s="16">
        <f>SQRT((1-Dc_VIN_min)*((IOUT^2)*(Dc_VIN_min/((1-Dc_VIN_min)^2))+((ILrip_VINmin^2)/3)))</f>
        <v>0.94606888255486288</v>
      </c>
      <c r="C154" t="s">
        <v>11</v>
      </c>
      <c r="E154" t="s">
        <v>197</v>
      </c>
    </row>
    <row r="155" spans="1:5" x14ac:dyDescent="0.2">
      <c r="A155" t="s">
        <v>202</v>
      </c>
      <c r="B155" s="3">
        <f>'Design Converter'!H41*(10^-6)</f>
        <v>9.9999999999999991E-6</v>
      </c>
      <c r="C155" t="s">
        <v>193</v>
      </c>
      <c r="E155" t="s">
        <v>200</v>
      </c>
    </row>
    <row r="156" spans="1:5" x14ac:dyDescent="0.2">
      <c r="A156" t="s">
        <v>199</v>
      </c>
      <c r="B156" s="3">
        <f>'Design Converter'!H42/1000</f>
        <v>28</v>
      </c>
      <c r="C156" s="2" t="s">
        <v>36</v>
      </c>
      <c r="E156" t="s">
        <v>201</v>
      </c>
    </row>
    <row r="157" spans="1:5" x14ac:dyDescent="0.2">
      <c r="A157" t="s">
        <v>331</v>
      </c>
      <c r="B157">
        <f>SQRT((IOUT^2)+(IL_avg_VIN_min^2)-(2*IOUT*IL_avg_VIN_min)-(2*Dc_VIN_min*(IOUT^2))-(Dc_VIN_min*(IL_avg_VIN_min^2))+(2*Dc_VIN_min*IOUT*IL_avg_VIN_min))</f>
        <v>0.38324997791131088</v>
      </c>
      <c r="E157" s="38" t="s">
        <v>332</v>
      </c>
    </row>
    <row r="159" spans="1:5" x14ac:dyDescent="0.2">
      <c r="A159" s="30" t="s">
        <v>350</v>
      </c>
    </row>
    <row r="160" spans="1:5" x14ac:dyDescent="0.2">
      <c r="A160" t="s">
        <v>335</v>
      </c>
      <c r="B160" s="12">
        <f>Iss</f>
        <v>9.9999999999999991E-6</v>
      </c>
      <c r="C160" t="s">
        <v>11</v>
      </c>
      <c r="E160" t="s">
        <v>337</v>
      </c>
    </row>
    <row r="161" spans="1:5" x14ac:dyDescent="0.2">
      <c r="A161" t="s">
        <v>338</v>
      </c>
      <c r="B161" s="1">
        <f>Iss*VOUT*Cout/(Vref*IOUT)</f>
        <v>1.153333333333333E-6</v>
      </c>
      <c r="C161" t="s">
        <v>193</v>
      </c>
      <c r="E161" t="s">
        <v>339</v>
      </c>
    </row>
    <row r="162" spans="1:5" x14ac:dyDescent="0.2">
      <c r="A162" t="s">
        <v>340</v>
      </c>
      <c r="B162" s="3">
        <f>'Design Converter'!H46*(10^-3)</f>
        <v>1.7000000000000001E-2</v>
      </c>
      <c r="C162" t="s">
        <v>54</v>
      </c>
      <c r="E162" t="s">
        <v>341</v>
      </c>
    </row>
    <row r="163" spans="1:5" x14ac:dyDescent="0.2">
      <c r="A163" t="s">
        <v>344</v>
      </c>
      <c r="B163" s="1">
        <f>(tss*Iss)/(Vref*(1-(VIN_min/VOUT)))</f>
        <v>1.7485136741973838E-7</v>
      </c>
      <c r="C163" t="s">
        <v>193</v>
      </c>
      <c r="E163" t="s">
        <v>345</v>
      </c>
    </row>
    <row r="165" spans="1:5" x14ac:dyDescent="0.2">
      <c r="A165" s="30" t="s">
        <v>349</v>
      </c>
    </row>
    <row r="166" spans="1:5" x14ac:dyDescent="0.2">
      <c r="A166" t="s">
        <v>351</v>
      </c>
      <c r="B166" s="3">
        <f>'Design Converter'!H50</f>
        <v>4.5</v>
      </c>
      <c r="C166" t="s">
        <v>10</v>
      </c>
      <c r="E166" t="s">
        <v>353</v>
      </c>
    </row>
    <row r="167" spans="1:5" x14ac:dyDescent="0.2">
      <c r="A167" t="s">
        <v>352</v>
      </c>
      <c r="B167" s="3">
        <f>'Design Converter'!H51</f>
        <v>4.0999999999999996</v>
      </c>
      <c r="C167" t="s">
        <v>10</v>
      </c>
      <c r="E167" t="s">
        <v>354</v>
      </c>
    </row>
    <row r="168" spans="1:5" x14ac:dyDescent="0.2">
      <c r="A168" t="s">
        <v>356</v>
      </c>
      <c r="B168" s="12">
        <f>UV_rise</f>
        <v>1.5</v>
      </c>
      <c r="C168" t="s">
        <v>10</v>
      </c>
      <c r="E168" t="s">
        <v>361</v>
      </c>
    </row>
    <row r="169" spans="1:5" x14ac:dyDescent="0.2">
      <c r="A169" t="s">
        <v>357</v>
      </c>
      <c r="B169" s="12">
        <f>UV_fall</f>
        <v>1.45</v>
      </c>
      <c r="C169" t="s">
        <v>10</v>
      </c>
      <c r="E169" t="s">
        <v>360</v>
      </c>
    </row>
    <row r="170" spans="1:5" x14ac:dyDescent="0.2">
      <c r="A170" t="s">
        <v>362</v>
      </c>
      <c r="B170" s="12">
        <f>UV_I_hyst</f>
        <v>4.9999999999999996E-6</v>
      </c>
      <c r="C170" t="s">
        <v>11</v>
      </c>
      <c r="E170" t="s">
        <v>364</v>
      </c>
    </row>
    <row r="171" spans="1:5" x14ac:dyDescent="0.2">
      <c r="A171" t="s">
        <v>365</v>
      </c>
      <c r="B171" s="18">
        <f>((Vuvlo_on*0.967)-Vuvlo_off)/(UV_I_hyst)</f>
        <v>50300.000000000015</v>
      </c>
      <c r="C171" s="2" t="s">
        <v>36</v>
      </c>
      <c r="E171" t="s">
        <v>466</v>
      </c>
    </row>
    <row r="172" spans="1:5" x14ac:dyDescent="0.2">
      <c r="A172" t="s">
        <v>365</v>
      </c>
      <c r="B172" s="3">
        <f>'Design Converter'!H53*1000</f>
        <v>50000</v>
      </c>
      <c r="C172" s="2" t="s">
        <v>36</v>
      </c>
      <c r="E172" t="s">
        <v>467</v>
      </c>
    </row>
    <row r="173" spans="1:5" x14ac:dyDescent="0.2">
      <c r="A173" t="s">
        <v>366</v>
      </c>
      <c r="B173" s="18">
        <f>UV_rise*Ruvlo_top/(Vuvlo_on-UV_rise)</f>
        <v>25000</v>
      </c>
      <c r="C173" s="2" t="s">
        <v>36</v>
      </c>
      <c r="E173" t="s">
        <v>468</v>
      </c>
    </row>
    <row r="174" spans="1:5" x14ac:dyDescent="0.2">
      <c r="A174" t="s">
        <v>367</v>
      </c>
      <c r="B174" s="17">
        <f>UV_rise*(Ruvlo_top+Ruvlo_bottom_calc)/Ruvlo_bottom_calc</f>
        <v>4.5</v>
      </c>
      <c r="E174" t="s">
        <v>369</v>
      </c>
    </row>
    <row r="175" spans="1:5" x14ac:dyDescent="0.2">
      <c r="A175" t="s">
        <v>368</v>
      </c>
      <c r="B175" s="17">
        <f>Ruvlo_top*((UV_fall/Ruvlo_top)-(UV_I_hyst)+(UV_fall/Ruvlo_bottom_calc))</f>
        <v>4.0999999999999996</v>
      </c>
      <c r="E175" t="s">
        <v>370</v>
      </c>
    </row>
    <row r="178" spans="1:5" x14ac:dyDescent="0.2">
      <c r="A178" s="30" t="s">
        <v>204</v>
      </c>
    </row>
    <row r="179" spans="1:5" x14ac:dyDescent="0.2">
      <c r="A179" s="34" t="s">
        <v>232</v>
      </c>
      <c r="B179" s="3" t="str">
        <f>'Design Converter'!H57</f>
        <v>12V</v>
      </c>
      <c r="C179" t="s">
        <v>10</v>
      </c>
      <c r="E179" t="s">
        <v>276</v>
      </c>
    </row>
    <row r="180" spans="1:5" x14ac:dyDescent="0.2">
      <c r="A180" s="34"/>
    </row>
    <row r="181" spans="1:5" x14ac:dyDescent="0.2">
      <c r="A181" s="33" t="s">
        <v>291</v>
      </c>
    </row>
    <row r="182" spans="1:5" x14ac:dyDescent="0.2">
      <c r="A182" t="s">
        <v>224</v>
      </c>
      <c r="B182" s="3">
        <f>'Design Converter'!H60*(10^3)</f>
        <v>1000000</v>
      </c>
      <c r="C182" s="2" t="s">
        <v>36</v>
      </c>
      <c r="E182" t="s">
        <v>277</v>
      </c>
    </row>
    <row r="183" spans="1:5" x14ac:dyDescent="0.2">
      <c r="A183" t="s">
        <v>281</v>
      </c>
      <c r="B183" s="18">
        <f>(RFBT*Vref)/(VOUT-Vref)</f>
        <v>5813.9534883720926</v>
      </c>
      <c r="C183" s="2" t="s">
        <v>36</v>
      </c>
      <c r="E183" t="s">
        <v>284</v>
      </c>
    </row>
    <row r="184" spans="1:5" x14ac:dyDescent="0.2">
      <c r="A184" t="s">
        <v>225</v>
      </c>
      <c r="B184" s="3">
        <f>'Design Converter'!H62*(10^3)</f>
        <v>5750</v>
      </c>
      <c r="C184" s="2" t="s">
        <v>36</v>
      </c>
      <c r="E184" t="s">
        <v>285</v>
      </c>
    </row>
    <row r="185" spans="1:5" x14ac:dyDescent="0.2">
      <c r="A185" t="s">
        <v>286</v>
      </c>
      <c r="B185" s="1">
        <f>VOUT/(RFBB+RFBT)</f>
        <v>1.7201093711160826E-4</v>
      </c>
      <c r="C185" s="2" t="s">
        <v>11</v>
      </c>
      <c r="E185" t="s">
        <v>287</v>
      </c>
    </row>
    <row r="186" spans="1:5" x14ac:dyDescent="0.2">
      <c r="C186" s="2"/>
    </row>
    <row r="187" spans="1:5" x14ac:dyDescent="0.2">
      <c r="A187" s="33" t="s">
        <v>292</v>
      </c>
      <c r="E187" t="s">
        <v>457</v>
      </c>
    </row>
    <row r="189" spans="1:5" x14ac:dyDescent="0.2">
      <c r="A189" t="s">
        <v>470</v>
      </c>
      <c r="B189">
        <f>(Gcomp*(VIN_min/VOUT)*(VOUT/IOUT))/(2*R_cs*Acs)</f>
        <v>703.030303030303</v>
      </c>
    </row>
    <row r="191" spans="1:5" x14ac:dyDescent="0.2">
      <c r="A191" t="s">
        <v>471</v>
      </c>
      <c r="B191" s="12">
        <f>2/(Cout*(VOUT/IOUT))</f>
        <v>17.341040462427745</v>
      </c>
      <c r="C191" t="s">
        <v>454</v>
      </c>
      <c r="E191" t="s">
        <v>453</v>
      </c>
    </row>
    <row r="192" spans="1:5" x14ac:dyDescent="0.2">
      <c r="A192" t="s">
        <v>472</v>
      </c>
      <c r="B192" s="1">
        <f>B191/(2*PI())</f>
        <v>2.7599123079519421</v>
      </c>
      <c r="C192" t="s">
        <v>69</v>
      </c>
      <c r="E192" t="s">
        <v>288</v>
      </c>
    </row>
    <row r="194" spans="1:5" x14ac:dyDescent="0.2">
      <c r="A194" t="s">
        <v>473</v>
      </c>
      <c r="B194" s="12">
        <f>1/(Cout*Resr)</f>
        <v>3571.4285714285716</v>
      </c>
      <c r="C194" t="s">
        <v>455</v>
      </c>
      <c r="E194" t="s">
        <v>456</v>
      </c>
    </row>
    <row r="195" spans="1:5" x14ac:dyDescent="0.2">
      <c r="A195" t="s">
        <v>474</v>
      </c>
      <c r="B195" s="1">
        <f>B194/(2*PI())</f>
        <v>568.41051104248334</v>
      </c>
      <c r="C195" t="s">
        <v>69</v>
      </c>
      <c r="E195" t="s">
        <v>290</v>
      </c>
    </row>
    <row r="197" spans="1:5" x14ac:dyDescent="0.2">
      <c r="A197" t="s">
        <v>475</v>
      </c>
      <c r="B197" s="12">
        <f>((VOUT/IOUT)*((VIN_min/VOUT)^2))/(Lm)</f>
        <v>887861.27167630079</v>
      </c>
      <c r="E197" t="s">
        <v>452</v>
      </c>
    </row>
    <row r="198" spans="1:5" x14ac:dyDescent="0.2">
      <c r="A198" t="s">
        <v>476</v>
      </c>
      <c r="B198" s="18">
        <f>B197/(2*PI())</f>
        <v>141307.5101671395</v>
      </c>
      <c r="C198" t="s">
        <v>69</v>
      </c>
      <c r="E198" t="s">
        <v>289</v>
      </c>
    </row>
    <row r="199" spans="1:5" x14ac:dyDescent="0.2">
      <c r="B199">
        <f>Fsw/10</f>
        <v>10000</v>
      </c>
      <c r="C199" t="s">
        <v>69</v>
      </c>
      <c r="E199" t="s">
        <v>297</v>
      </c>
    </row>
    <row r="200" spans="1:5" x14ac:dyDescent="0.2">
      <c r="B200">
        <f>IF((B198/5)&lt;(B199),0,1)</f>
        <v>1</v>
      </c>
      <c r="E200" t="s">
        <v>299</v>
      </c>
    </row>
    <row r="202" spans="1:5" x14ac:dyDescent="0.2">
      <c r="A202" t="s">
        <v>477</v>
      </c>
      <c r="B202" s="1">
        <f>(Isl*(Rsl_int+R_sl)*Fsw)</f>
        <v>3999</v>
      </c>
      <c r="C202" t="s">
        <v>180</v>
      </c>
      <c r="E202" t="s">
        <v>248</v>
      </c>
    </row>
    <row r="203" spans="1:5" x14ac:dyDescent="0.2">
      <c r="A203" t="s">
        <v>478</v>
      </c>
      <c r="B203" s="1">
        <f>(R_cs*VIN_min*Acs)/Lm</f>
        <v>15840.000000000002</v>
      </c>
      <c r="C203" t="s">
        <v>180</v>
      </c>
      <c r="E203" t="s">
        <v>249</v>
      </c>
    </row>
    <row r="204" spans="1:5" x14ac:dyDescent="0.2">
      <c r="B204" s="1"/>
    </row>
    <row r="205" spans="1:5" x14ac:dyDescent="0.2">
      <c r="A205" t="s">
        <v>479</v>
      </c>
      <c r="B205" s="1">
        <f>2*PI()*Fsw</f>
        <v>628318.53071795858</v>
      </c>
      <c r="C205" t="s">
        <v>251</v>
      </c>
    </row>
    <row r="206" spans="1:5" x14ac:dyDescent="0.2">
      <c r="A206" t="s">
        <v>480</v>
      </c>
      <c r="B206" s="1">
        <f>1/(PI()*(((VIN_min/VOUT)*(1+(B202/B203)))-0.5))</f>
        <v>-0.68417013611004851</v>
      </c>
    </row>
    <row r="212" spans="1:5" x14ac:dyDescent="0.2">
      <c r="A212" t="s">
        <v>293</v>
      </c>
      <c r="B212" s="17">
        <f>IF(B200=0,fz_rhp/5,Fsw/10)</f>
        <v>10000</v>
      </c>
      <c r="C212" t="s">
        <v>69</v>
      </c>
      <c r="E212" t="s">
        <v>298</v>
      </c>
    </row>
    <row r="213" spans="1:5" x14ac:dyDescent="0.2">
      <c r="A213" t="s">
        <v>295</v>
      </c>
      <c r="B213" s="3">
        <f>'Design Converter'!H66*1000</f>
        <v>1000</v>
      </c>
      <c r="C213" t="s">
        <v>69</v>
      </c>
      <c r="E213" t="s">
        <v>296</v>
      </c>
    </row>
    <row r="215" spans="1:5" x14ac:dyDescent="0.2">
      <c r="A215" t="s">
        <v>304</v>
      </c>
      <c r="B215" s="20">
        <f>Gplant_fc_dB</f>
        <v>11.88062124545648</v>
      </c>
      <c r="C215" t="s">
        <v>275</v>
      </c>
      <c r="E215" t="s">
        <v>305</v>
      </c>
    </row>
    <row r="216" spans="1:5" x14ac:dyDescent="0.2">
      <c r="A216" t="s">
        <v>300</v>
      </c>
      <c r="B216" s="20">
        <f>10^(B215/20)</f>
        <v>3.9267301975432076</v>
      </c>
      <c r="C216" t="s">
        <v>180</v>
      </c>
      <c r="E216" t="s">
        <v>301</v>
      </c>
    </row>
    <row r="217" spans="1:5" x14ac:dyDescent="0.2">
      <c r="A217" t="s">
        <v>306</v>
      </c>
      <c r="B217" s="20">
        <f>1/B216</f>
        <v>0.25466481008184838</v>
      </c>
      <c r="C217" t="s">
        <v>180</v>
      </c>
      <c r="E217" t="s">
        <v>307</v>
      </c>
    </row>
    <row r="219" spans="1:5" x14ac:dyDescent="0.2">
      <c r="A219" t="s">
        <v>313</v>
      </c>
      <c r="B219">
        <f>fcross/10</f>
        <v>100</v>
      </c>
      <c r="C219" t="s">
        <v>69</v>
      </c>
      <c r="E219" t="s">
        <v>311</v>
      </c>
    </row>
    <row r="220" spans="1:5" x14ac:dyDescent="0.2">
      <c r="A220" t="s">
        <v>314</v>
      </c>
      <c r="B220" s="35">
        <f>SQRT(B192*fcross)</f>
        <v>52.53486754482153</v>
      </c>
      <c r="C220" t="s">
        <v>69</v>
      </c>
      <c r="E220" t="s">
        <v>312</v>
      </c>
    </row>
    <row r="221" spans="1:5" x14ac:dyDescent="0.2">
      <c r="A221" t="s">
        <v>310</v>
      </c>
      <c r="B221" s="35">
        <f>B220</f>
        <v>52.53486754482153</v>
      </c>
      <c r="C221" t="s">
        <v>69</v>
      </c>
    </row>
    <row r="223" spans="1:5" x14ac:dyDescent="0.2">
      <c r="A223" t="s">
        <v>317</v>
      </c>
      <c r="B223" s="32">
        <f>fz_rhp</f>
        <v>141307.5101671395</v>
      </c>
      <c r="C223" t="s">
        <v>69</v>
      </c>
      <c r="E223" t="s">
        <v>490</v>
      </c>
    </row>
    <row r="224" spans="1:5" x14ac:dyDescent="0.2">
      <c r="E224" t="s">
        <v>491</v>
      </c>
    </row>
    <row r="227" spans="1:5" x14ac:dyDescent="0.2">
      <c r="A227" t="s">
        <v>308</v>
      </c>
      <c r="B227" s="23">
        <f>(Gea_mid_calc*(RFBT+RFBB)/(RFBB*gm_ea))</f>
        <v>22272.098499114694</v>
      </c>
      <c r="C227" s="2" t="s">
        <v>36</v>
      </c>
      <c r="E227" t="s">
        <v>309</v>
      </c>
    </row>
    <row r="228" spans="1:5" x14ac:dyDescent="0.2">
      <c r="A228" t="s">
        <v>214</v>
      </c>
      <c r="B228" s="3">
        <f>'Design Converter'!H69*1000</f>
        <v>22000</v>
      </c>
      <c r="C228" s="2" t="s">
        <v>36</v>
      </c>
      <c r="E228" t="s">
        <v>221</v>
      </c>
    </row>
    <row r="229" spans="1:5" x14ac:dyDescent="0.2">
      <c r="A229" t="s">
        <v>315</v>
      </c>
      <c r="B229" s="36">
        <f>1/(2*PI()*fz_ea_est*Rcomp_calc)</f>
        <v>1.3602268754357069E-7</v>
      </c>
      <c r="C229" s="2" t="s">
        <v>193</v>
      </c>
    </row>
    <row r="230" spans="1:5" x14ac:dyDescent="0.2">
      <c r="A230" t="s">
        <v>219</v>
      </c>
      <c r="B230" s="3">
        <f>'Design Converter'!H70*(10^-9)</f>
        <v>1.2000000000000002E-7</v>
      </c>
      <c r="C230" t="s">
        <v>193</v>
      </c>
      <c r="E230" t="s">
        <v>222</v>
      </c>
    </row>
    <row r="231" spans="1:5" x14ac:dyDescent="0.2">
      <c r="A231" t="s">
        <v>316</v>
      </c>
      <c r="B231" s="36">
        <f>(CComp_calc)/((CComp_calc*Rcomp_calc*2*PI()*fp_ea_est)-1)</f>
        <v>5.0588900377037817E-11</v>
      </c>
      <c r="C231" t="s">
        <v>193</v>
      </c>
    </row>
    <row r="232" spans="1:5" x14ac:dyDescent="0.2">
      <c r="A232" t="s">
        <v>220</v>
      </c>
      <c r="B232" s="3">
        <f>'Design Converter'!H71*(10^-12)</f>
        <v>5.0000000000000002E-11</v>
      </c>
      <c r="C232" t="s">
        <v>193</v>
      </c>
      <c r="E232" t="s">
        <v>223</v>
      </c>
    </row>
    <row r="235" spans="1:5" x14ac:dyDescent="0.2">
      <c r="A235" s="30" t="s">
        <v>379</v>
      </c>
    </row>
    <row r="236" spans="1:5" x14ac:dyDescent="0.2">
      <c r="A236" s="30" t="s">
        <v>398</v>
      </c>
    </row>
    <row r="237" spans="1:5" x14ac:dyDescent="0.2">
      <c r="A237" s="52" t="s">
        <v>461</v>
      </c>
      <c r="E237" t="s">
        <v>462</v>
      </c>
    </row>
    <row r="238" spans="1:5" x14ac:dyDescent="0.2">
      <c r="A238" t="s">
        <v>380</v>
      </c>
      <c r="B238">
        <f>'Design Converter'!H86/1000</f>
        <v>1.25</v>
      </c>
      <c r="C238" t="s">
        <v>10</v>
      </c>
      <c r="E238" t="s">
        <v>381</v>
      </c>
    </row>
    <row r="239" spans="1:5" x14ac:dyDescent="0.2">
      <c r="A239" t="s">
        <v>411</v>
      </c>
      <c r="B239">
        <f>'Design Converter'!H87*(10^-9)</f>
        <v>1.7E-8</v>
      </c>
      <c r="C239" t="s">
        <v>409</v>
      </c>
      <c r="E239" t="s">
        <v>410</v>
      </c>
    </row>
    <row r="242" spans="1:8" x14ac:dyDescent="0.2">
      <c r="A242" s="30" t="s">
        <v>401</v>
      </c>
    </row>
    <row r="243" spans="1:8" x14ac:dyDescent="0.2">
      <c r="A243" t="s">
        <v>412</v>
      </c>
      <c r="B243" s="3">
        <f>'Design Converter'!H76*(10^-3)</f>
        <v>0.126</v>
      </c>
      <c r="C243" s="2" t="s">
        <v>36</v>
      </c>
      <c r="E243" s="44" t="s">
        <v>387</v>
      </c>
    </row>
    <row r="244" spans="1:8" x14ac:dyDescent="0.2">
      <c r="A244" t="s">
        <v>402</v>
      </c>
      <c r="B244" s="3">
        <f>'Design Converter'!H77*(10^-9)</f>
        <v>4.5000000000000006E-8</v>
      </c>
      <c r="C244" t="s">
        <v>193</v>
      </c>
      <c r="E244" s="44" t="s">
        <v>388</v>
      </c>
    </row>
    <row r="245" spans="1:8" x14ac:dyDescent="0.2">
      <c r="A245" t="s">
        <v>404</v>
      </c>
      <c r="B245" s="3">
        <f>'Design Converter'!H78*(10^-9)</f>
        <v>8.0000000000000005E-9</v>
      </c>
      <c r="C245" t="s">
        <v>193</v>
      </c>
      <c r="E245" s="44" t="s">
        <v>389</v>
      </c>
    </row>
    <row r="246" spans="1:8" x14ac:dyDescent="0.2">
      <c r="A246" t="s">
        <v>403</v>
      </c>
      <c r="B246" s="3">
        <f>'Design Converter'!H79*(10^-9)</f>
        <v>9.0000000000000012E-9</v>
      </c>
      <c r="C246" t="s">
        <v>193</v>
      </c>
      <c r="E246" s="44" t="s">
        <v>390</v>
      </c>
    </row>
    <row r="247" spans="1:8" x14ac:dyDescent="0.2">
      <c r="A247" t="s">
        <v>405</v>
      </c>
      <c r="B247" s="3">
        <f>'Design Converter'!H80</f>
        <v>0.7</v>
      </c>
      <c r="C247" s="2" t="s">
        <v>36</v>
      </c>
      <c r="E247" s="44" t="s">
        <v>391</v>
      </c>
    </row>
    <row r="248" spans="1:8" x14ac:dyDescent="0.2">
      <c r="A248" t="s">
        <v>413</v>
      </c>
      <c r="B248" s="12">
        <v>1.5</v>
      </c>
      <c r="C248" s="2"/>
      <c r="E248" s="44" t="s">
        <v>414</v>
      </c>
      <c r="H248" t="s">
        <v>423</v>
      </c>
    </row>
    <row r="249" spans="1:8" x14ac:dyDescent="0.2">
      <c r="A249" t="s">
        <v>406</v>
      </c>
      <c r="B249" s="3">
        <f>'Design Converter'!H81</f>
        <v>15.1</v>
      </c>
      <c r="C249" s="2" t="s">
        <v>397</v>
      </c>
      <c r="E249" s="44" t="s">
        <v>392</v>
      </c>
    </row>
    <row r="250" spans="1:8" x14ac:dyDescent="0.2">
      <c r="A250" t="s">
        <v>407</v>
      </c>
      <c r="B250" s="3">
        <f>'Design Converter'!H82</f>
        <v>3</v>
      </c>
      <c r="C250" s="2" t="s">
        <v>10</v>
      </c>
      <c r="E250" s="44" t="s">
        <v>393</v>
      </c>
    </row>
    <row r="251" spans="1:8" x14ac:dyDescent="0.2">
      <c r="A251" t="s">
        <v>419</v>
      </c>
      <c r="B251" s="12">
        <f>Vcc</f>
        <v>6.75</v>
      </c>
      <c r="C251" s="2" t="s">
        <v>10</v>
      </c>
      <c r="E251" s="44" t="s">
        <v>424</v>
      </c>
    </row>
    <row r="252" spans="1:8" x14ac:dyDescent="0.2">
      <c r="C252" s="2"/>
      <c r="E252" s="44"/>
    </row>
    <row r="253" spans="1:8" x14ac:dyDescent="0.2">
      <c r="C253" s="2"/>
      <c r="E253" s="44"/>
    </row>
    <row r="254" spans="1:8" x14ac:dyDescent="0.2">
      <c r="A254" t="s">
        <v>415</v>
      </c>
      <c r="B254" s="27">
        <f>Vth+(((VOUT*IOUT)/VIN_min)/gfs)</f>
        <v>3.0358029801324502</v>
      </c>
      <c r="C254" s="2" t="s">
        <v>10</v>
      </c>
      <c r="E254" s="44" t="s">
        <v>416</v>
      </c>
    </row>
    <row r="255" spans="1:8" x14ac:dyDescent="0.2">
      <c r="A255" t="s">
        <v>425</v>
      </c>
      <c r="B255" s="1">
        <f>(Qgd+(Qgs/2))*((Rgate+B248)/(Vcc-B254))</f>
        <v>7.4040229564829788E-9</v>
      </c>
      <c r="C255" s="2" t="s">
        <v>54</v>
      </c>
      <c r="E255" s="44" t="s">
        <v>417</v>
      </c>
    </row>
    <row r="256" spans="1:8" ht="16" thickBot="1" x14ac:dyDescent="0.25">
      <c r="A256" t="s">
        <v>426</v>
      </c>
      <c r="B256" s="1">
        <f>(Qgd+(Qgs/2))*((B248+Rgate)/B254)</f>
        <v>9.058558865635015E-9</v>
      </c>
      <c r="C256" t="s">
        <v>54</v>
      </c>
      <c r="E256" s="45" t="s">
        <v>418</v>
      </c>
    </row>
  </sheetData>
  <mergeCells count="2">
    <mergeCell ref="A1:J1"/>
    <mergeCell ref="E5:H5"/>
  </mergeCells>
  <pageMargins left="0.7" right="0.7" top="0.75" bottom="0.75" header="0.3" footer="0.3"/>
  <pageSetup orientation="portrait" r:id="rId1"/>
  <drawing r:id="rId2"/>
  <legacyDrawing r:id="rId3"/>
  <oleObjects>
    <mc:AlternateContent xmlns:mc="http://schemas.openxmlformats.org/markup-compatibility/2006">
      <mc:Choice Requires="x14">
        <oleObject progId="Mathcad" shapeId="2053" r:id="rId4">
          <objectPr defaultSize="0" autoPict="0" r:id="rId5">
            <anchor moveWithCells="1">
              <from>
                <xdr:col>8</xdr:col>
                <xdr:colOff>63500</xdr:colOff>
                <xdr:row>154</xdr:row>
                <xdr:rowOff>139700</xdr:rowOff>
              </from>
              <to>
                <xdr:col>12</xdr:col>
                <xdr:colOff>393700</xdr:colOff>
                <xdr:row>157</xdr:row>
                <xdr:rowOff>25400</xdr:rowOff>
              </to>
            </anchor>
          </objectPr>
        </oleObject>
      </mc:Choice>
      <mc:Fallback>
        <oleObject progId="Mathcad" shapeId="2053"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T157"/>
  <sheetViews>
    <sheetView topLeftCell="R1" zoomScale="85" zoomScaleNormal="85" workbookViewId="0">
      <pane ySplit="6" topLeftCell="A135" activePane="bottomLeft" state="frozen"/>
      <selection activeCell="N8" sqref="N8"/>
      <selection pane="bottomLeft" activeCell="N8" sqref="N8"/>
    </sheetView>
  </sheetViews>
  <sheetFormatPr baseColWidth="10" defaultColWidth="8.83203125" defaultRowHeight="15" x14ac:dyDescent="0.2"/>
  <cols>
    <col min="10" max="10" width="10" bestFit="1" customWidth="1"/>
    <col min="25" max="25" width="12" bestFit="1" customWidth="1"/>
    <col min="39" max="39" width="11" bestFit="1" customWidth="1"/>
  </cols>
  <sheetData>
    <row r="1" spans="1:46" ht="28" x14ac:dyDescent="0.3">
      <c r="A1" s="229" t="s">
        <v>15</v>
      </c>
      <c r="B1" s="229"/>
      <c r="C1" s="229"/>
      <c r="D1" s="229"/>
      <c r="E1" s="229"/>
      <c r="F1" s="229"/>
      <c r="G1" s="229"/>
      <c r="H1" s="229"/>
      <c r="I1" s="229"/>
      <c r="J1" s="229"/>
      <c r="K1" s="229"/>
      <c r="L1" s="229"/>
      <c r="M1" s="229"/>
    </row>
    <row r="4" spans="1:46" ht="16" thickBot="1" x14ac:dyDescent="0.25">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row>
    <row r="5" spans="1:46" ht="32" x14ac:dyDescent="0.2">
      <c r="R5" s="234" t="s">
        <v>372</v>
      </c>
      <c r="S5" s="235"/>
      <c r="T5" s="235"/>
      <c r="U5" s="236"/>
      <c r="V5" s="234" t="s">
        <v>373</v>
      </c>
      <c r="W5" s="235"/>
      <c r="X5" s="236"/>
      <c r="Y5" s="234" t="s">
        <v>446</v>
      </c>
      <c r="Z5" s="235"/>
      <c r="AA5" s="235"/>
      <c r="AB5" s="235"/>
      <c r="AC5" s="235"/>
      <c r="AD5" s="236"/>
      <c r="AE5" s="234" t="s">
        <v>445</v>
      </c>
      <c r="AF5" s="235"/>
      <c r="AG5" s="235"/>
      <c r="AH5" s="235"/>
      <c r="AI5" s="236"/>
      <c r="AJ5" s="234" t="s">
        <v>447</v>
      </c>
      <c r="AK5" s="235"/>
      <c r="AL5" s="235"/>
      <c r="AM5" s="235"/>
      <c r="AN5" s="236"/>
      <c r="AO5" s="231" t="s">
        <v>442</v>
      </c>
      <c r="AP5" s="232"/>
      <c r="AQ5" s="233"/>
      <c r="AR5" s="49" t="s">
        <v>435</v>
      </c>
      <c r="AS5" s="50"/>
      <c r="AT5" s="51"/>
    </row>
    <row r="6" spans="1:46" ht="17" x14ac:dyDescent="0.25">
      <c r="R6" s="39" t="s">
        <v>31</v>
      </c>
      <c r="S6" s="37" t="s">
        <v>33</v>
      </c>
      <c r="T6" s="37" t="s">
        <v>327</v>
      </c>
      <c r="U6" s="40" t="s">
        <v>330</v>
      </c>
      <c r="V6" s="39" t="s">
        <v>328</v>
      </c>
      <c r="W6" s="37" t="s">
        <v>329</v>
      </c>
      <c r="X6" s="40" t="s">
        <v>377</v>
      </c>
      <c r="Y6" s="39" t="s">
        <v>374</v>
      </c>
      <c r="Z6" s="37" t="s">
        <v>376</v>
      </c>
      <c r="AA6" s="37" t="s">
        <v>375</v>
      </c>
      <c r="AB6" s="46" t="s">
        <v>383</v>
      </c>
      <c r="AC6" s="46" t="s">
        <v>384</v>
      </c>
      <c r="AD6" s="48" t="s">
        <v>433</v>
      </c>
      <c r="AE6" s="39" t="s">
        <v>427</v>
      </c>
      <c r="AF6" s="37" t="s">
        <v>428</v>
      </c>
      <c r="AG6" s="46" t="s">
        <v>430</v>
      </c>
      <c r="AH6" s="46" t="s">
        <v>429</v>
      </c>
      <c r="AI6" s="48" t="s">
        <v>431</v>
      </c>
      <c r="AJ6" s="39" t="s">
        <v>382</v>
      </c>
      <c r="AK6" s="37" t="s">
        <v>378</v>
      </c>
      <c r="AL6" s="37" t="s">
        <v>385</v>
      </c>
      <c r="AM6" s="37" t="s">
        <v>386</v>
      </c>
      <c r="AN6" s="40" t="s">
        <v>432</v>
      </c>
      <c r="AO6" s="39" t="s">
        <v>434</v>
      </c>
      <c r="AP6" s="37" t="s">
        <v>437</v>
      </c>
      <c r="AQ6" s="40" t="s">
        <v>438</v>
      </c>
      <c r="AR6" s="39" t="s">
        <v>436</v>
      </c>
      <c r="AS6" s="37" t="s">
        <v>444</v>
      </c>
      <c r="AT6" s="40" t="s">
        <v>443</v>
      </c>
    </row>
    <row r="7" spans="1:46" x14ac:dyDescent="0.2">
      <c r="Q7">
        <v>0</v>
      </c>
      <c r="R7" s="39">
        <f t="shared" ref="R7:R70" si="0">VOUT</f>
        <v>173</v>
      </c>
      <c r="S7" s="37">
        <f t="shared" ref="S7:S38" si="1">Q7*$O$12</f>
        <v>0</v>
      </c>
      <c r="T7" s="37">
        <f t="shared" ref="T7:T70" si="2">VIN_var</f>
        <v>12</v>
      </c>
      <c r="U7" s="40">
        <f t="shared" ref="U7:U38" si="3">(R7*S7)/(T7*EFF_est)</f>
        <v>0</v>
      </c>
      <c r="V7" s="39">
        <f t="shared" ref="V7:V38" si="4">IF((S7*R7/T7)&lt;((T7*(1-(T7/R7)))/(2*Lm*Fsw)),1,2)</f>
        <v>1</v>
      </c>
      <c r="W7" s="37">
        <f t="shared" ref="W7:W38" si="5">CHOOSE(V7,SQRT((2*S7*Lm*Fsw*(R7-T7))/((T7)^2)),1-(T7/R7))</f>
        <v>0</v>
      </c>
      <c r="X7" s="40">
        <f t="shared" ref="X7:X38" si="6">CHOOSE(V7,(Lm*W7*Fsw)/(R7-T7),1-W7)</f>
        <v>0</v>
      </c>
      <c r="Y7" s="39">
        <f t="shared" ref="Y7:Y38" si="7">(T7*W7)/(Lm*Fsw)</f>
        <v>0</v>
      </c>
      <c r="Z7" s="37">
        <f>CHOOSE(V7,Y7,U7+(0.5*Y7))</f>
        <v>0</v>
      </c>
      <c r="AA7" s="37">
        <f>CHOOSE(V7,Z7*SQRT((W7+X7)/3),SQRT((U7^2)+((Y7^2)/12)))</f>
        <v>0</v>
      </c>
      <c r="AB7" s="37">
        <v>0</v>
      </c>
      <c r="AC7" s="37">
        <f t="shared" ref="AC7:AC38" si="8">(AA7^2)*Rdcr</f>
        <v>0</v>
      </c>
      <c r="AD7" s="40">
        <f>AB7+AC7</f>
        <v>0</v>
      </c>
      <c r="AE7" s="39">
        <f>U7*W7</f>
        <v>0</v>
      </c>
      <c r="AF7" s="37">
        <f>CHOOSE(V7,Z7*SQRT(W7/3),SQRT(W7*((Z7^2)+((Y7^2)/3)-(Z7*Y7))))</f>
        <v>0</v>
      </c>
      <c r="AG7" s="37">
        <f t="shared" ref="AG7:AG38" si="9">(AF7^2)*RDS_on</f>
        <v>0</v>
      </c>
      <c r="AH7" s="37">
        <f t="shared" ref="AH7:AH38" si="10">((R7*U7)/2)*Fsw*(tr_sw+tf_sw)</f>
        <v>0</v>
      </c>
      <c r="AI7" s="40">
        <f>AG7+AH7</f>
        <v>0</v>
      </c>
      <c r="AJ7" s="39">
        <f>X7*U7</f>
        <v>0</v>
      </c>
      <c r="AK7" s="37">
        <f t="shared" ref="AK7:AK38" si="11">CHOOSE(V7,Z7*SQRT(X7/3),SQRT(X7*((Z7^2)+((Y7^2)/3)-(Y7*Z7))))</f>
        <v>0</v>
      </c>
      <c r="AL7" s="37">
        <f t="shared" ref="AL7:AL38" si="12">S7*Vd_rect</f>
        <v>0</v>
      </c>
      <c r="AM7" s="37">
        <f t="shared" ref="AM7:AM38" si="13">CHOOSE(V7,(R7+Vd_rect)*Qrr*Fsw,(R7+Vd_rect)*Qrr*Fsw)</f>
        <v>0.29622500000000002</v>
      </c>
      <c r="AN7" s="40">
        <f>AL7+AM7</f>
        <v>0.29622500000000002</v>
      </c>
      <c r="AO7" s="39">
        <f t="shared" ref="AO7:AO38" si="14">(AF7^2)*R_cs</f>
        <v>0</v>
      </c>
      <c r="AP7" s="37">
        <f t="shared" ref="AP7:AP38" si="15">Qg_tot*Vcc*Fsw</f>
        <v>3.0375000000000006E-2</v>
      </c>
      <c r="AQ7" s="40">
        <f t="shared" ref="AQ7:AQ38" si="16">IQ*T7</f>
        <v>5.4000000000000003E-3</v>
      </c>
      <c r="AR7" s="39">
        <f>AO7+AN7+AI7+AD7+AP7+AQ7</f>
        <v>0.33200000000000002</v>
      </c>
      <c r="AS7" s="37">
        <f>R7*S7</f>
        <v>0</v>
      </c>
      <c r="AT7" s="40">
        <f>(AS7/(AS7+AR7))*100</f>
        <v>0</v>
      </c>
    </row>
    <row r="8" spans="1:46" x14ac:dyDescent="0.2">
      <c r="M8">
        <f>Fsw</f>
        <v>100000</v>
      </c>
      <c r="Q8">
        <v>1</v>
      </c>
      <c r="R8" s="39">
        <f t="shared" si="0"/>
        <v>173</v>
      </c>
      <c r="S8" s="37">
        <f t="shared" si="1"/>
        <v>9.9999999999999991E-5</v>
      </c>
      <c r="T8" s="37">
        <f t="shared" si="2"/>
        <v>12</v>
      </c>
      <c r="U8" s="40">
        <f t="shared" si="3"/>
        <v>1.517543859649123E-3</v>
      </c>
      <c r="V8" s="39">
        <f t="shared" si="4"/>
        <v>1</v>
      </c>
      <c r="W8" s="37">
        <f t="shared" si="5"/>
        <v>1.4953632037438633E-2</v>
      </c>
      <c r="X8" s="40">
        <f t="shared" si="6"/>
        <v>9.2879702095892129E-5</v>
      </c>
      <c r="Y8" s="39">
        <f t="shared" si="7"/>
        <v>0.17944358444926364</v>
      </c>
      <c r="Z8" s="37">
        <f t="shared" ref="Z8:Z15" si="17">CHOOSE(V8,Y8,U8+(0.5*Y8))</f>
        <v>0.17944358444926364</v>
      </c>
      <c r="AA8" s="37">
        <f t="shared" ref="AA8:AA15" si="18">CHOOSE(V8,Z8*SQRT((W8+X8)/3),SQRT((U8^2)+((Y8^2)/12)))</f>
        <v>1.27082345746503E-2</v>
      </c>
      <c r="AB8" s="37">
        <v>0</v>
      </c>
      <c r="AC8" s="37">
        <f t="shared" si="8"/>
        <v>5.652472910151806E-6</v>
      </c>
      <c r="AD8" s="40">
        <f t="shared" ref="AD8:AD71" si="19">AB8+AC8</f>
        <v>5.652472910151806E-6</v>
      </c>
      <c r="AE8" s="39">
        <f>U8*W8</f>
        <v>2.2692792477867402E-5</v>
      </c>
      <c r="AF8" s="37">
        <f t="shared" ref="AF8:AF71" si="20">CHOOSE(V8,Z8*SQRT(W8/3),SQRT(W8*((Z8^2)+((Y8^2)/3)-(Z8*Y8))))</f>
        <v>1.2668950911651738E-2</v>
      </c>
      <c r="AG8" s="37">
        <f t="shared" si="9"/>
        <v>2.0223291967432022E-5</v>
      </c>
      <c r="AH8" s="37">
        <f t="shared" si="10"/>
        <v>2.1610026813779365E-4</v>
      </c>
      <c r="AI8" s="40">
        <f t="shared" ref="AI8:AI71" si="21">AG8+AH8</f>
        <v>2.3632356010522566E-4</v>
      </c>
      <c r="AJ8" s="39">
        <f t="shared" ref="AJ8:AJ71" si="22">X8*U8</f>
        <v>1.4094902160166089E-7</v>
      </c>
      <c r="AK8" s="37">
        <f t="shared" si="11"/>
        <v>9.9845320496050761E-4</v>
      </c>
      <c r="AL8" s="37">
        <f t="shared" si="12"/>
        <v>1.25E-4</v>
      </c>
      <c r="AM8" s="37">
        <f t="shared" si="13"/>
        <v>0.29622500000000002</v>
      </c>
      <c r="AN8" s="40">
        <f t="shared" ref="AN8:AN71" si="23">AL8+AM8</f>
        <v>0.29635</v>
      </c>
      <c r="AO8" s="39">
        <f t="shared" si="14"/>
        <v>5.2965764676607676E-6</v>
      </c>
      <c r="AP8" s="37">
        <f t="shared" si="15"/>
        <v>3.0375000000000006E-2</v>
      </c>
      <c r="AQ8" s="40">
        <f t="shared" si="16"/>
        <v>5.4000000000000003E-3</v>
      </c>
      <c r="AR8" s="39">
        <f t="shared" ref="AR8:AR71" si="24">AO8+AN8+AI8+AD8+AP8+AQ8</f>
        <v>0.33237227260948304</v>
      </c>
      <c r="AS8" s="37">
        <f t="shared" ref="AS8:AS71" si="25">R8*S8</f>
        <v>1.7299999999999999E-2</v>
      </c>
      <c r="AT8" s="40">
        <f t="shared" ref="AT8:AT71" si="26">(AS8/(AS8+AR8))*100</f>
        <v>4.947489794056616</v>
      </c>
    </row>
    <row r="9" spans="1:46" x14ac:dyDescent="0.2">
      <c r="N9" s="37" t="s">
        <v>233</v>
      </c>
      <c r="O9" s="37">
        <f>VIN_var</f>
        <v>12</v>
      </c>
      <c r="P9" t="s">
        <v>10</v>
      </c>
      <c r="Q9">
        <v>2</v>
      </c>
      <c r="R9" s="39">
        <f t="shared" si="0"/>
        <v>173</v>
      </c>
      <c r="S9" s="37">
        <f t="shared" si="1"/>
        <v>1.9999999999999998E-4</v>
      </c>
      <c r="T9" s="37">
        <f t="shared" si="2"/>
        <v>12</v>
      </c>
      <c r="U9" s="40">
        <f t="shared" si="3"/>
        <v>3.0350877192982461E-3</v>
      </c>
      <c r="V9" s="39">
        <f t="shared" si="4"/>
        <v>1</v>
      </c>
      <c r="W9" s="37">
        <f t="shared" si="5"/>
        <v>2.1147629234082536E-2</v>
      </c>
      <c r="X9" s="40">
        <f t="shared" si="6"/>
        <v>1.3135173437318342E-4</v>
      </c>
      <c r="Y9" s="39">
        <f t="shared" si="7"/>
        <v>0.2537715508089905</v>
      </c>
      <c r="Z9" s="37">
        <f t="shared" si="17"/>
        <v>0.2537715508089905</v>
      </c>
      <c r="AA9" s="37">
        <f t="shared" si="18"/>
        <v>2.1372617796053508E-2</v>
      </c>
      <c r="AB9" s="37">
        <v>0</v>
      </c>
      <c r="AC9" s="37">
        <f t="shared" si="8"/>
        <v>1.598760770096641E-5</v>
      </c>
      <c r="AD9" s="40">
        <f t="shared" si="19"/>
        <v>1.598760770096641E-5</v>
      </c>
      <c r="AE9" s="39">
        <f t="shared" ref="AE9:AE72" si="27">U9*W9</f>
        <v>6.4184909780636481E-5</v>
      </c>
      <c r="AF9" s="37">
        <f t="shared" si="20"/>
        <v>2.1306550813266455E-2</v>
      </c>
      <c r="AG9" s="37">
        <f t="shared" si="9"/>
        <v>5.7200107552346486E-5</v>
      </c>
      <c r="AH9" s="37">
        <f t="shared" si="10"/>
        <v>4.3220053627558729E-4</v>
      </c>
      <c r="AI9" s="40">
        <f t="shared" si="21"/>
        <v>4.8940064382793375E-4</v>
      </c>
      <c r="AJ9" s="39">
        <f t="shared" si="22"/>
        <v>3.986640359045743E-7</v>
      </c>
      <c r="AK9" s="37">
        <f t="shared" si="11"/>
        <v>1.6791914416997462E-3</v>
      </c>
      <c r="AL9" s="37">
        <f t="shared" si="12"/>
        <v>2.5000000000000001E-4</v>
      </c>
      <c r="AM9" s="37">
        <f t="shared" si="13"/>
        <v>0.29622500000000002</v>
      </c>
      <c r="AN9" s="40">
        <f t="shared" si="23"/>
        <v>0.29647499999999999</v>
      </c>
      <c r="AO9" s="39">
        <f t="shared" si="14"/>
        <v>1.498098054942408E-5</v>
      </c>
      <c r="AP9" s="37">
        <f t="shared" si="15"/>
        <v>3.0375000000000006E-2</v>
      </c>
      <c r="AQ9" s="40">
        <f t="shared" si="16"/>
        <v>5.4000000000000003E-3</v>
      </c>
      <c r="AR9" s="39">
        <f t="shared" si="24"/>
        <v>0.33277036923207826</v>
      </c>
      <c r="AS9" s="37">
        <f t="shared" si="25"/>
        <v>3.4599999999999999E-2</v>
      </c>
      <c r="AT9" s="40">
        <f t="shared" si="26"/>
        <v>9.4182881630669009</v>
      </c>
    </row>
    <row r="10" spans="1:46" x14ac:dyDescent="0.2">
      <c r="N10" s="37"/>
      <c r="O10" s="37"/>
      <c r="Q10">
        <v>3</v>
      </c>
      <c r="R10" s="39">
        <f t="shared" si="0"/>
        <v>173</v>
      </c>
      <c r="S10" s="37">
        <f t="shared" si="1"/>
        <v>2.9999999999999997E-4</v>
      </c>
      <c r="T10" s="37">
        <f t="shared" si="2"/>
        <v>12</v>
      </c>
      <c r="U10" s="40">
        <f t="shared" si="3"/>
        <v>4.5526315789473689E-3</v>
      </c>
      <c r="V10" s="39">
        <f t="shared" si="4"/>
        <v>1</v>
      </c>
      <c r="W10" s="37">
        <f t="shared" si="5"/>
        <v>2.590045044653342E-2</v>
      </c>
      <c r="X10" s="40">
        <f t="shared" si="6"/>
        <v>1.6087236302194671E-4</v>
      </c>
      <c r="Y10" s="39">
        <f t="shared" si="7"/>
        <v>0.31080540535840112</v>
      </c>
      <c r="Z10" s="37">
        <f t="shared" si="17"/>
        <v>0.31080540535840112</v>
      </c>
      <c r="AA10" s="37">
        <f t="shared" si="18"/>
        <v>2.8968510394352054E-2</v>
      </c>
      <c r="AB10" s="37">
        <v>0</v>
      </c>
      <c r="AC10" s="37">
        <f t="shared" si="8"/>
        <v>2.9371110806368909E-5</v>
      </c>
      <c r="AD10" s="40">
        <f t="shared" si="19"/>
        <v>2.9371110806368909E-5</v>
      </c>
      <c r="AE10" s="39">
        <f t="shared" si="27"/>
        <v>1.1791520861184953E-4</v>
      </c>
      <c r="AF10" s="37">
        <f t="shared" si="20"/>
        <v>2.8878963007323798E-2</v>
      </c>
      <c r="AG10" s="37">
        <f t="shared" si="9"/>
        <v>1.0508330755167543E-4</v>
      </c>
      <c r="AH10" s="37">
        <f t="shared" si="10"/>
        <v>6.4830080441338094E-4</v>
      </c>
      <c r="AI10" s="40">
        <f t="shared" si="21"/>
        <v>7.5338411196505632E-4</v>
      </c>
      <c r="AJ10" s="39">
        <f t="shared" si="22"/>
        <v>7.3239260007359956E-7</v>
      </c>
      <c r="AK10" s="37">
        <f t="shared" si="11"/>
        <v>2.2759811267465918E-3</v>
      </c>
      <c r="AL10" s="37">
        <f t="shared" si="12"/>
        <v>3.7499999999999995E-4</v>
      </c>
      <c r="AM10" s="37">
        <f t="shared" si="13"/>
        <v>0.29622500000000002</v>
      </c>
      <c r="AN10" s="40">
        <f t="shared" si="23"/>
        <v>0.29660000000000003</v>
      </c>
      <c r="AO10" s="39">
        <f t="shared" si="14"/>
        <v>2.7521818644486425E-5</v>
      </c>
      <c r="AP10" s="37">
        <f t="shared" si="15"/>
        <v>3.0375000000000006E-2</v>
      </c>
      <c r="AQ10" s="40">
        <f t="shared" si="16"/>
        <v>5.4000000000000003E-3</v>
      </c>
      <c r="AR10" s="39">
        <f t="shared" si="24"/>
        <v>0.33318527704141593</v>
      </c>
      <c r="AS10" s="37">
        <f t="shared" si="25"/>
        <v>5.1899999999999995E-2</v>
      </c>
      <c r="AT10" s="40">
        <f t="shared" si="26"/>
        <v>13.477534222742602</v>
      </c>
    </row>
    <row r="11" spans="1:46" x14ac:dyDescent="0.2">
      <c r="N11" s="37" t="s">
        <v>325</v>
      </c>
      <c r="O11" s="37">
        <v>150</v>
      </c>
      <c r="Q11">
        <v>4</v>
      </c>
      <c r="R11" s="39">
        <f t="shared" si="0"/>
        <v>173</v>
      </c>
      <c r="S11" s="37">
        <f t="shared" si="1"/>
        <v>3.9999999999999996E-4</v>
      </c>
      <c r="T11" s="37">
        <f t="shared" si="2"/>
        <v>12</v>
      </c>
      <c r="U11" s="40">
        <f t="shared" si="3"/>
        <v>6.0701754385964922E-3</v>
      </c>
      <c r="V11" s="39">
        <f t="shared" si="4"/>
        <v>1</v>
      </c>
      <c r="W11" s="37">
        <f t="shared" si="5"/>
        <v>2.9907264074877267E-2</v>
      </c>
      <c r="X11" s="40">
        <f t="shared" si="6"/>
        <v>1.8575940419178426E-4</v>
      </c>
      <c r="Y11" s="39">
        <f t="shared" si="7"/>
        <v>0.35888716889852729</v>
      </c>
      <c r="Z11" s="37">
        <f t="shared" si="17"/>
        <v>0.35888716889852729</v>
      </c>
      <c r="AA11" s="37">
        <f t="shared" si="18"/>
        <v>3.5944315378578277E-2</v>
      </c>
      <c r="AB11" s="37">
        <v>0</v>
      </c>
      <c r="AC11" s="37">
        <f t="shared" si="8"/>
        <v>4.5219783281214461E-5</v>
      </c>
      <c r="AD11" s="40">
        <f t="shared" si="19"/>
        <v>4.5219783281214461E-5</v>
      </c>
      <c r="AE11" s="39">
        <f t="shared" si="27"/>
        <v>1.8154233982293922E-4</v>
      </c>
      <c r="AF11" s="37">
        <f t="shared" si="20"/>
        <v>3.5833204400593753E-2</v>
      </c>
      <c r="AG11" s="37">
        <f t="shared" si="9"/>
        <v>1.6178633573945617E-4</v>
      </c>
      <c r="AH11" s="37">
        <f t="shared" si="10"/>
        <v>8.6440107255117459E-4</v>
      </c>
      <c r="AI11" s="40">
        <f t="shared" si="21"/>
        <v>1.0261874082906307E-3</v>
      </c>
      <c r="AJ11" s="39">
        <f t="shared" si="22"/>
        <v>1.1275921728132871E-6</v>
      </c>
      <c r="AK11" s="37">
        <f t="shared" si="11"/>
        <v>2.8240521277000672E-3</v>
      </c>
      <c r="AL11" s="37">
        <f t="shared" si="12"/>
        <v>5.0000000000000001E-4</v>
      </c>
      <c r="AM11" s="37">
        <f t="shared" si="13"/>
        <v>0.29622500000000002</v>
      </c>
      <c r="AN11" s="40">
        <f t="shared" si="23"/>
        <v>0.29672500000000002</v>
      </c>
      <c r="AO11" s="39">
        <f t="shared" si="14"/>
        <v>4.237261174128614E-5</v>
      </c>
      <c r="AP11" s="37">
        <f t="shared" si="15"/>
        <v>3.0375000000000006E-2</v>
      </c>
      <c r="AQ11" s="40">
        <f t="shared" si="16"/>
        <v>5.4000000000000003E-3</v>
      </c>
      <c r="AR11" s="39">
        <f t="shared" si="24"/>
        <v>0.33361377980331314</v>
      </c>
      <c r="AS11" s="37">
        <f t="shared" si="25"/>
        <v>6.9199999999999998E-2</v>
      </c>
      <c r="AT11" s="40">
        <f t="shared" si="26"/>
        <v>17.179154107833437</v>
      </c>
    </row>
    <row r="12" spans="1:46" x14ac:dyDescent="0.2">
      <c r="N12" s="37" t="s">
        <v>326</v>
      </c>
      <c r="O12" s="37">
        <f>IOUT/(O11)</f>
        <v>9.9999999999999991E-5</v>
      </c>
      <c r="Q12">
        <v>5</v>
      </c>
      <c r="R12" s="39">
        <f t="shared" si="0"/>
        <v>173</v>
      </c>
      <c r="S12" s="37">
        <f t="shared" si="1"/>
        <v>5.0000000000000001E-4</v>
      </c>
      <c r="T12" s="37">
        <f t="shared" si="2"/>
        <v>12</v>
      </c>
      <c r="U12" s="40">
        <f t="shared" si="3"/>
        <v>7.5877192982456154E-3</v>
      </c>
      <c r="V12" s="39">
        <f t="shared" si="4"/>
        <v>1</v>
      </c>
      <c r="W12" s="37">
        <f t="shared" si="5"/>
        <v>3.3437337746231463E-2</v>
      </c>
      <c r="X12" s="40">
        <f t="shared" si="6"/>
        <v>2.076853276163445E-4</v>
      </c>
      <c r="Y12" s="39">
        <f t="shared" si="7"/>
        <v>0.40124805295477761</v>
      </c>
      <c r="Z12" s="37">
        <f t="shared" si="17"/>
        <v>0.40124805295477761</v>
      </c>
      <c r="AA12" s="37">
        <f t="shared" si="18"/>
        <v>4.2492543325817755E-2</v>
      </c>
      <c r="AB12" s="37">
        <v>0</v>
      </c>
      <c r="AC12" s="37">
        <f t="shared" si="8"/>
        <v>6.3196568340377469E-5</v>
      </c>
      <c r="AD12" s="40">
        <f t="shared" si="19"/>
        <v>6.3196568340377469E-5</v>
      </c>
      <c r="AE12" s="39">
        <f t="shared" si="27"/>
        <v>2.5371313289903702E-4</v>
      </c>
      <c r="AF12" s="37">
        <f t="shared" si="20"/>
        <v>4.2361190481946503E-2</v>
      </c>
      <c r="AG12" s="37">
        <f t="shared" si="9"/>
        <v>2.2610327784001712E-4</v>
      </c>
      <c r="AH12" s="37">
        <f t="shared" si="10"/>
        <v>1.0805013406889681E-3</v>
      </c>
      <c r="AI12" s="40">
        <f t="shared" si="21"/>
        <v>1.3066046185289852E-3</v>
      </c>
      <c r="AJ12" s="39">
        <f t="shared" si="22"/>
        <v>1.5758579683170002E-6</v>
      </c>
      <c r="AK12" s="37">
        <f t="shared" si="11"/>
        <v>3.3385295039498786E-3</v>
      </c>
      <c r="AL12" s="37">
        <f t="shared" si="12"/>
        <v>6.2500000000000001E-4</v>
      </c>
      <c r="AM12" s="37">
        <f t="shared" si="13"/>
        <v>0.29622500000000002</v>
      </c>
      <c r="AN12" s="40">
        <f t="shared" si="23"/>
        <v>0.29685</v>
      </c>
      <c r="AO12" s="39">
        <f t="shared" si="14"/>
        <v>5.9217525148575917E-5</v>
      </c>
      <c r="AP12" s="37">
        <f t="shared" si="15"/>
        <v>3.0375000000000006E-2</v>
      </c>
      <c r="AQ12" s="40">
        <f t="shared" si="16"/>
        <v>5.4000000000000003E-3</v>
      </c>
      <c r="AR12" s="39">
        <f t="shared" si="24"/>
        <v>0.33405401871201795</v>
      </c>
      <c r="AS12" s="37">
        <f t="shared" si="25"/>
        <v>8.6500000000000007E-2</v>
      </c>
      <c r="AT12" s="40">
        <f t="shared" si="26"/>
        <v>20.568106866488524</v>
      </c>
    </row>
    <row r="13" spans="1:46" x14ac:dyDescent="0.2">
      <c r="Q13">
        <v>6</v>
      </c>
      <c r="R13" s="39">
        <f t="shared" si="0"/>
        <v>173</v>
      </c>
      <c r="S13" s="37">
        <f t="shared" si="1"/>
        <v>5.9999999999999995E-4</v>
      </c>
      <c r="T13" s="37">
        <f t="shared" si="2"/>
        <v>12</v>
      </c>
      <c r="U13" s="40">
        <f t="shared" si="3"/>
        <v>9.1052631578947378E-3</v>
      </c>
      <c r="V13" s="39">
        <f t="shared" si="4"/>
        <v>1</v>
      </c>
      <c r="W13" s="37">
        <f t="shared" si="5"/>
        <v>3.6628768293059846E-2</v>
      </c>
      <c r="X13" s="40">
        <f t="shared" si="6"/>
        <v>2.2750787759664502E-4</v>
      </c>
      <c r="Y13" s="39">
        <f t="shared" si="7"/>
        <v>0.43954521951671821</v>
      </c>
      <c r="Z13" s="37">
        <f t="shared" si="17"/>
        <v>0.43954521951671821</v>
      </c>
      <c r="AA13" s="37">
        <f t="shared" si="18"/>
        <v>4.8719033091701211E-2</v>
      </c>
      <c r="AB13" s="37">
        <v>0</v>
      </c>
      <c r="AC13" s="37">
        <f t="shared" si="8"/>
        <v>8.3074046488659735E-5</v>
      </c>
      <c r="AD13" s="40">
        <f t="shared" si="19"/>
        <v>8.3074046488659735E-5</v>
      </c>
      <c r="AE13" s="39">
        <f t="shared" si="27"/>
        <v>3.3351457445786076E-4</v>
      </c>
      <c r="AF13" s="37">
        <f t="shared" si="20"/>
        <v>4.8568432938206417E-2</v>
      </c>
      <c r="AG13" s="37">
        <f t="shared" si="9"/>
        <v>2.9722047743720479E-4</v>
      </c>
      <c r="AH13" s="37">
        <f t="shared" si="10"/>
        <v>1.2966016088267619E-3</v>
      </c>
      <c r="AI13" s="40">
        <f t="shared" si="21"/>
        <v>1.5938220862639666E-3</v>
      </c>
      <c r="AJ13" s="39">
        <f t="shared" si="22"/>
        <v>2.0715190960115576E-6</v>
      </c>
      <c r="AK13" s="37">
        <f t="shared" si="11"/>
        <v>3.8277287413326375E-3</v>
      </c>
      <c r="AL13" s="37">
        <f t="shared" si="12"/>
        <v>7.4999999999999991E-4</v>
      </c>
      <c r="AM13" s="37">
        <f t="shared" si="13"/>
        <v>0.29622500000000002</v>
      </c>
      <c r="AN13" s="40">
        <f t="shared" si="23"/>
        <v>0.29697499999999999</v>
      </c>
      <c r="AO13" s="39">
        <f t="shared" si="14"/>
        <v>7.7843458376410782E-5</v>
      </c>
      <c r="AP13" s="37">
        <f t="shared" si="15"/>
        <v>3.0375000000000006E-2</v>
      </c>
      <c r="AQ13" s="40">
        <f t="shared" si="16"/>
        <v>5.4000000000000003E-3</v>
      </c>
      <c r="AR13" s="39">
        <f t="shared" si="24"/>
        <v>0.33450473959112903</v>
      </c>
      <c r="AS13" s="37">
        <f t="shared" si="25"/>
        <v>0.10379999999999999</v>
      </c>
      <c r="AT13" s="40">
        <f t="shared" si="26"/>
        <v>23.682153219887478</v>
      </c>
    </row>
    <row r="14" spans="1:46" x14ac:dyDescent="0.2">
      <c r="Q14">
        <v>7</v>
      </c>
      <c r="R14" s="39">
        <f t="shared" si="0"/>
        <v>173</v>
      </c>
      <c r="S14" s="37">
        <f t="shared" si="1"/>
        <v>6.9999999999999988E-4</v>
      </c>
      <c r="T14" s="37">
        <f t="shared" si="2"/>
        <v>12</v>
      </c>
      <c r="U14" s="40">
        <f t="shared" si="3"/>
        <v>1.062280701754386E-2</v>
      </c>
      <c r="V14" s="39">
        <f t="shared" si="4"/>
        <v>1</v>
      </c>
      <c r="W14" s="37">
        <f t="shared" si="5"/>
        <v>3.9563591568230728E-2</v>
      </c>
      <c r="X14" s="40">
        <f t="shared" si="6"/>
        <v>2.4573659359149516E-4</v>
      </c>
      <c r="Y14" s="39">
        <f t="shared" si="7"/>
        <v>0.47476309881876883</v>
      </c>
      <c r="Z14" s="37">
        <f t="shared" si="17"/>
        <v>0.47476309881876883</v>
      </c>
      <c r="AA14" s="37">
        <f t="shared" si="18"/>
        <v>5.4690104429944576E-2</v>
      </c>
      <c r="AB14" s="37">
        <v>0</v>
      </c>
      <c r="AC14" s="37">
        <f t="shared" si="8"/>
        <v>1.0468526328953852E-4</v>
      </c>
      <c r="AD14" s="40">
        <f t="shared" si="19"/>
        <v>1.0468526328953852E-4</v>
      </c>
      <c r="AE14" s="39">
        <f t="shared" si="27"/>
        <v>4.2027639815024051E-4</v>
      </c>
      <c r="AF14" s="37">
        <f t="shared" si="20"/>
        <v>5.4521046515632256E-2</v>
      </c>
      <c r="AG14" s="37">
        <f t="shared" si="9"/>
        <v>3.7454060865812675E-4</v>
      </c>
      <c r="AH14" s="37">
        <f t="shared" si="10"/>
        <v>1.5127018769645556E-3</v>
      </c>
      <c r="AI14" s="40">
        <f t="shared" si="21"/>
        <v>1.8872424856226824E-3</v>
      </c>
      <c r="AJ14" s="39">
        <f t="shared" si="22"/>
        <v>2.6104124108710586E-6</v>
      </c>
      <c r="AK14" s="37">
        <f t="shared" si="11"/>
        <v>4.2968604118015829E-3</v>
      </c>
      <c r="AL14" s="37">
        <f t="shared" si="12"/>
        <v>8.7499999999999991E-4</v>
      </c>
      <c r="AM14" s="37">
        <f t="shared" si="13"/>
        <v>0.29622500000000002</v>
      </c>
      <c r="AN14" s="40">
        <f t="shared" si="23"/>
        <v>0.29710000000000003</v>
      </c>
      <c r="AO14" s="39">
        <f t="shared" si="14"/>
        <v>9.8093968934271302E-5</v>
      </c>
      <c r="AP14" s="37">
        <f t="shared" si="15"/>
        <v>3.0375000000000006E-2</v>
      </c>
      <c r="AQ14" s="40">
        <f t="shared" si="16"/>
        <v>5.4000000000000003E-3</v>
      </c>
      <c r="AR14" s="39">
        <f t="shared" si="24"/>
        <v>0.33496502171784653</v>
      </c>
      <c r="AS14" s="37">
        <f t="shared" si="25"/>
        <v>0.12109999999999999</v>
      </c>
      <c r="AT14" s="40">
        <f t="shared" si="26"/>
        <v>26.553231279140029</v>
      </c>
    </row>
    <row r="15" spans="1:46" x14ac:dyDescent="0.2">
      <c r="O15">
        <f>0.205*2.5/(Lm*Fsw)</f>
        <v>0.51250000000000007</v>
      </c>
      <c r="Q15">
        <v>8</v>
      </c>
      <c r="R15" s="39">
        <f t="shared" si="0"/>
        <v>173</v>
      </c>
      <c r="S15" s="37">
        <f t="shared" si="1"/>
        <v>7.9999999999999993E-4</v>
      </c>
      <c r="T15" s="37">
        <f t="shared" si="2"/>
        <v>12</v>
      </c>
      <c r="U15" s="40">
        <f t="shared" si="3"/>
        <v>1.2140350877192984E-2</v>
      </c>
      <c r="V15" s="39">
        <f t="shared" si="4"/>
        <v>1</v>
      </c>
      <c r="W15" s="37">
        <f t="shared" si="5"/>
        <v>4.2295258468165071E-2</v>
      </c>
      <c r="X15" s="40">
        <f t="shared" si="6"/>
        <v>2.6270346874636684E-4</v>
      </c>
      <c r="Y15" s="39">
        <f t="shared" si="7"/>
        <v>0.507543101617981</v>
      </c>
      <c r="Z15" s="37">
        <f t="shared" si="17"/>
        <v>0.507543101617981</v>
      </c>
      <c r="AA15" s="37">
        <f t="shared" si="18"/>
        <v>6.0450891901190879E-2</v>
      </c>
      <c r="AB15" s="37">
        <v>0</v>
      </c>
      <c r="AC15" s="37">
        <f t="shared" si="8"/>
        <v>1.2790086160773128E-4</v>
      </c>
      <c r="AD15" s="40">
        <f t="shared" si="19"/>
        <v>1.2790086160773128E-4</v>
      </c>
      <c r="AE15" s="39">
        <f t="shared" si="27"/>
        <v>5.1347927824509185E-4</v>
      </c>
      <c r="AF15" s="37">
        <f t="shared" si="20"/>
        <v>6.0264026255025832E-2</v>
      </c>
      <c r="AG15" s="37">
        <f t="shared" si="9"/>
        <v>4.5760086041877178E-4</v>
      </c>
      <c r="AH15" s="37">
        <f t="shared" si="10"/>
        <v>1.7288021451023492E-3</v>
      </c>
      <c r="AI15" s="40">
        <f t="shared" si="21"/>
        <v>2.1864030055211208E-3</v>
      </c>
      <c r="AJ15" s="39">
        <f t="shared" si="22"/>
        <v>3.1893122872365944E-6</v>
      </c>
      <c r="AK15" s="37">
        <f t="shared" si="11"/>
        <v>4.7494706213452231E-3</v>
      </c>
      <c r="AL15" s="37">
        <f t="shared" si="12"/>
        <v>1E-3</v>
      </c>
      <c r="AM15" s="37">
        <f t="shared" si="13"/>
        <v>0.29622500000000002</v>
      </c>
      <c r="AN15" s="40">
        <f t="shared" si="23"/>
        <v>0.29722500000000002</v>
      </c>
      <c r="AO15" s="39">
        <f t="shared" si="14"/>
        <v>1.1984784439539262E-4</v>
      </c>
      <c r="AP15" s="37">
        <f t="shared" si="15"/>
        <v>3.0375000000000006E-2</v>
      </c>
      <c r="AQ15" s="40">
        <f t="shared" si="16"/>
        <v>5.4000000000000003E-3</v>
      </c>
      <c r="AR15" s="39">
        <f t="shared" si="24"/>
        <v>0.3354341517115243</v>
      </c>
      <c r="AS15" s="37">
        <f t="shared" si="25"/>
        <v>0.1384</v>
      </c>
      <c r="AT15" s="40">
        <f t="shared" si="26"/>
        <v>29.20853203596424</v>
      </c>
    </row>
    <row r="16" spans="1:46" x14ac:dyDescent="0.2">
      <c r="Q16">
        <v>9</v>
      </c>
      <c r="R16" s="39">
        <f t="shared" si="0"/>
        <v>173</v>
      </c>
      <c r="S16" s="37">
        <f t="shared" si="1"/>
        <v>8.9999999999999998E-4</v>
      </c>
      <c r="T16" s="37">
        <f t="shared" si="2"/>
        <v>12</v>
      </c>
      <c r="U16" s="40">
        <f t="shared" si="3"/>
        <v>1.3657894736842107E-2</v>
      </c>
      <c r="V16" s="39">
        <f t="shared" si="4"/>
        <v>1</v>
      </c>
      <c r="W16" s="37">
        <f t="shared" si="5"/>
        <v>4.4860896112315904E-2</v>
      </c>
      <c r="X16" s="40">
        <f t="shared" si="6"/>
        <v>2.7863910628767637E-4</v>
      </c>
      <c r="Y16" s="39">
        <f t="shared" si="7"/>
        <v>0.5383307533477909</v>
      </c>
      <c r="Z16" s="37">
        <f t="shared" ref="Z16:Z79" si="28">CHOOSE(V16,Y16,U16+(0.5*Y16))</f>
        <v>0.5383307533477909</v>
      </c>
      <c r="AA16" s="37">
        <f t="shared" ref="AA16:AA79" si="29">CHOOSE(V16,Z16*SQRT((W16+X16)/3),SQRT((U16^2)+((Y16^2)/12)))</f>
        <v>6.6033923873393338E-2</v>
      </c>
      <c r="AB16" s="37">
        <v>0</v>
      </c>
      <c r="AC16" s="37">
        <f t="shared" si="8"/>
        <v>1.5261676857409876E-4</v>
      </c>
      <c r="AD16" s="40">
        <f t="shared" si="19"/>
        <v>1.5261676857409876E-4</v>
      </c>
      <c r="AE16" s="39">
        <f t="shared" si="27"/>
        <v>6.1270539690241996E-4</v>
      </c>
      <c r="AF16" s="37">
        <f t="shared" si="20"/>
        <v>6.5829799972730571E-2</v>
      </c>
      <c r="AG16" s="37">
        <f t="shared" si="9"/>
        <v>5.4602888312066443E-4</v>
      </c>
      <c r="AH16" s="37">
        <f t="shared" si="10"/>
        <v>1.9449024132401429E-3</v>
      </c>
      <c r="AI16" s="40">
        <f t="shared" si="21"/>
        <v>2.4909312963608075E-3</v>
      </c>
      <c r="AJ16" s="39">
        <f t="shared" si="22"/>
        <v>3.8056235832448435E-6</v>
      </c>
      <c r="AK16" s="37">
        <f t="shared" si="11"/>
        <v>5.1881150399147417E-3</v>
      </c>
      <c r="AL16" s="37">
        <f t="shared" si="12"/>
        <v>1.1249999999999999E-3</v>
      </c>
      <c r="AM16" s="37">
        <f t="shared" si="13"/>
        <v>0.29622500000000002</v>
      </c>
      <c r="AN16" s="40">
        <f t="shared" si="23"/>
        <v>0.29735</v>
      </c>
      <c r="AO16" s="39">
        <f t="shared" si="14"/>
        <v>1.4300756462684071E-4</v>
      </c>
      <c r="AP16" s="37">
        <f t="shared" si="15"/>
        <v>3.0375000000000006E-2</v>
      </c>
      <c r="AQ16" s="40">
        <f t="shared" si="16"/>
        <v>5.4000000000000003E-3</v>
      </c>
      <c r="AR16" s="39">
        <f t="shared" si="24"/>
        <v>0.33591155562956171</v>
      </c>
      <c r="AS16" s="37">
        <f t="shared" si="25"/>
        <v>0.15570000000000001</v>
      </c>
      <c r="AT16" s="40">
        <f t="shared" si="26"/>
        <v>31.671346659174709</v>
      </c>
    </row>
    <row r="17" spans="17:46" x14ac:dyDescent="0.2">
      <c r="Q17">
        <v>10</v>
      </c>
      <c r="R17" s="39">
        <f t="shared" si="0"/>
        <v>173</v>
      </c>
      <c r="S17" s="37">
        <f t="shared" si="1"/>
        <v>1E-3</v>
      </c>
      <c r="T17" s="37">
        <f t="shared" si="2"/>
        <v>12</v>
      </c>
      <c r="U17" s="40">
        <f t="shared" si="3"/>
        <v>1.5175438596491231E-2</v>
      </c>
      <c r="V17" s="39">
        <f t="shared" si="4"/>
        <v>1</v>
      </c>
      <c r="W17" s="37">
        <f t="shared" si="5"/>
        <v>4.728753653037035E-2</v>
      </c>
      <c r="X17" s="40">
        <f t="shared" si="6"/>
        <v>2.9371140702093382E-4</v>
      </c>
      <c r="Y17" s="39">
        <f t="shared" si="7"/>
        <v>0.56745043836444431</v>
      </c>
      <c r="Z17" s="37">
        <f t="shared" si="28"/>
        <v>0.56745043836444431</v>
      </c>
      <c r="AA17" s="37">
        <f t="shared" si="29"/>
        <v>7.1463654715386599E-2</v>
      </c>
      <c r="AB17" s="37">
        <v>0</v>
      </c>
      <c r="AC17" s="37">
        <f t="shared" si="8"/>
        <v>1.787468880847999E-4</v>
      </c>
      <c r="AD17" s="40">
        <f t="shared" si="19"/>
        <v>1.787468880847999E-4</v>
      </c>
      <c r="AE17" s="39">
        <f t="shared" si="27"/>
        <v>7.1760910699597124E-4</v>
      </c>
      <c r="AF17" s="37">
        <f t="shared" si="20"/>
        <v>7.1242746444297164E-2</v>
      </c>
      <c r="AG17" s="37">
        <f t="shared" si="9"/>
        <v>6.3951664403672837E-4</v>
      </c>
      <c r="AH17" s="37">
        <f t="shared" si="10"/>
        <v>2.1610026813779363E-3</v>
      </c>
      <c r="AI17" s="40">
        <f t="shared" si="21"/>
        <v>2.8005193254146644E-3</v>
      </c>
      <c r="AJ17" s="39">
        <f t="shared" si="22"/>
        <v>4.4571994223352244E-6</v>
      </c>
      <c r="AK17" s="37">
        <f t="shared" si="11"/>
        <v>5.6147149841804279E-3</v>
      </c>
      <c r="AL17" s="37">
        <f t="shared" si="12"/>
        <v>1.25E-3</v>
      </c>
      <c r="AM17" s="37">
        <f t="shared" si="13"/>
        <v>0.29622500000000002</v>
      </c>
      <c r="AN17" s="40">
        <f t="shared" si="23"/>
        <v>0.29747499999999999</v>
      </c>
      <c r="AO17" s="39">
        <f t="shared" si="14"/>
        <v>1.6749245439057173E-4</v>
      </c>
      <c r="AP17" s="37">
        <f t="shared" si="15"/>
        <v>3.0375000000000006E-2</v>
      </c>
      <c r="AQ17" s="40">
        <f t="shared" si="16"/>
        <v>5.4000000000000003E-3</v>
      </c>
      <c r="AR17" s="39">
        <f t="shared" si="24"/>
        <v>0.33639675866788998</v>
      </c>
      <c r="AS17" s="37">
        <f t="shared" si="25"/>
        <v>0.17300000000000001</v>
      </c>
      <c r="AT17" s="40">
        <f t="shared" si="26"/>
        <v>33.961739460692236</v>
      </c>
    </row>
    <row r="18" spans="17:46" x14ac:dyDescent="0.2">
      <c r="Q18">
        <v>11</v>
      </c>
      <c r="R18" s="39">
        <f t="shared" si="0"/>
        <v>173</v>
      </c>
      <c r="S18" s="37">
        <f t="shared" si="1"/>
        <v>1.0999999999999998E-3</v>
      </c>
      <c r="T18" s="37">
        <f t="shared" si="2"/>
        <v>12</v>
      </c>
      <c r="U18" s="40">
        <f t="shared" si="3"/>
        <v>1.669298245614035E-2</v>
      </c>
      <c r="V18" s="39">
        <f t="shared" si="4"/>
        <v>1</v>
      </c>
      <c r="W18" s="37">
        <f t="shared" si="5"/>
        <v>4.9595586721221697E-2</v>
      </c>
      <c r="X18" s="40">
        <f t="shared" si="6"/>
        <v>3.0804712249206021E-4</v>
      </c>
      <c r="Y18" s="39">
        <f t="shared" si="7"/>
        <v>0.59514704065466051</v>
      </c>
      <c r="Z18" s="37">
        <f t="shared" si="28"/>
        <v>0.59514704065466051</v>
      </c>
      <c r="AA18" s="37">
        <f t="shared" si="29"/>
        <v>7.6759075701060525E-2</v>
      </c>
      <c r="AB18" s="37">
        <v>0</v>
      </c>
      <c r="AC18" s="37">
        <f t="shared" si="8"/>
        <v>2.0621844958683991E-4</v>
      </c>
      <c r="AD18" s="40">
        <f t="shared" si="19"/>
        <v>2.0621844958683991E-4</v>
      </c>
      <c r="AE18" s="39">
        <f t="shared" si="27"/>
        <v>8.2789825903934106E-4</v>
      </c>
      <c r="AF18" s="37">
        <f t="shared" si="20"/>
        <v>7.6521798237837058E-2</v>
      </c>
      <c r="AG18" s="37">
        <f t="shared" si="9"/>
        <v>7.3780378629958261E-4</v>
      </c>
      <c r="AH18" s="37">
        <f t="shared" si="10"/>
        <v>2.3771029495157294E-3</v>
      </c>
      <c r="AI18" s="40">
        <f t="shared" si="21"/>
        <v>3.1149067358153121E-3</v>
      </c>
      <c r="AJ18" s="39">
        <f t="shared" si="22"/>
        <v>5.1422252114244784E-6</v>
      </c>
      <c r="AK18" s="37">
        <f t="shared" si="11"/>
        <v>6.030762549536826E-3</v>
      </c>
      <c r="AL18" s="37">
        <f t="shared" si="12"/>
        <v>1.3749999999999999E-3</v>
      </c>
      <c r="AM18" s="37">
        <f t="shared" si="13"/>
        <v>0.29622500000000002</v>
      </c>
      <c r="AN18" s="40">
        <f t="shared" si="23"/>
        <v>0.29760000000000003</v>
      </c>
      <c r="AO18" s="39">
        <f t="shared" si="14"/>
        <v>1.9323432498322403E-4</v>
      </c>
      <c r="AP18" s="37">
        <f t="shared" si="15"/>
        <v>3.0375000000000006E-2</v>
      </c>
      <c r="AQ18" s="40">
        <f t="shared" si="16"/>
        <v>5.4000000000000003E-3</v>
      </c>
      <c r="AR18" s="39">
        <f t="shared" si="24"/>
        <v>0.33688935951038546</v>
      </c>
      <c r="AS18" s="37">
        <f t="shared" si="25"/>
        <v>0.19029999999999997</v>
      </c>
      <c r="AT18" s="40">
        <f t="shared" si="26"/>
        <v>36.097086666683978</v>
      </c>
    </row>
    <row r="19" spans="17:46" x14ac:dyDescent="0.2">
      <c r="Q19">
        <v>12</v>
      </c>
      <c r="R19" s="39">
        <f t="shared" si="0"/>
        <v>173</v>
      </c>
      <c r="S19" s="37">
        <f t="shared" si="1"/>
        <v>1.1999999999999999E-3</v>
      </c>
      <c r="T19" s="37">
        <f t="shared" si="2"/>
        <v>12</v>
      </c>
      <c r="U19" s="40">
        <f t="shared" si="3"/>
        <v>1.8210526315789476E-2</v>
      </c>
      <c r="V19" s="39">
        <f t="shared" si="4"/>
        <v>1</v>
      </c>
      <c r="W19" s="37">
        <f t="shared" si="5"/>
        <v>5.180090089306684E-2</v>
      </c>
      <c r="X19" s="40">
        <f t="shared" si="6"/>
        <v>3.2174472604389341E-4</v>
      </c>
      <c r="Y19" s="39">
        <f t="shared" si="7"/>
        <v>0.62161081071680224</v>
      </c>
      <c r="Z19" s="37">
        <f t="shared" si="28"/>
        <v>0.62161081071680224</v>
      </c>
      <c r="AA19" s="37">
        <f t="shared" si="29"/>
        <v>8.1935320562877306E-2</v>
      </c>
      <c r="AB19" s="37">
        <v>0</v>
      </c>
      <c r="AC19" s="37">
        <f t="shared" si="8"/>
        <v>2.349688864509513E-4</v>
      </c>
      <c r="AD19" s="40">
        <f t="shared" si="19"/>
        <v>2.349688864509513E-4</v>
      </c>
      <c r="AE19" s="39">
        <f t="shared" si="27"/>
        <v>9.4332166889479622E-4</v>
      </c>
      <c r="AF19" s="37">
        <f t="shared" si="20"/>
        <v>8.1682042304456443E-2</v>
      </c>
      <c r="AG19" s="37">
        <f t="shared" si="9"/>
        <v>8.4066646041340359E-4</v>
      </c>
      <c r="AH19" s="37">
        <f t="shared" si="10"/>
        <v>2.5932032176535238E-3</v>
      </c>
      <c r="AI19" s="40">
        <f t="shared" si="21"/>
        <v>3.4338696780669272E-3</v>
      </c>
      <c r="AJ19" s="39">
        <f t="shared" si="22"/>
        <v>5.8591408005887965E-6</v>
      </c>
      <c r="AK19" s="37">
        <f t="shared" si="11"/>
        <v>6.4374467543004575E-3</v>
      </c>
      <c r="AL19" s="37">
        <f t="shared" si="12"/>
        <v>1.4999999999999998E-3</v>
      </c>
      <c r="AM19" s="37">
        <f t="shared" si="13"/>
        <v>0.29622500000000002</v>
      </c>
      <c r="AN19" s="40">
        <f t="shared" si="23"/>
        <v>0.29772500000000002</v>
      </c>
      <c r="AO19" s="39">
        <f t="shared" si="14"/>
        <v>2.2017454915589142E-4</v>
      </c>
      <c r="AP19" s="37">
        <f t="shared" si="15"/>
        <v>3.0375000000000006E-2</v>
      </c>
      <c r="AQ19" s="40">
        <f t="shared" si="16"/>
        <v>5.4000000000000003E-3</v>
      </c>
      <c r="AR19" s="39">
        <f t="shared" si="24"/>
        <v>0.33738901311367381</v>
      </c>
      <c r="AS19" s="37">
        <f t="shared" si="25"/>
        <v>0.20759999999999998</v>
      </c>
      <c r="AT19" s="40">
        <f t="shared" si="26"/>
        <v>38.092511042364592</v>
      </c>
    </row>
    <row r="20" spans="17:46" x14ac:dyDescent="0.2">
      <c r="Q20">
        <v>13</v>
      </c>
      <c r="R20" s="39">
        <f t="shared" si="0"/>
        <v>173</v>
      </c>
      <c r="S20" s="37">
        <f t="shared" si="1"/>
        <v>1.2999999999999999E-3</v>
      </c>
      <c r="T20" s="37">
        <f t="shared" si="2"/>
        <v>12</v>
      </c>
      <c r="U20" s="40">
        <f t="shared" si="3"/>
        <v>1.9728070175438598E-2</v>
      </c>
      <c r="V20" s="39">
        <f t="shared" si="4"/>
        <v>1</v>
      </c>
      <c r="W20" s="37">
        <f t="shared" si="5"/>
        <v>5.3916087065406036E-2</v>
      </c>
      <c r="X20" s="40">
        <f t="shared" si="6"/>
        <v>3.3488252835655918E-4</v>
      </c>
      <c r="Y20" s="39">
        <f t="shared" si="7"/>
        <v>0.64699304478487252</v>
      </c>
      <c r="Z20" s="37">
        <f t="shared" si="28"/>
        <v>0.64699304478487252</v>
      </c>
      <c r="AA20" s="37">
        <f t="shared" si="29"/>
        <v>8.7004704608331443E-2</v>
      </c>
      <c r="AB20" s="37">
        <v>0</v>
      </c>
      <c r="AC20" s="37">
        <f t="shared" si="8"/>
        <v>2.6494365183940538E-4</v>
      </c>
      <c r="AD20" s="40">
        <f t="shared" si="19"/>
        <v>2.6494365183940538E-4</v>
      </c>
      <c r="AE20" s="39">
        <f t="shared" si="27"/>
        <v>1.0636603492113876E-3</v>
      </c>
      <c r="AF20" s="37">
        <f t="shared" si="20"/>
        <v>8.6735755882601975E-2</v>
      </c>
      <c r="AG20" s="37">
        <f t="shared" si="9"/>
        <v>9.4790950991431675E-4</v>
      </c>
      <c r="AH20" s="37">
        <f t="shared" si="10"/>
        <v>2.8093034857913173E-3</v>
      </c>
      <c r="AI20" s="40">
        <f t="shared" si="21"/>
        <v>3.7572129957056341E-3</v>
      </c>
      <c r="AJ20" s="39">
        <f t="shared" si="22"/>
        <v>6.6065860199465057E-6</v>
      </c>
      <c r="AK20" s="37">
        <f t="shared" si="11"/>
        <v>6.8357351804092898E-3</v>
      </c>
      <c r="AL20" s="37">
        <f t="shared" si="12"/>
        <v>1.6249999999999999E-3</v>
      </c>
      <c r="AM20" s="37">
        <f t="shared" si="13"/>
        <v>0.29622500000000002</v>
      </c>
      <c r="AN20" s="40">
        <f t="shared" si="23"/>
        <v>0.29785</v>
      </c>
      <c r="AO20" s="39">
        <f t="shared" si="14"/>
        <v>2.4826201450136865E-4</v>
      </c>
      <c r="AP20" s="37">
        <f t="shared" si="15"/>
        <v>3.0375000000000006E-2</v>
      </c>
      <c r="AQ20" s="40">
        <f t="shared" si="16"/>
        <v>5.4000000000000003E-3</v>
      </c>
      <c r="AR20" s="39">
        <f t="shared" si="24"/>
        <v>0.33789541866204637</v>
      </c>
      <c r="AS20" s="37">
        <f t="shared" si="25"/>
        <v>0.22489999999999999</v>
      </c>
      <c r="AT20" s="40">
        <f t="shared" si="26"/>
        <v>39.961235031845646</v>
      </c>
    </row>
    <row r="21" spans="17:46" x14ac:dyDescent="0.2">
      <c r="Q21">
        <v>14</v>
      </c>
      <c r="R21" s="39">
        <f t="shared" si="0"/>
        <v>173</v>
      </c>
      <c r="S21" s="37">
        <f t="shared" si="1"/>
        <v>1.3999999999999998E-3</v>
      </c>
      <c r="T21" s="37">
        <f t="shared" si="2"/>
        <v>12</v>
      </c>
      <c r="U21" s="40">
        <f t="shared" si="3"/>
        <v>2.124561403508772E-2</v>
      </c>
      <c r="V21" s="39">
        <f t="shared" si="4"/>
        <v>1</v>
      </c>
      <c r="W21" s="37">
        <f t="shared" si="5"/>
        <v>5.5951367771981723E-2</v>
      </c>
      <c r="X21" s="40">
        <f t="shared" si="6"/>
        <v>3.4752402342845789E-4</v>
      </c>
      <c r="Y21" s="39">
        <f t="shared" si="7"/>
        <v>0.67141641326378076</v>
      </c>
      <c r="Z21" s="37">
        <f t="shared" si="28"/>
        <v>0.67141641326378076</v>
      </c>
      <c r="AA21" s="37">
        <f t="shared" si="29"/>
        <v>9.1977425529983378E-2</v>
      </c>
      <c r="AB21" s="37">
        <v>0</v>
      </c>
      <c r="AC21" s="37">
        <f t="shared" si="8"/>
        <v>2.9609463824932736E-4</v>
      </c>
      <c r="AD21" s="40">
        <f t="shared" si="19"/>
        <v>2.9609463824932736E-4</v>
      </c>
      <c r="AE21" s="39">
        <f t="shared" si="27"/>
        <v>1.1887211644187696E-3</v>
      </c>
      <c r="AF21" s="37">
        <f t="shared" si="20"/>
        <v>9.1693105141752371E-2</v>
      </c>
      <c r="AG21" s="37">
        <f t="shared" si="9"/>
        <v>1.0593608168475933E-3</v>
      </c>
      <c r="AH21" s="37">
        <f t="shared" si="10"/>
        <v>3.0254037539291113E-3</v>
      </c>
      <c r="AI21" s="40">
        <f t="shared" si="21"/>
        <v>4.0847645707767048E-3</v>
      </c>
      <c r="AJ21" s="39">
        <f t="shared" si="22"/>
        <v>7.3833612696817992E-6</v>
      </c>
      <c r="AK21" s="37">
        <f t="shared" si="11"/>
        <v>7.2264290342591029E-3</v>
      </c>
      <c r="AL21" s="37">
        <f t="shared" si="12"/>
        <v>1.7499999999999998E-3</v>
      </c>
      <c r="AM21" s="37">
        <f t="shared" si="13"/>
        <v>0.29622500000000002</v>
      </c>
      <c r="AN21" s="40">
        <f t="shared" si="23"/>
        <v>0.29797499999999999</v>
      </c>
      <c r="AO21" s="39">
        <f t="shared" si="14"/>
        <v>2.7745164250770303E-4</v>
      </c>
      <c r="AP21" s="37">
        <f t="shared" si="15"/>
        <v>3.0375000000000006E-2</v>
      </c>
      <c r="AQ21" s="40">
        <f t="shared" si="16"/>
        <v>5.4000000000000003E-3</v>
      </c>
      <c r="AR21" s="39">
        <f t="shared" si="24"/>
        <v>0.33840831085153372</v>
      </c>
      <c r="AS21" s="37">
        <f t="shared" si="25"/>
        <v>0.24219999999999997</v>
      </c>
      <c r="AT21" s="40">
        <f t="shared" si="26"/>
        <v>41.714869641597765</v>
      </c>
    </row>
    <row r="22" spans="17:46" x14ac:dyDescent="0.2">
      <c r="Q22">
        <v>15</v>
      </c>
      <c r="R22" s="39">
        <f t="shared" si="0"/>
        <v>173</v>
      </c>
      <c r="S22" s="37">
        <f t="shared" si="1"/>
        <v>1.4999999999999998E-3</v>
      </c>
      <c r="T22" s="37">
        <f t="shared" si="2"/>
        <v>12</v>
      </c>
      <c r="U22" s="40">
        <f t="shared" si="3"/>
        <v>2.2763157894736839E-2</v>
      </c>
      <c r="V22" s="39">
        <f t="shared" si="4"/>
        <v>1</v>
      </c>
      <c r="W22" s="37">
        <f t="shared" si="5"/>
        <v>5.7915167846313509E-2</v>
      </c>
      <c r="X22" s="40">
        <f t="shared" si="6"/>
        <v>3.5972153941809631E-4</v>
      </c>
      <c r="Y22" s="39">
        <f t="shared" si="7"/>
        <v>0.69498201415576222</v>
      </c>
      <c r="Z22" s="37">
        <f t="shared" si="28"/>
        <v>0.69498201415576222</v>
      </c>
      <c r="AA22" s="37">
        <f t="shared" si="29"/>
        <v>9.6862052379158209E-2</v>
      </c>
      <c r="AB22" s="37">
        <v>0</v>
      </c>
      <c r="AC22" s="37">
        <f t="shared" si="8"/>
        <v>3.2837900168859762E-4</v>
      </c>
      <c r="AD22" s="40">
        <f t="shared" si="19"/>
        <v>3.2837900168859762E-4</v>
      </c>
      <c r="AE22" s="39">
        <f t="shared" si="27"/>
        <v>1.3183321101858205E-3</v>
      </c>
      <c r="AF22" s="37">
        <f t="shared" si="20"/>
        <v>9.6562632644602631E-2</v>
      </c>
      <c r="AG22" s="37">
        <f t="shared" si="9"/>
        <v>1.1748670949303162E-3</v>
      </c>
      <c r="AH22" s="37">
        <f t="shared" si="10"/>
        <v>3.2415040220669039E-3</v>
      </c>
      <c r="AI22" s="40">
        <f t="shared" si="21"/>
        <v>4.4163711169972197E-3</v>
      </c>
      <c r="AJ22" s="39">
        <f t="shared" si="22"/>
        <v>8.1883981999119277E-6</v>
      </c>
      <c r="AK22" s="37">
        <f t="shared" si="11"/>
        <v>7.6102015641054815E-3</v>
      </c>
      <c r="AL22" s="37">
        <f t="shared" si="12"/>
        <v>1.8749999999999997E-3</v>
      </c>
      <c r="AM22" s="37">
        <f t="shared" si="13"/>
        <v>0.29622500000000002</v>
      </c>
      <c r="AN22" s="40">
        <f t="shared" si="23"/>
        <v>0.29810000000000003</v>
      </c>
      <c r="AO22" s="39">
        <f t="shared" si="14"/>
        <v>3.0770328676746377E-4</v>
      </c>
      <c r="AP22" s="37">
        <f t="shared" si="15"/>
        <v>3.0375000000000006E-2</v>
      </c>
      <c r="AQ22" s="40">
        <f t="shared" si="16"/>
        <v>5.4000000000000003E-3</v>
      </c>
      <c r="AR22" s="39">
        <f t="shared" si="24"/>
        <v>0.33892745340545333</v>
      </c>
      <c r="AS22" s="37">
        <f t="shared" si="25"/>
        <v>0.25949999999999995</v>
      </c>
      <c r="AT22" s="40">
        <f t="shared" si="26"/>
        <v>43.363652272847951</v>
      </c>
    </row>
    <row r="23" spans="17:46" x14ac:dyDescent="0.2">
      <c r="Q23">
        <v>16</v>
      </c>
      <c r="R23" s="39">
        <f t="shared" si="0"/>
        <v>173</v>
      </c>
      <c r="S23" s="37">
        <f t="shared" si="1"/>
        <v>1.5999999999999999E-3</v>
      </c>
      <c r="T23" s="37">
        <f t="shared" si="2"/>
        <v>12</v>
      </c>
      <c r="U23" s="40">
        <f t="shared" si="3"/>
        <v>2.4280701754385969E-2</v>
      </c>
      <c r="V23" s="39">
        <f t="shared" si="4"/>
        <v>1</v>
      </c>
      <c r="W23" s="37">
        <f t="shared" si="5"/>
        <v>5.9814528149754534E-2</v>
      </c>
      <c r="X23" s="40">
        <f t="shared" si="6"/>
        <v>3.7151880838356852E-4</v>
      </c>
      <c r="Y23" s="39">
        <f t="shared" si="7"/>
        <v>0.71777433779705457</v>
      </c>
      <c r="Z23" s="37">
        <f t="shared" si="28"/>
        <v>0.71777433779705457</v>
      </c>
      <c r="AA23" s="37">
        <f t="shared" si="29"/>
        <v>0.1016658765972024</v>
      </c>
      <c r="AB23" s="37">
        <v>0</v>
      </c>
      <c r="AC23" s="37">
        <f t="shared" si="8"/>
        <v>3.6175826624971558E-4</v>
      </c>
      <c r="AD23" s="40">
        <f t="shared" si="19"/>
        <v>3.6175826624971558E-4</v>
      </c>
      <c r="AE23" s="39">
        <f t="shared" si="27"/>
        <v>1.4523387185835137E-3</v>
      </c>
      <c r="AF23" s="37">
        <f t="shared" si="20"/>
        <v>0.10135160729321391</v>
      </c>
      <c r="AG23" s="37">
        <f t="shared" si="9"/>
        <v>1.2942906859156494E-3</v>
      </c>
      <c r="AH23" s="37">
        <f t="shared" si="10"/>
        <v>3.4576042902046984E-3</v>
      </c>
      <c r="AI23" s="40">
        <f t="shared" si="21"/>
        <v>4.7518949761203473E-3</v>
      </c>
      <c r="AJ23" s="39">
        <f t="shared" si="22"/>
        <v>9.0207373825062972E-6</v>
      </c>
      <c r="AK23" s="37">
        <f t="shared" si="11"/>
        <v>7.9876256396840609E-3</v>
      </c>
      <c r="AL23" s="37">
        <f t="shared" si="12"/>
        <v>2E-3</v>
      </c>
      <c r="AM23" s="37">
        <f t="shared" si="13"/>
        <v>0.29622500000000002</v>
      </c>
      <c r="AN23" s="40">
        <f t="shared" si="23"/>
        <v>0.29822500000000002</v>
      </c>
      <c r="AO23" s="39">
        <f t="shared" si="14"/>
        <v>3.3898089393028912E-4</v>
      </c>
      <c r="AP23" s="37">
        <f t="shared" si="15"/>
        <v>3.0375000000000006E-2</v>
      </c>
      <c r="AQ23" s="40">
        <f t="shared" si="16"/>
        <v>5.4000000000000003E-3</v>
      </c>
      <c r="AR23" s="39">
        <f t="shared" si="24"/>
        <v>0.33945263413630039</v>
      </c>
      <c r="AS23" s="37">
        <f t="shared" si="25"/>
        <v>0.27679999999999999</v>
      </c>
      <c r="AT23" s="40">
        <f t="shared" si="26"/>
        <v>44.916643705376593</v>
      </c>
    </row>
    <row r="24" spans="17:46" x14ac:dyDescent="0.2">
      <c r="Q24">
        <v>17</v>
      </c>
      <c r="R24" s="39">
        <f t="shared" si="0"/>
        <v>173</v>
      </c>
      <c r="S24" s="37">
        <f t="shared" si="1"/>
        <v>1.6999999999999999E-3</v>
      </c>
      <c r="T24" s="37">
        <f t="shared" si="2"/>
        <v>12</v>
      </c>
      <c r="U24" s="40">
        <f t="shared" si="3"/>
        <v>2.5798245614035088E-2</v>
      </c>
      <c r="V24" s="39">
        <f t="shared" si="4"/>
        <v>1</v>
      </c>
      <c r="W24" s="37">
        <f t="shared" si="5"/>
        <v>6.1655404376979701E-2</v>
      </c>
      <c r="X24" s="40">
        <f t="shared" si="6"/>
        <v>3.8295282221726524E-4</v>
      </c>
      <c r="Y24" s="39">
        <f t="shared" si="7"/>
        <v>0.73986485252375656</v>
      </c>
      <c r="Z24" s="37">
        <f t="shared" si="28"/>
        <v>0.73986485252375656</v>
      </c>
      <c r="AA24" s="37">
        <f t="shared" si="29"/>
        <v>0.10639517020811365</v>
      </c>
      <c r="AB24" s="37">
        <v>0</v>
      </c>
      <c r="AC24" s="37">
        <f t="shared" si="8"/>
        <v>3.9619762852647163E-4</v>
      </c>
      <c r="AD24" s="40">
        <f t="shared" si="19"/>
        <v>3.9619762852647163E-4</v>
      </c>
      <c r="AE24" s="39">
        <f t="shared" si="27"/>
        <v>1.5906012655499764E-3</v>
      </c>
      <c r="AF24" s="37">
        <f t="shared" si="20"/>
        <v>0.10606628172351898</v>
      </c>
      <c r="AG24" s="37">
        <f t="shared" si="9"/>
        <v>1.4175070709502649E-3</v>
      </c>
      <c r="AH24" s="37">
        <f t="shared" si="10"/>
        <v>3.6737045583424915E-3</v>
      </c>
      <c r="AI24" s="40">
        <f t="shared" si="21"/>
        <v>5.0912116292927568E-3</v>
      </c>
      <c r="AJ24" s="39">
        <f t="shared" si="22"/>
        <v>9.8795109661489221E-6</v>
      </c>
      <c r="AK24" s="37">
        <f t="shared" si="11"/>
        <v>8.3591940377393432E-3</v>
      </c>
      <c r="AL24" s="37">
        <f t="shared" si="12"/>
        <v>2.1249999999999997E-3</v>
      </c>
      <c r="AM24" s="37">
        <f t="shared" si="13"/>
        <v>0.29622500000000002</v>
      </c>
      <c r="AN24" s="40">
        <f t="shared" si="23"/>
        <v>0.29835</v>
      </c>
      <c r="AO24" s="39">
        <f t="shared" si="14"/>
        <v>3.7125185191554561E-4</v>
      </c>
      <c r="AP24" s="37">
        <f t="shared" si="15"/>
        <v>3.0375000000000006E-2</v>
      </c>
      <c r="AQ24" s="40">
        <f t="shared" si="16"/>
        <v>5.4000000000000003E-3</v>
      </c>
      <c r="AR24" s="39">
        <f t="shared" si="24"/>
        <v>0.33998366110973482</v>
      </c>
      <c r="AS24" s="37">
        <f t="shared" si="25"/>
        <v>0.29409999999999997</v>
      </c>
      <c r="AT24" s="40">
        <f t="shared" si="26"/>
        <v>46.381892175755482</v>
      </c>
    </row>
    <row r="25" spans="17:46" x14ac:dyDescent="0.2">
      <c r="Q25">
        <v>18</v>
      </c>
      <c r="R25" s="39">
        <f t="shared" si="0"/>
        <v>173</v>
      </c>
      <c r="S25" s="37">
        <f t="shared" si="1"/>
        <v>1.8E-3</v>
      </c>
      <c r="T25" s="37">
        <f t="shared" si="2"/>
        <v>12</v>
      </c>
      <c r="U25" s="40">
        <f t="shared" si="3"/>
        <v>2.7315789473684213E-2</v>
      </c>
      <c r="V25" s="39">
        <f t="shared" si="4"/>
        <v>1</v>
      </c>
      <c r="W25" s="37">
        <f t="shared" si="5"/>
        <v>6.3442887702247597E-2</v>
      </c>
      <c r="X25" s="40">
        <f t="shared" si="6"/>
        <v>3.9405520311955019E-4</v>
      </c>
      <c r="Y25" s="39">
        <f t="shared" si="7"/>
        <v>0.76131465242697127</v>
      </c>
      <c r="Z25" s="37">
        <f t="shared" si="28"/>
        <v>0.76131465242697127</v>
      </c>
      <c r="AA25" s="37">
        <f t="shared" si="29"/>
        <v>0.11105537974054626</v>
      </c>
      <c r="AB25" s="37">
        <v>0</v>
      </c>
      <c r="AC25" s="37">
        <f t="shared" si="8"/>
        <v>4.3166540792609272E-4</v>
      </c>
      <c r="AD25" s="40">
        <f t="shared" si="19"/>
        <v>4.3166540792609272E-4</v>
      </c>
      <c r="AE25" s="39">
        <f t="shared" si="27"/>
        <v>1.7329925640771845E-3</v>
      </c>
      <c r="AF25" s="37">
        <f t="shared" si="20"/>
        <v>0.11071208562787639</v>
      </c>
      <c r="AG25" s="37">
        <f t="shared" si="9"/>
        <v>1.5444029039133535E-3</v>
      </c>
      <c r="AH25" s="37">
        <f t="shared" si="10"/>
        <v>3.8898048264802859E-3</v>
      </c>
      <c r="AI25" s="40">
        <f t="shared" si="21"/>
        <v>5.4342077303936396E-3</v>
      </c>
      <c r="AJ25" s="39">
        <f t="shared" si="22"/>
        <v>1.0763928969423503E-5</v>
      </c>
      <c r="AK25" s="37">
        <f t="shared" si="11"/>
        <v>8.7253346779763759E-3</v>
      </c>
      <c r="AL25" s="37">
        <f t="shared" si="12"/>
        <v>2.2499999999999998E-3</v>
      </c>
      <c r="AM25" s="37">
        <f t="shared" si="13"/>
        <v>0.29622500000000002</v>
      </c>
      <c r="AN25" s="40">
        <f t="shared" si="23"/>
        <v>0.29847499999999999</v>
      </c>
      <c r="AO25" s="39">
        <f t="shared" si="14"/>
        <v>4.0448647483444977E-4</v>
      </c>
      <c r="AP25" s="37">
        <f t="shared" si="15"/>
        <v>3.0375000000000006E-2</v>
      </c>
      <c r="AQ25" s="40">
        <f t="shared" si="16"/>
        <v>5.4000000000000003E-3</v>
      </c>
      <c r="AR25" s="39">
        <f t="shared" si="24"/>
        <v>0.34052035961315419</v>
      </c>
      <c r="AS25" s="37">
        <f t="shared" si="25"/>
        <v>0.31140000000000001</v>
      </c>
      <c r="AT25" s="40">
        <f t="shared" si="26"/>
        <v>47.766570779409776</v>
      </c>
    </row>
    <row r="26" spans="17:46" x14ac:dyDescent="0.2">
      <c r="Q26">
        <v>19</v>
      </c>
      <c r="R26" s="39">
        <f t="shared" si="0"/>
        <v>173</v>
      </c>
      <c r="S26" s="37">
        <f t="shared" si="1"/>
        <v>1.8999999999999998E-3</v>
      </c>
      <c r="T26" s="37">
        <f t="shared" si="2"/>
        <v>12</v>
      </c>
      <c r="U26" s="40">
        <f t="shared" si="3"/>
        <v>2.8833333333333332E-2</v>
      </c>
      <c r="V26" s="39">
        <f t="shared" si="4"/>
        <v>1</v>
      </c>
      <c r="W26" s="37">
        <f t="shared" si="5"/>
        <v>6.5181370890087229E-2</v>
      </c>
      <c r="X26" s="40">
        <f t="shared" si="6"/>
        <v>4.0485323534215662E-4</v>
      </c>
      <c r="Y26" s="39">
        <f t="shared" si="7"/>
        <v>0.7821764506810468</v>
      </c>
      <c r="Z26" s="37">
        <f t="shared" si="28"/>
        <v>0.7821764506810468</v>
      </c>
      <c r="AA26" s="37">
        <f t="shared" si="29"/>
        <v>0.11565127455694513</v>
      </c>
      <c r="AB26" s="37">
        <v>0</v>
      </c>
      <c r="AC26" s="37">
        <f t="shared" si="8"/>
        <v>4.6813260573260666E-4</v>
      </c>
      <c r="AD26" s="40">
        <f t="shared" si="19"/>
        <v>4.6813260573260666E-4</v>
      </c>
      <c r="AE26" s="39">
        <f t="shared" si="27"/>
        <v>1.8793961939975151E-3</v>
      </c>
      <c r="AF26" s="37">
        <f t="shared" si="20"/>
        <v>0.11529377362568972</v>
      </c>
      <c r="AG26" s="37">
        <f t="shared" si="9"/>
        <v>1.6748744338433252E-3</v>
      </c>
      <c r="AH26" s="37">
        <f t="shared" si="10"/>
        <v>4.1059050946180781E-3</v>
      </c>
      <c r="AI26" s="40">
        <f t="shared" si="21"/>
        <v>5.7807795284614029E-3</v>
      </c>
      <c r="AJ26" s="39">
        <f t="shared" si="22"/>
        <v>1.1673268285698849E-5</v>
      </c>
      <c r="AK26" s="37">
        <f t="shared" si="11"/>
        <v>9.0864222768981245E-3</v>
      </c>
      <c r="AL26" s="37">
        <f t="shared" si="12"/>
        <v>2.3749999999999995E-3</v>
      </c>
      <c r="AM26" s="37">
        <f t="shared" si="13"/>
        <v>0.29622500000000002</v>
      </c>
      <c r="AN26" s="40">
        <f t="shared" si="23"/>
        <v>0.29860000000000003</v>
      </c>
      <c r="AO26" s="39">
        <f t="shared" si="14"/>
        <v>4.38657589816109E-4</v>
      </c>
      <c r="AP26" s="37">
        <f t="shared" si="15"/>
        <v>3.0375000000000006E-2</v>
      </c>
      <c r="AQ26" s="40">
        <f t="shared" si="16"/>
        <v>5.4000000000000003E-3</v>
      </c>
      <c r="AR26" s="39">
        <f t="shared" si="24"/>
        <v>0.34106256972401011</v>
      </c>
      <c r="AS26" s="37">
        <f t="shared" si="25"/>
        <v>0.32869999999999994</v>
      </c>
      <c r="AT26" s="40">
        <f t="shared" si="26"/>
        <v>49.07709311606466</v>
      </c>
    </row>
    <row r="27" spans="17:46" x14ac:dyDescent="0.2">
      <c r="Q27">
        <v>20</v>
      </c>
      <c r="R27" s="39">
        <f t="shared" si="0"/>
        <v>173</v>
      </c>
      <c r="S27" s="37">
        <f t="shared" si="1"/>
        <v>2E-3</v>
      </c>
      <c r="T27" s="37">
        <f t="shared" si="2"/>
        <v>12</v>
      </c>
      <c r="U27" s="40">
        <f t="shared" si="3"/>
        <v>3.0350877192982462E-2</v>
      </c>
      <c r="V27" s="39">
        <f t="shared" si="4"/>
        <v>1</v>
      </c>
      <c r="W27" s="37">
        <f t="shared" si="5"/>
        <v>6.6874675492462926E-2</v>
      </c>
      <c r="X27" s="40">
        <f t="shared" si="6"/>
        <v>4.1537065523268899E-4</v>
      </c>
      <c r="Y27" s="39">
        <f t="shared" si="7"/>
        <v>0.80249610590955522</v>
      </c>
      <c r="Z27" s="37">
        <f t="shared" si="28"/>
        <v>0.80249610590955522</v>
      </c>
      <c r="AA27" s="37">
        <f t="shared" si="29"/>
        <v>0.12018706214219563</v>
      </c>
      <c r="AB27" s="37">
        <v>0</v>
      </c>
      <c r="AC27" s="37">
        <f t="shared" si="8"/>
        <v>5.0557254672301986E-4</v>
      </c>
      <c r="AD27" s="40">
        <f t="shared" si="19"/>
        <v>5.0557254672301986E-4</v>
      </c>
      <c r="AE27" s="39">
        <f t="shared" si="27"/>
        <v>2.0297050631922962E-3</v>
      </c>
      <c r="AF27" s="37">
        <f t="shared" si="20"/>
        <v>0.11981554019567763</v>
      </c>
      <c r="AG27" s="37">
        <f t="shared" si="9"/>
        <v>1.8088262227201372E-3</v>
      </c>
      <c r="AH27" s="37">
        <f t="shared" si="10"/>
        <v>4.3220053627558725E-3</v>
      </c>
      <c r="AI27" s="40">
        <f t="shared" si="21"/>
        <v>6.1308315854760095E-3</v>
      </c>
      <c r="AJ27" s="39">
        <f t="shared" si="22"/>
        <v>1.2606863746536002E-5</v>
      </c>
      <c r="AK27" s="37">
        <f t="shared" si="11"/>
        <v>9.4427874057372782E-3</v>
      </c>
      <c r="AL27" s="37">
        <f t="shared" si="12"/>
        <v>2.5000000000000001E-3</v>
      </c>
      <c r="AM27" s="37">
        <f t="shared" si="13"/>
        <v>0.29622500000000002</v>
      </c>
      <c r="AN27" s="40">
        <f t="shared" si="23"/>
        <v>0.29872500000000002</v>
      </c>
      <c r="AO27" s="39">
        <f t="shared" si="14"/>
        <v>4.7374020118860739E-4</v>
      </c>
      <c r="AP27" s="37">
        <f t="shared" si="15"/>
        <v>3.0375000000000006E-2</v>
      </c>
      <c r="AQ27" s="40">
        <f t="shared" si="16"/>
        <v>5.4000000000000003E-3</v>
      </c>
      <c r="AR27" s="39">
        <f t="shared" si="24"/>
        <v>0.34161014433338766</v>
      </c>
      <c r="AS27" s="37">
        <f t="shared" si="25"/>
        <v>0.34600000000000003</v>
      </c>
      <c r="AT27" s="40">
        <f t="shared" si="26"/>
        <v>50.31921108950975</v>
      </c>
    </row>
    <row r="28" spans="17:46" x14ac:dyDescent="0.2">
      <c r="Q28">
        <v>21</v>
      </c>
      <c r="R28" s="39">
        <f t="shared" si="0"/>
        <v>173</v>
      </c>
      <c r="S28" s="37">
        <f t="shared" si="1"/>
        <v>2.0999999999999999E-3</v>
      </c>
      <c r="T28" s="37">
        <f t="shared" si="2"/>
        <v>12</v>
      </c>
      <c r="U28" s="40">
        <f t="shared" si="3"/>
        <v>3.1868421052631581E-2</v>
      </c>
      <c r="V28" s="39">
        <f t="shared" si="4"/>
        <v>1</v>
      </c>
      <c r="W28" s="37">
        <f t="shared" si="5"/>
        <v>6.852615072607926E-2</v>
      </c>
      <c r="X28" s="40">
        <f t="shared" si="6"/>
        <v>4.2562826537937418E-4</v>
      </c>
      <c r="Y28" s="39">
        <f t="shared" si="7"/>
        <v>0.82231380871295123</v>
      </c>
      <c r="Z28" s="37">
        <f t="shared" si="28"/>
        <v>0.82231380871295123</v>
      </c>
      <c r="AA28" s="37">
        <f t="shared" si="29"/>
        <v>0.12466647899365242</v>
      </c>
      <c r="AB28" s="37">
        <v>0</v>
      </c>
      <c r="AC28" s="37">
        <f t="shared" si="8"/>
        <v>5.4396058446361739E-4</v>
      </c>
      <c r="AD28" s="40">
        <f t="shared" si="19"/>
        <v>5.4396058446361739E-4</v>
      </c>
      <c r="AE28" s="39">
        <f t="shared" si="27"/>
        <v>2.1838202244547893E-3</v>
      </c>
      <c r="AF28" s="37">
        <f t="shared" si="20"/>
        <v>0.1242811102849434</v>
      </c>
      <c r="AG28" s="37">
        <f t="shared" si="9"/>
        <v>1.9461700910809413E-3</v>
      </c>
      <c r="AH28" s="37">
        <f t="shared" si="10"/>
        <v>4.5381056308936669E-3</v>
      </c>
      <c r="AI28" s="40">
        <f t="shared" si="21"/>
        <v>6.484275721974608E-3</v>
      </c>
      <c r="AJ28" s="39">
        <f t="shared" si="22"/>
        <v>1.356410077301111E-5</v>
      </c>
      <c r="AK28" s="37">
        <f t="shared" si="11"/>
        <v>9.7947236314513218E-3</v>
      </c>
      <c r="AL28" s="37">
        <f t="shared" si="12"/>
        <v>2.6249999999999997E-3</v>
      </c>
      <c r="AM28" s="37">
        <f t="shared" si="13"/>
        <v>0.29622500000000002</v>
      </c>
      <c r="AN28" s="40">
        <f t="shared" si="23"/>
        <v>0.29885</v>
      </c>
      <c r="AO28" s="39">
        <f t="shared" si="14"/>
        <v>5.0971121433072281E-4</v>
      </c>
      <c r="AP28" s="37">
        <f t="shared" si="15"/>
        <v>3.0375000000000006E-2</v>
      </c>
      <c r="AQ28" s="40">
        <f t="shared" si="16"/>
        <v>5.4000000000000003E-3</v>
      </c>
      <c r="AR28" s="39">
        <f t="shared" si="24"/>
        <v>0.34216294752076898</v>
      </c>
      <c r="AS28" s="37">
        <f t="shared" si="25"/>
        <v>0.36329999999999996</v>
      </c>
      <c r="AT28" s="40">
        <f t="shared" si="26"/>
        <v>51.498097990370262</v>
      </c>
    </row>
    <row r="29" spans="17:46" x14ac:dyDescent="0.2">
      <c r="Q29">
        <v>22</v>
      </c>
      <c r="R29" s="39">
        <f t="shared" si="0"/>
        <v>173</v>
      </c>
      <c r="S29" s="37">
        <f t="shared" si="1"/>
        <v>2.1999999999999997E-3</v>
      </c>
      <c r="T29" s="37">
        <f t="shared" si="2"/>
        <v>12</v>
      </c>
      <c r="U29" s="40">
        <f t="shared" si="3"/>
        <v>3.33859649122807E-2</v>
      </c>
      <c r="V29" s="39">
        <f t="shared" si="4"/>
        <v>1</v>
      </c>
      <c r="W29" s="37">
        <f t="shared" si="5"/>
        <v>7.0138751375002709E-2</v>
      </c>
      <c r="X29" s="40">
        <f t="shared" si="6"/>
        <v>4.3564441847827759E-4</v>
      </c>
      <c r="Y29" s="39">
        <f t="shared" si="7"/>
        <v>0.84166501650003267</v>
      </c>
      <c r="Z29" s="37">
        <f t="shared" si="28"/>
        <v>0.84166501650003267</v>
      </c>
      <c r="AA29" s="37">
        <f t="shared" si="29"/>
        <v>0.1290928631904206</v>
      </c>
      <c r="AB29" s="37">
        <v>0</v>
      </c>
      <c r="AC29" s="37">
        <f t="shared" si="8"/>
        <v>5.8327385643452273E-4</v>
      </c>
      <c r="AD29" s="40">
        <f t="shared" si="19"/>
        <v>5.8327385643452273E-4</v>
      </c>
      <c r="AE29" s="39">
        <f t="shared" si="27"/>
        <v>2.3416498923970199E-3</v>
      </c>
      <c r="AF29" s="37">
        <f t="shared" si="20"/>
        <v>0.1286938116539304</v>
      </c>
      <c r="AG29" s="37">
        <f t="shared" si="9"/>
        <v>2.0868242419101813E-3</v>
      </c>
      <c r="AH29" s="37">
        <f t="shared" si="10"/>
        <v>4.7542058990314587E-3</v>
      </c>
      <c r="AI29" s="40">
        <f t="shared" si="21"/>
        <v>6.84103014094164E-3</v>
      </c>
      <c r="AJ29" s="39">
        <f t="shared" si="22"/>
        <v>1.4544409269546704E-5</v>
      </c>
      <c r="AK29" s="37">
        <f t="shared" si="11"/>
        <v>1.0142493218303739E-2</v>
      </c>
      <c r="AL29" s="37">
        <f t="shared" si="12"/>
        <v>2.7499999999999998E-3</v>
      </c>
      <c r="AM29" s="37">
        <f t="shared" si="13"/>
        <v>0.29622500000000002</v>
      </c>
      <c r="AN29" s="40">
        <f t="shared" si="23"/>
        <v>0.29897499999999999</v>
      </c>
      <c r="AO29" s="39">
        <f t="shared" si="14"/>
        <v>5.4654920621457137E-4</v>
      </c>
      <c r="AP29" s="37">
        <f t="shared" si="15"/>
        <v>3.0375000000000006E-2</v>
      </c>
      <c r="AQ29" s="40">
        <f t="shared" si="16"/>
        <v>5.4000000000000003E-3</v>
      </c>
      <c r="AR29" s="39">
        <f t="shared" si="24"/>
        <v>0.34272085320359069</v>
      </c>
      <c r="AS29" s="37">
        <f t="shared" si="25"/>
        <v>0.38059999999999994</v>
      </c>
      <c r="AT29" s="40">
        <f t="shared" si="26"/>
        <v>52.618419379770565</v>
      </c>
    </row>
    <row r="30" spans="17:46" x14ac:dyDescent="0.2">
      <c r="Q30">
        <v>23</v>
      </c>
      <c r="R30" s="39">
        <f t="shared" si="0"/>
        <v>173</v>
      </c>
      <c r="S30" s="37">
        <f t="shared" si="1"/>
        <v>2.3E-3</v>
      </c>
      <c r="T30" s="37">
        <f t="shared" si="2"/>
        <v>12</v>
      </c>
      <c r="U30" s="40">
        <f t="shared" si="3"/>
        <v>3.4903508771929825E-2</v>
      </c>
      <c r="V30" s="39">
        <f t="shared" si="4"/>
        <v>1</v>
      </c>
      <c r="W30" s="37">
        <f t="shared" si="5"/>
        <v>7.1715099913167213E-2</v>
      </c>
      <c r="X30" s="40">
        <f t="shared" si="6"/>
        <v>4.4543540318737389E-4</v>
      </c>
      <c r="Y30" s="39">
        <f t="shared" si="7"/>
        <v>0.86058119895800667</v>
      </c>
      <c r="Z30" s="37">
        <f t="shared" si="28"/>
        <v>0.86058119895800667</v>
      </c>
      <c r="AA30" s="37">
        <f t="shared" si="29"/>
        <v>0.13346921299846923</v>
      </c>
      <c r="AB30" s="37">
        <v>0</v>
      </c>
      <c r="AC30" s="37">
        <f t="shared" si="8"/>
        <v>6.2349107864507623E-4</v>
      </c>
      <c r="AD30" s="40">
        <f t="shared" si="19"/>
        <v>6.2349107864507623E-4</v>
      </c>
      <c r="AE30" s="39">
        <f t="shared" si="27"/>
        <v>2.5031086188990557E-3</v>
      </c>
      <c r="AF30" s="37">
        <f t="shared" si="20"/>
        <v>0.13305663330037534</v>
      </c>
      <c r="AG30" s="37">
        <f t="shared" si="9"/>
        <v>2.2307125258190495E-3</v>
      </c>
      <c r="AH30" s="37">
        <f t="shared" si="10"/>
        <v>4.9703061671692531E-3</v>
      </c>
      <c r="AI30" s="40">
        <f t="shared" si="21"/>
        <v>7.2010186929883022E-3</v>
      </c>
      <c r="AJ30" s="39">
        <f t="shared" si="22"/>
        <v>1.5547258502478604E-5</v>
      </c>
      <c r="AK30" s="37">
        <f t="shared" si="11"/>
        <v>1.0486331732316584E-2</v>
      </c>
      <c r="AL30" s="37">
        <f t="shared" si="12"/>
        <v>2.875E-3</v>
      </c>
      <c r="AM30" s="37">
        <f t="shared" si="13"/>
        <v>0.29622500000000002</v>
      </c>
      <c r="AN30" s="40">
        <f t="shared" si="23"/>
        <v>0.29910000000000003</v>
      </c>
      <c r="AO30" s="39">
        <f t="shared" si="14"/>
        <v>5.8423423295260826E-4</v>
      </c>
      <c r="AP30" s="37">
        <f t="shared" si="15"/>
        <v>3.0375000000000006E-2</v>
      </c>
      <c r="AQ30" s="40">
        <f t="shared" si="16"/>
        <v>5.4000000000000003E-3</v>
      </c>
      <c r="AR30" s="39">
        <f t="shared" si="24"/>
        <v>0.343283744004586</v>
      </c>
      <c r="AS30" s="37">
        <f t="shared" si="25"/>
        <v>0.39789999999999998</v>
      </c>
      <c r="AT30" s="40">
        <f t="shared" si="26"/>
        <v>53.684393811737188</v>
      </c>
    </row>
    <row r="31" spans="17:46" x14ac:dyDescent="0.2">
      <c r="Q31">
        <v>24</v>
      </c>
      <c r="R31" s="39">
        <f t="shared" si="0"/>
        <v>173</v>
      </c>
      <c r="S31" s="37">
        <f t="shared" si="1"/>
        <v>2.3999999999999998E-3</v>
      </c>
      <c r="T31" s="37">
        <f t="shared" si="2"/>
        <v>12</v>
      </c>
      <c r="U31" s="40">
        <f t="shared" si="3"/>
        <v>3.6421052631578951E-2</v>
      </c>
      <c r="V31" s="39">
        <f t="shared" si="4"/>
        <v>1</v>
      </c>
      <c r="W31" s="37">
        <f t="shared" si="5"/>
        <v>7.3257536586119693E-2</v>
      </c>
      <c r="X31" s="40">
        <f t="shared" si="6"/>
        <v>4.5501575519329003E-4</v>
      </c>
      <c r="Y31" s="39">
        <f t="shared" si="7"/>
        <v>0.87909043903343642</v>
      </c>
      <c r="Z31" s="37">
        <f t="shared" si="28"/>
        <v>0.87909043903343642</v>
      </c>
      <c r="AA31" s="37">
        <f t="shared" si="29"/>
        <v>0.13779823468797495</v>
      </c>
      <c r="AB31" s="37">
        <v>0</v>
      </c>
      <c r="AC31" s="37">
        <f t="shared" si="8"/>
        <v>6.6459237190927788E-4</v>
      </c>
      <c r="AD31" s="40">
        <f t="shared" si="19"/>
        <v>6.6459237190927788E-4</v>
      </c>
      <c r="AE31" s="39">
        <f t="shared" si="27"/>
        <v>2.6681165956628861E-3</v>
      </c>
      <c r="AF31" s="37">
        <f t="shared" si="20"/>
        <v>0.13737227312883935</v>
      </c>
      <c r="AG31" s="37">
        <f t="shared" si="9"/>
        <v>2.3777638194976392E-3</v>
      </c>
      <c r="AH31" s="37">
        <f t="shared" si="10"/>
        <v>5.1864064353070475E-3</v>
      </c>
      <c r="AI31" s="40">
        <f t="shared" si="21"/>
        <v>7.5641702548046863E-3</v>
      </c>
      <c r="AJ31" s="39">
        <f t="shared" si="22"/>
        <v>1.6572152768092461E-5</v>
      </c>
      <c r="AK31" s="37">
        <f t="shared" si="11"/>
        <v>1.0826451798155825E-2</v>
      </c>
      <c r="AL31" s="37">
        <f t="shared" si="12"/>
        <v>2.9999999999999996E-3</v>
      </c>
      <c r="AM31" s="37">
        <f t="shared" si="13"/>
        <v>0.29622500000000002</v>
      </c>
      <c r="AN31" s="40">
        <f t="shared" si="23"/>
        <v>0.29922500000000002</v>
      </c>
      <c r="AO31" s="39">
        <f t="shared" si="14"/>
        <v>6.2274766701128647E-4</v>
      </c>
      <c r="AP31" s="37">
        <f t="shared" si="15"/>
        <v>3.0375000000000006E-2</v>
      </c>
      <c r="AQ31" s="40">
        <f t="shared" si="16"/>
        <v>5.4000000000000003E-3</v>
      </c>
      <c r="AR31" s="39">
        <f t="shared" si="24"/>
        <v>0.34385151029372529</v>
      </c>
      <c r="AS31" s="37">
        <f t="shared" si="25"/>
        <v>0.41519999999999996</v>
      </c>
      <c r="AT31" s="40">
        <f t="shared" si="26"/>
        <v>54.699845052588422</v>
      </c>
    </row>
    <row r="32" spans="17:46" x14ac:dyDescent="0.2">
      <c r="Q32">
        <v>25</v>
      </c>
      <c r="R32" s="39">
        <f t="shared" si="0"/>
        <v>173</v>
      </c>
      <c r="S32" s="37">
        <f t="shared" si="1"/>
        <v>2.4999999999999996E-3</v>
      </c>
      <c r="T32" s="37">
        <f t="shared" si="2"/>
        <v>12</v>
      </c>
      <c r="U32" s="40">
        <f t="shared" si="3"/>
        <v>3.793859649122807E-2</v>
      </c>
      <c r="V32" s="39">
        <f t="shared" si="4"/>
        <v>1</v>
      </c>
      <c r="W32" s="37">
        <f t="shared" si="5"/>
        <v>7.4768160187193164E-2</v>
      </c>
      <c r="X32" s="40">
        <f t="shared" si="6"/>
        <v>4.6439851047946066E-4</v>
      </c>
      <c r="Y32" s="39">
        <f t="shared" si="7"/>
        <v>0.89721792224631802</v>
      </c>
      <c r="Z32" s="37">
        <f t="shared" si="28"/>
        <v>0.89721792224631802</v>
      </c>
      <c r="AA32" s="37">
        <f t="shared" si="29"/>
        <v>0.14208238191465594</v>
      </c>
      <c r="AB32" s="37">
        <v>0</v>
      </c>
      <c r="AC32" s="37">
        <f t="shared" si="8"/>
        <v>7.065591137689753E-4</v>
      </c>
      <c r="AD32" s="40">
        <f t="shared" si="19"/>
        <v>7.065591137689753E-4</v>
      </c>
      <c r="AE32" s="39">
        <f t="shared" si="27"/>
        <v>2.8365990597334248E-3</v>
      </c>
      <c r="AF32" s="37">
        <f t="shared" si="20"/>
        <v>0.14164317721030606</v>
      </c>
      <c r="AG32" s="37">
        <f t="shared" si="9"/>
        <v>2.5279114959290009E-3</v>
      </c>
      <c r="AH32" s="37">
        <f t="shared" si="10"/>
        <v>5.4025067034448402E-3</v>
      </c>
      <c r="AI32" s="40">
        <f t="shared" si="21"/>
        <v>7.9304181993738419E-3</v>
      </c>
      <c r="AJ32" s="39">
        <f t="shared" si="22"/>
        <v>1.7618627700207607E-5</v>
      </c>
      <c r="AK32" s="37">
        <f t="shared" si="11"/>
        <v>1.1163046193221124E-2</v>
      </c>
      <c r="AL32" s="37">
        <f t="shared" si="12"/>
        <v>3.1249999999999993E-3</v>
      </c>
      <c r="AM32" s="37">
        <f t="shared" si="13"/>
        <v>0.29622500000000002</v>
      </c>
      <c r="AN32" s="40">
        <f t="shared" si="23"/>
        <v>0.29935</v>
      </c>
      <c r="AO32" s="39">
        <f t="shared" si="14"/>
        <v>6.6207205845759552E-4</v>
      </c>
      <c r="AP32" s="37">
        <f t="shared" si="15"/>
        <v>3.0375000000000006E-2</v>
      </c>
      <c r="AQ32" s="40">
        <f t="shared" si="16"/>
        <v>5.4000000000000003E-3</v>
      </c>
      <c r="AR32" s="39">
        <f t="shared" si="24"/>
        <v>0.34442404937160043</v>
      </c>
      <c r="AS32" s="37">
        <f t="shared" si="25"/>
        <v>0.43249999999999994</v>
      </c>
      <c r="AT32" s="40">
        <f t="shared" si="26"/>
        <v>55.668247153607751</v>
      </c>
    </row>
    <row r="33" spans="17:46" x14ac:dyDescent="0.2">
      <c r="Q33">
        <v>26</v>
      </c>
      <c r="R33" s="39">
        <f t="shared" si="0"/>
        <v>173</v>
      </c>
      <c r="S33" s="37">
        <f t="shared" si="1"/>
        <v>2.5999999999999999E-3</v>
      </c>
      <c r="T33" s="37">
        <f t="shared" si="2"/>
        <v>12</v>
      </c>
      <c r="U33" s="40">
        <f t="shared" si="3"/>
        <v>3.9456140350877196E-2</v>
      </c>
      <c r="V33" s="39">
        <f t="shared" si="4"/>
        <v>1</v>
      </c>
      <c r="W33" s="37">
        <f t="shared" si="5"/>
        <v>7.6248861557985825E-2</v>
      </c>
      <c r="X33" s="40">
        <f t="shared" si="6"/>
        <v>4.7359541340363868E-4</v>
      </c>
      <c r="Y33" s="39">
        <f t="shared" si="7"/>
        <v>0.91498633869583001</v>
      </c>
      <c r="Z33" s="37">
        <f t="shared" si="28"/>
        <v>0.91498633869583001</v>
      </c>
      <c r="AA33" s="37">
        <f t="shared" si="29"/>
        <v>0.14632388843070848</v>
      </c>
      <c r="AB33" s="37">
        <v>0</v>
      </c>
      <c r="AC33" s="37">
        <f t="shared" si="8"/>
        <v>7.493738113918849E-4</v>
      </c>
      <c r="AD33" s="40">
        <f t="shared" si="19"/>
        <v>7.493738113918849E-4</v>
      </c>
      <c r="AE33" s="39">
        <f t="shared" si="27"/>
        <v>3.0084857832264936E-3</v>
      </c>
      <c r="AF33" s="37">
        <f t="shared" si="20"/>
        <v>0.14587157239200257</v>
      </c>
      <c r="AG33" s="37">
        <f t="shared" si="9"/>
        <v>2.681092969646521E-3</v>
      </c>
      <c r="AH33" s="37">
        <f t="shared" si="10"/>
        <v>5.6186069715826346E-3</v>
      </c>
      <c r="AI33" s="40">
        <f t="shared" si="21"/>
        <v>8.299699941229156E-3</v>
      </c>
      <c r="AJ33" s="39">
        <f t="shared" si="22"/>
        <v>1.8686247100785675E-5</v>
      </c>
      <c r="AK33" s="37">
        <f t="shared" si="11"/>
        <v>1.1496290417659753E-2</v>
      </c>
      <c r="AL33" s="37">
        <f t="shared" si="12"/>
        <v>3.2499999999999999E-3</v>
      </c>
      <c r="AM33" s="37">
        <f t="shared" si="13"/>
        <v>0.29622500000000002</v>
      </c>
      <c r="AN33" s="40">
        <f t="shared" si="23"/>
        <v>0.29947499999999999</v>
      </c>
      <c r="AO33" s="39">
        <f t="shared" si="14"/>
        <v>7.0219101585980318E-4</v>
      </c>
      <c r="AP33" s="37">
        <f t="shared" si="15"/>
        <v>3.0375000000000006E-2</v>
      </c>
      <c r="AQ33" s="40">
        <f t="shared" si="16"/>
        <v>5.4000000000000003E-3</v>
      </c>
      <c r="AR33" s="39">
        <f t="shared" si="24"/>
        <v>0.34500126476848081</v>
      </c>
      <c r="AS33" s="37">
        <f t="shared" si="25"/>
        <v>0.44979999999999998</v>
      </c>
      <c r="AT33" s="40">
        <f t="shared" si="26"/>
        <v>56.592763491767109</v>
      </c>
    </row>
    <row r="34" spans="17:46" x14ac:dyDescent="0.2">
      <c r="Q34">
        <v>27</v>
      </c>
      <c r="R34" s="39">
        <f t="shared" si="0"/>
        <v>173</v>
      </c>
      <c r="S34" s="37">
        <f t="shared" si="1"/>
        <v>2.6999999999999997E-3</v>
      </c>
      <c r="T34" s="37">
        <f t="shared" si="2"/>
        <v>12</v>
      </c>
      <c r="U34" s="40">
        <f t="shared" si="3"/>
        <v>4.0973684210526315E-2</v>
      </c>
      <c r="V34" s="39">
        <f t="shared" si="4"/>
        <v>1</v>
      </c>
      <c r="W34" s="37">
        <f t="shared" si="5"/>
        <v>7.7701351339600253E-2</v>
      </c>
      <c r="X34" s="40">
        <f t="shared" si="6"/>
        <v>4.8261708906584001E-4</v>
      </c>
      <c r="Y34" s="39">
        <f t="shared" si="7"/>
        <v>0.93241621607520309</v>
      </c>
      <c r="Z34" s="37">
        <f t="shared" si="28"/>
        <v>0.93241621607520309</v>
      </c>
      <c r="AA34" s="37">
        <f t="shared" si="29"/>
        <v>0.15052479546781464</v>
      </c>
      <c r="AB34" s="37">
        <v>0</v>
      </c>
      <c r="AC34" s="37">
        <f t="shared" si="8"/>
        <v>7.9301999177196008E-4</v>
      </c>
      <c r="AD34" s="40">
        <f t="shared" si="19"/>
        <v>7.9301999177196008E-4</v>
      </c>
      <c r="AE34" s="39">
        <f t="shared" si="27"/>
        <v>3.1837106325199368E-3</v>
      </c>
      <c r="AF34" s="37">
        <f t="shared" si="20"/>
        <v>0.15005949359576071</v>
      </c>
      <c r="AG34" s="37">
        <f t="shared" si="9"/>
        <v>2.8372493038952345E-3</v>
      </c>
      <c r="AH34" s="37">
        <f t="shared" si="10"/>
        <v>5.8347072397204281E-3</v>
      </c>
      <c r="AI34" s="40">
        <f t="shared" si="21"/>
        <v>8.6719565436156627E-3</v>
      </c>
      <c r="AJ34" s="39">
        <f t="shared" si="22"/>
        <v>1.9774600201987182E-5</v>
      </c>
      <c r="AK34" s="37">
        <f t="shared" si="11"/>
        <v>1.1826344845778868E-2</v>
      </c>
      <c r="AL34" s="37">
        <f t="shared" si="12"/>
        <v>3.3749999999999995E-3</v>
      </c>
      <c r="AM34" s="37">
        <f t="shared" si="13"/>
        <v>0.29622500000000002</v>
      </c>
      <c r="AN34" s="40">
        <f t="shared" si="23"/>
        <v>0.29960000000000003</v>
      </c>
      <c r="AO34" s="39">
        <f t="shared" si="14"/>
        <v>7.4308910340113287E-4</v>
      </c>
      <c r="AP34" s="37">
        <f t="shared" si="15"/>
        <v>3.0375000000000006E-2</v>
      </c>
      <c r="AQ34" s="40">
        <f t="shared" si="16"/>
        <v>5.4000000000000003E-3</v>
      </c>
      <c r="AR34" s="39">
        <f t="shared" si="24"/>
        <v>0.34558306563878882</v>
      </c>
      <c r="AS34" s="37">
        <f t="shared" si="25"/>
        <v>0.46709999999999996</v>
      </c>
      <c r="AT34" s="40">
        <f t="shared" si="26"/>
        <v>57.476280699026006</v>
      </c>
    </row>
    <row r="35" spans="17:46" x14ac:dyDescent="0.2">
      <c r="Q35">
        <v>28</v>
      </c>
      <c r="R35" s="39">
        <f t="shared" si="0"/>
        <v>173</v>
      </c>
      <c r="S35" s="37">
        <f t="shared" si="1"/>
        <v>2.7999999999999995E-3</v>
      </c>
      <c r="T35" s="37">
        <f t="shared" si="2"/>
        <v>12</v>
      </c>
      <c r="U35" s="40">
        <f t="shared" si="3"/>
        <v>4.2491228070175441E-2</v>
      </c>
      <c r="V35" s="39">
        <f t="shared" si="4"/>
        <v>1</v>
      </c>
      <c r="W35" s="37">
        <f t="shared" si="5"/>
        <v>7.9127183136461457E-2</v>
      </c>
      <c r="X35" s="40">
        <f t="shared" si="6"/>
        <v>4.9147318718299033E-4</v>
      </c>
      <c r="Y35" s="39">
        <f t="shared" si="7"/>
        <v>0.94952619763753765</v>
      </c>
      <c r="Z35" s="37">
        <f t="shared" si="28"/>
        <v>0.94952619763753765</v>
      </c>
      <c r="AA35" s="37">
        <f t="shared" si="29"/>
        <v>0.15468697482485702</v>
      </c>
      <c r="AB35" s="37">
        <v>0</v>
      </c>
      <c r="AC35" s="37">
        <f t="shared" si="8"/>
        <v>8.3748210631630826E-4</v>
      </c>
      <c r="AD35" s="40">
        <f t="shared" si="19"/>
        <v>8.3748210631630826E-4</v>
      </c>
      <c r="AE35" s="39">
        <f t="shared" si="27"/>
        <v>3.362211185201924E-3</v>
      </c>
      <c r="AF35" s="37">
        <f t="shared" si="20"/>
        <v>0.15420880683436303</v>
      </c>
      <c r="AG35" s="37">
        <f t="shared" si="9"/>
        <v>2.996324869265014E-3</v>
      </c>
      <c r="AH35" s="37">
        <f t="shared" si="10"/>
        <v>6.0508075078582226E-3</v>
      </c>
      <c r="AI35" s="40">
        <f t="shared" si="21"/>
        <v>9.0471323771232365E-3</v>
      </c>
      <c r="AJ35" s="39">
        <f t="shared" si="22"/>
        <v>2.0883299286968468E-5</v>
      </c>
      <c r="AK35" s="37">
        <f t="shared" si="11"/>
        <v>1.2153356539987684E-2</v>
      </c>
      <c r="AL35" s="37">
        <f t="shared" si="12"/>
        <v>3.4999999999999996E-3</v>
      </c>
      <c r="AM35" s="37">
        <f t="shared" si="13"/>
        <v>0.29622500000000002</v>
      </c>
      <c r="AN35" s="40">
        <f t="shared" si="23"/>
        <v>0.29972500000000002</v>
      </c>
      <c r="AO35" s="39">
        <f t="shared" si="14"/>
        <v>7.8475175147417042E-4</v>
      </c>
      <c r="AP35" s="37">
        <f t="shared" si="15"/>
        <v>3.0375000000000006E-2</v>
      </c>
      <c r="AQ35" s="40">
        <f t="shared" si="16"/>
        <v>5.4000000000000003E-3</v>
      </c>
      <c r="AR35" s="39">
        <f t="shared" si="24"/>
        <v>0.34616936623491373</v>
      </c>
      <c r="AS35" s="37">
        <f t="shared" si="25"/>
        <v>0.48439999999999994</v>
      </c>
      <c r="AT35" s="40">
        <f t="shared" si="26"/>
        <v>58.321438243725801</v>
      </c>
    </row>
    <row r="36" spans="17:46" x14ac:dyDescent="0.2">
      <c r="Q36">
        <v>29</v>
      </c>
      <c r="R36" s="39">
        <f t="shared" si="0"/>
        <v>173</v>
      </c>
      <c r="S36" s="37">
        <f t="shared" si="1"/>
        <v>2.8999999999999998E-3</v>
      </c>
      <c r="T36" s="37">
        <f t="shared" si="2"/>
        <v>12</v>
      </c>
      <c r="U36" s="40">
        <f t="shared" si="3"/>
        <v>4.400877192982456E-2</v>
      </c>
      <c r="V36" s="39">
        <f t="shared" si="4"/>
        <v>1</v>
      </c>
      <c r="W36" s="37">
        <f t="shared" si="5"/>
        <v>8.0527772986853555E-2</v>
      </c>
      <c r="X36" s="40">
        <f t="shared" si="6"/>
        <v>5.0017250302393501E-4</v>
      </c>
      <c r="Y36" s="39">
        <f t="shared" si="7"/>
        <v>0.96633327584224282</v>
      </c>
      <c r="Z36" s="37">
        <f t="shared" si="28"/>
        <v>0.96633327584224282</v>
      </c>
      <c r="AA36" s="37">
        <f t="shared" si="29"/>
        <v>0.15881214846315297</v>
      </c>
      <c r="AB36" s="37">
        <v>0</v>
      </c>
      <c r="AC36" s="37">
        <f t="shared" si="8"/>
        <v>8.8274544748188899E-4</v>
      </c>
      <c r="AD36" s="40">
        <f t="shared" si="19"/>
        <v>8.8274544748188899E-4</v>
      </c>
      <c r="AE36" s="39">
        <f t="shared" si="27"/>
        <v>3.5439283953951251E-3</v>
      </c>
      <c r="AF36" s="37">
        <f t="shared" si="20"/>
        <v>0.15832122874620433</v>
      </c>
      <c r="AG36" s="37">
        <f t="shared" si="9"/>
        <v>3.1582670454352022E-3</v>
      </c>
      <c r="AH36" s="37">
        <f t="shared" si="10"/>
        <v>6.2669077759960144E-3</v>
      </c>
      <c r="AI36" s="40">
        <f t="shared" si="21"/>
        <v>9.4251748214312162E-3</v>
      </c>
      <c r="AJ36" s="39">
        <f t="shared" si="22"/>
        <v>2.2011977611149842E-5</v>
      </c>
      <c r="AK36" s="37">
        <f t="shared" si="11"/>
        <v>1.2477460790344466E-2</v>
      </c>
      <c r="AL36" s="37">
        <f t="shared" si="12"/>
        <v>3.6249999999999998E-3</v>
      </c>
      <c r="AM36" s="37">
        <f t="shared" si="13"/>
        <v>0.29622500000000002</v>
      </c>
      <c r="AN36" s="40">
        <f t="shared" si="23"/>
        <v>0.29985000000000001</v>
      </c>
      <c r="AO36" s="39">
        <f t="shared" si="14"/>
        <v>8.2716517856636258E-4</v>
      </c>
      <c r="AP36" s="37">
        <f t="shared" si="15"/>
        <v>3.0375000000000006E-2</v>
      </c>
      <c r="AQ36" s="40">
        <f t="shared" si="16"/>
        <v>5.4000000000000003E-3</v>
      </c>
      <c r="AR36" s="39">
        <f t="shared" si="24"/>
        <v>0.34676008544747949</v>
      </c>
      <c r="AS36" s="37">
        <f t="shared" si="25"/>
        <v>0.50169999999999992</v>
      </c>
      <c r="AT36" s="40">
        <f t="shared" si="26"/>
        <v>59.130654300066745</v>
      </c>
    </row>
    <row r="37" spans="17:46" x14ac:dyDescent="0.2">
      <c r="Q37">
        <v>30</v>
      </c>
      <c r="R37" s="39">
        <f t="shared" si="0"/>
        <v>173</v>
      </c>
      <c r="S37" s="37">
        <f t="shared" si="1"/>
        <v>2.9999999999999996E-3</v>
      </c>
      <c r="T37" s="37">
        <f t="shared" si="2"/>
        <v>12</v>
      </c>
      <c r="U37" s="40">
        <f t="shared" si="3"/>
        <v>4.5526315789473679E-2</v>
      </c>
      <c r="V37" s="39">
        <f t="shared" si="4"/>
        <v>1</v>
      </c>
      <c r="W37" s="37">
        <f t="shared" si="5"/>
        <v>8.1904415835370753E-2</v>
      </c>
      <c r="X37" s="40">
        <f t="shared" si="6"/>
        <v>5.0872307972279964E-4</v>
      </c>
      <c r="Y37" s="39">
        <f t="shared" si="7"/>
        <v>0.98285299002444915</v>
      </c>
      <c r="Z37" s="37">
        <f t="shared" si="28"/>
        <v>0.98285299002444915</v>
      </c>
      <c r="AA37" s="37">
        <f t="shared" si="29"/>
        <v>0.16290190523950332</v>
      </c>
      <c r="AB37" s="37">
        <v>0</v>
      </c>
      <c r="AC37" s="37">
        <f t="shared" si="8"/>
        <v>9.2879607557310427E-4</v>
      </c>
      <c r="AD37" s="40">
        <f t="shared" si="19"/>
        <v>9.2879607557310427E-4</v>
      </c>
      <c r="AE37" s="39">
        <f t="shared" si="27"/>
        <v>3.7288062998734575E-3</v>
      </c>
      <c r="AF37" s="37">
        <f t="shared" si="20"/>
        <v>0.16239834327661531</v>
      </c>
      <c r="AG37" s="37">
        <f t="shared" si="9"/>
        <v>3.3230259592726625E-3</v>
      </c>
      <c r="AH37" s="37">
        <f t="shared" si="10"/>
        <v>6.4830080441338079E-3</v>
      </c>
      <c r="AI37" s="40">
        <f t="shared" si="21"/>
        <v>9.8060340034064712E-3</v>
      </c>
      <c r="AJ37" s="39">
        <f t="shared" si="22"/>
        <v>2.3160287576853771E-5</v>
      </c>
      <c r="AK37" s="37">
        <f t="shared" si="11"/>
        <v>1.2798782429229019E-2</v>
      </c>
      <c r="AL37" s="37">
        <f t="shared" si="12"/>
        <v>3.7499999999999994E-3</v>
      </c>
      <c r="AM37" s="37">
        <f t="shared" si="13"/>
        <v>0.29622500000000002</v>
      </c>
      <c r="AN37" s="40">
        <f t="shared" si="23"/>
        <v>0.29997499999999999</v>
      </c>
      <c r="AO37" s="39">
        <f t="shared" si="14"/>
        <v>8.7031632266664979E-4</v>
      </c>
      <c r="AP37" s="37">
        <f t="shared" si="15"/>
        <v>3.0375000000000006E-2</v>
      </c>
      <c r="AQ37" s="40">
        <f t="shared" si="16"/>
        <v>5.4000000000000003E-3</v>
      </c>
      <c r="AR37" s="39">
        <f t="shared" si="24"/>
        <v>0.34735514640164622</v>
      </c>
      <c r="AS37" s="37">
        <f t="shared" si="25"/>
        <v>0.51899999999999991</v>
      </c>
      <c r="AT37" s="40">
        <f t="shared" si="26"/>
        <v>59.906148437581876</v>
      </c>
    </row>
    <row r="38" spans="17:46" x14ac:dyDescent="0.2">
      <c r="Q38">
        <v>31</v>
      </c>
      <c r="R38" s="39">
        <f t="shared" si="0"/>
        <v>173</v>
      </c>
      <c r="S38" s="37">
        <f t="shared" si="1"/>
        <v>3.0999999999999999E-3</v>
      </c>
      <c r="T38" s="37">
        <f t="shared" si="2"/>
        <v>12</v>
      </c>
      <c r="U38" s="40">
        <f t="shared" si="3"/>
        <v>4.7043859649122811E-2</v>
      </c>
      <c r="V38" s="39">
        <f t="shared" si="4"/>
        <v>1</v>
      </c>
      <c r="W38" s="37">
        <f t="shared" si="5"/>
        <v>8.3258299552924117E-2</v>
      </c>
      <c r="X38" s="40">
        <f t="shared" si="6"/>
        <v>5.1713229535977712E-4</v>
      </c>
      <c r="Y38" s="39">
        <f t="shared" si="7"/>
        <v>0.99909959463508946</v>
      </c>
      <c r="Z38" s="37">
        <f t="shared" si="28"/>
        <v>0.99909959463508946</v>
      </c>
      <c r="AA38" s="37">
        <f t="shared" si="29"/>
        <v>0.16695771527641062</v>
      </c>
      <c r="AB38" s="37">
        <v>0</v>
      </c>
      <c r="AC38" s="37">
        <f t="shared" si="8"/>
        <v>9.7562075416116501E-4</v>
      </c>
      <c r="AD38" s="40">
        <f t="shared" si="19"/>
        <v>9.7562075416116501E-4</v>
      </c>
      <c r="AE38" s="39">
        <f t="shared" si="27"/>
        <v>3.9167917587923868E-3</v>
      </c>
      <c r="AF38" s="37">
        <f t="shared" si="20"/>
        <v>0.16644161600365945</v>
      </c>
      <c r="AG38" s="37">
        <f t="shared" si="9"/>
        <v>3.4905542537766125E-3</v>
      </c>
      <c r="AH38" s="37">
        <f t="shared" si="10"/>
        <v>6.699108312271604E-3</v>
      </c>
      <c r="AI38" s="40">
        <f t="shared" si="21"/>
        <v>1.0189662566048217E-2</v>
      </c>
      <c r="AJ38" s="39">
        <f t="shared" si="22"/>
        <v>2.4327899122934078E-5</v>
      </c>
      <c r="AK38" s="37">
        <f t="shared" si="11"/>
        <v>1.3117436960373645E-2</v>
      </c>
      <c r="AL38" s="37">
        <f t="shared" si="12"/>
        <v>3.875E-3</v>
      </c>
      <c r="AM38" s="37">
        <f t="shared" si="13"/>
        <v>0.29622500000000002</v>
      </c>
      <c r="AN38" s="40">
        <f t="shared" si="23"/>
        <v>0.30010000000000003</v>
      </c>
      <c r="AO38" s="39">
        <f t="shared" si="14"/>
        <v>9.1419278075101763E-4</v>
      </c>
      <c r="AP38" s="37">
        <f t="shared" si="15"/>
        <v>3.0375000000000006E-2</v>
      </c>
      <c r="AQ38" s="40">
        <f t="shared" si="16"/>
        <v>5.4000000000000003E-3</v>
      </c>
      <c r="AR38" s="39">
        <f t="shared" si="24"/>
        <v>0.34795447610096042</v>
      </c>
      <c r="AS38" s="37">
        <f t="shared" si="25"/>
        <v>0.5363</v>
      </c>
      <c r="AT38" s="40">
        <f t="shared" si="26"/>
        <v>60.649961577210895</v>
      </c>
    </row>
    <row r="39" spans="17:46" x14ac:dyDescent="0.2">
      <c r="Q39">
        <v>32</v>
      </c>
      <c r="R39" s="39">
        <f t="shared" si="0"/>
        <v>173</v>
      </c>
      <c r="S39" s="37">
        <f t="shared" ref="S39:S70" si="30">Q39*$O$12</f>
        <v>3.1999999999999997E-3</v>
      </c>
      <c r="T39" s="37">
        <f t="shared" si="2"/>
        <v>12</v>
      </c>
      <c r="U39" s="40">
        <f t="shared" ref="U39:U70" si="31">(R39*S39)/(T39*EFF_est)</f>
        <v>4.8561403508771937E-2</v>
      </c>
      <c r="V39" s="39">
        <f t="shared" ref="V39:V70" si="32">IF((S39*R39/T39)&lt;((T39*(1-(T39/R39)))/(2*Lm*Fsw)),1,2)</f>
        <v>1</v>
      </c>
      <c r="W39" s="37">
        <f t="shared" ref="W39:W70" si="33">CHOOSE(V39,SQRT((2*S39*Lm*Fsw*(R39-T39))/((T39)^2)),1-(T39/R39))</f>
        <v>8.4590516936330143E-2</v>
      </c>
      <c r="X39" s="40">
        <f t="shared" ref="X39:X70" si="34">CHOOSE(V39,(Lm*W39*Fsw)/(R39-T39),1-W39)</f>
        <v>5.2540693749273369E-4</v>
      </c>
      <c r="Y39" s="39">
        <f t="shared" ref="Y39:Y70" si="35">(T39*W39)/(Lm*Fsw)</f>
        <v>1.015086203235962</v>
      </c>
      <c r="Z39" s="37">
        <f t="shared" si="28"/>
        <v>1.015086203235962</v>
      </c>
      <c r="AA39" s="37">
        <f t="shared" si="29"/>
        <v>0.17098094236842806</v>
      </c>
      <c r="AB39" s="37">
        <v>0</v>
      </c>
      <c r="AC39" s="37">
        <f t="shared" ref="AC39:AC70" si="36">(AA39^2)*Rdcr</f>
        <v>1.0232068928618502E-3</v>
      </c>
      <c r="AD39" s="40">
        <f t="shared" si="19"/>
        <v>1.0232068928618502E-3</v>
      </c>
      <c r="AE39" s="39">
        <f t="shared" si="27"/>
        <v>4.1078342259607348E-3</v>
      </c>
      <c r="AF39" s="37">
        <f t="shared" si="20"/>
        <v>0.17045240650613164</v>
      </c>
      <c r="AG39" s="37">
        <f t="shared" ref="AG39:AG70" si="37">(AF39^2)*RDS_on</f>
        <v>3.6608068833501751E-3</v>
      </c>
      <c r="AH39" s="37">
        <f t="shared" ref="AH39:AH70" si="38">((R39*U39)/2)*Fsw*(tr_sw+tf_sw)</f>
        <v>6.9152085804093967E-3</v>
      </c>
      <c r="AI39" s="40">
        <f t="shared" si="21"/>
        <v>1.0576015463759572E-2</v>
      </c>
      <c r="AJ39" s="39">
        <f t="shared" si="22"/>
        <v>2.5514498297892755E-5</v>
      </c>
      <c r="AK39" s="37">
        <f t="shared" ref="AK39:AK70" si="39">CHOOSE(V39,Z39*SQRT(X39/3),SQRT(X39*((Z39^2)+((Y39^2)/3)-(Y39*Z39))))</f>
        <v>1.343353153359797E-2</v>
      </c>
      <c r="AL39" s="37">
        <f t="shared" ref="AL39:AL70" si="40">S39*Vd_rect</f>
        <v>4.0000000000000001E-3</v>
      </c>
      <c r="AM39" s="37">
        <f t="shared" ref="AM39:AM70" si="41">CHOOSE(V39,(R39+Vd_rect)*Qrr*Fsw,(R39+Vd_rect)*Qrr*Fsw)</f>
        <v>0.29622500000000002</v>
      </c>
      <c r="AN39" s="40">
        <f t="shared" si="23"/>
        <v>0.30022500000000002</v>
      </c>
      <c r="AO39" s="39">
        <f t="shared" ref="AO39:AO70" si="42">(AF39^2)*R_cs</f>
        <v>9.5878275516314115E-4</v>
      </c>
      <c r="AP39" s="37">
        <f t="shared" ref="AP39:AP70" si="43">Qg_tot*Vcc*Fsw</f>
        <v>3.0375000000000006E-2</v>
      </c>
      <c r="AQ39" s="40">
        <f t="shared" ref="AQ39:AQ70" si="44">IQ*T39</f>
        <v>5.4000000000000003E-3</v>
      </c>
      <c r="AR39" s="39">
        <f t="shared" si="24"/>
        <v>0.34855800511178459</v>
      </c>
      <c r="AS39" s="37">
        <f t="shared" si="25"/>
        <v>0.55359999999999998</v>
      </c>
      <c r="AT39" s="40">
        <f t="shared" si="26"/>
        <v>61.363973590347356</v>
      </c>
    </row>
    <row r="40" spans="17:46" x14ac:dyDescent="0.2">
      <c r="Q40">
        <v>33</v>
      </c>
      <c r="R40" s="39">
        <f t="shared" si="0"/>
        <v>173</v>
      </c>
      <c r="S40" s="37">
        <f t="shared" si="30"/>
        <v>3.2999999999999995E-3</v>
      </c>
      <c r="T40" s="37">
        <f t="shared" si="2"/>
        <v>12</v>
      </c>
      <c r="U40" s="40">
        <f t="shared" si="31"/>
        <v>5.0078947368421056E-2</v>
      </c>
      <c r="V40" s="39">
        <f t="shared" si="32"/>
        <v>1</v>
      </c>
      <c r="W40" s="37">
        <f t="shared" si="33"/>
        <v>8.5902076032344329E-2</v>
      </c>
      <c r="X40" s="40">
        <f t="shared" si="34"/>
        <v>5.3355326728164168E-4</v>
      </c>
      <c r="Y40" s="39">
        <f t="shared" si="35"/>
        <v>1.0308249123881321</v>
      </c>
      <c r="Z40" s="37">
        <f t="shared" si="28"/>
        <v>1.0308249123881321</v>
      </c>
      <c r="AA40" s="37">
        <f t="shared" si="29"/>
        <v>0.17497285474589344</v>
      </c>
      <c r="AB40" s="37">
        <v>0</v>
      </c>
      <c r="AC40" s="37">
        <f t="shared" si="36"/>
        <v>1.0715424964274636E-3</v>
      </c>
      <c r="AD40" s="40">
        <f t="shared" si="19"/>
        <v>1.0715424964274636E-3</v>
      </c>
      <c r="AE40" s="39">
        <f t="shared" si="27"/>
        <v>4.3018855444618758E-3</v>
      </c>
      <c r="AF40" s="37">
        <f t="shared" si="20"/>
        <v>0.17443197909401925</v>
      </c>
      <c r="AG40" s="37">
        <f t="shared" si="37"/>
        <v>3.8337409316627023E-3</v>
      </c>
      <c r="AH40" s="37">
        <f t="shared" si="38"/>
        <v>7.1313088485471911E-3</v>
      </c>
      <c r="AI40" s="40">
        <f t="shared" si="21"/>
        <v>1.0965049780209894E-2</v>
      </c>
      <c r="AJ40" s="39">
        <f t="shared" si="22"/>
        <v>2.6719785990446427E-5</v>
      </c>
      <c r="AK40" s="37">
        <f t="shared" si="39"/>
        <v>1.374716579048778E-2</v>
      </c>
      <c r="AL40" s="37">
        <f t="shared" si="40"/>
        <v>4.1249999999999993E-3</v>
      </c>
      <c r="AM40" s="37">
        <f t="shared" si="41"/>
        <v>0.29622500000000002</v>
      </c>
      <c r="AN40" s="40">
        <f t="shared" si="23"/>
        <v>0.30035000000000001</v>
      </c>
      <c r="AO40" s="39">
        <f t="shared" si="42"/>
        <v>1.0040750059116602E-3</v>
      </c>
      <c r="AP40" s="37">
        <f t="shared" si="43"/>
        <v>3.0375000000000006E-2</v>
      </c>
      <c r="AQ40" s="40">
        <f t="shared" si="44"/>
        <v>5.4000000000000003E-3</v>
      </c>
      <c r="AR40" s="39">
        <f t="shared" si="24"/>
        <v>0.34916566728254905</v>
      </c>
      <c r="AS40" s="37">
        <f t="shared" si="25"/>
        <v>0.57089999999999996</v>
      </c>
      <c r="AT40" s="40">
        <f t="shared" si="26"/>
        <v>62.049918859180572</v>
      </c>
    </row>
    <row r="41" spans="17:46" x14ac:dyDescent="0.2">
      <c r="Q41">
        <v>34</v>
      </c>
      <c r="R41" s="39">
        <f t="shared" si="0"/>
        <v>173</v>
      </c>
      <c r="S41" s="37">
        <f t="shared" si="30"/>
        <v>3.3999999999999998E-3</v>
      </c>
      <c r="T41" s="37">
        <f t="shared" si="2"/>
        <v>12</v>
      </c>
      <c r="U41" s="40">
        <f t="shared" si="31"/>
        <v>5.1596491228070175E-2</v>
      </c>
      <c r="V41" s="39">
        <f t="shared" si="32"/>
        <v>1</v>
      </c>
      <c r="W41" s="37">
        <f t="shared" si="33"/>
        <v>8.7193909063522188E-2</v>
      </c>
      <c r="X41" s="40">
        <f t="shared" si="34"/>
        <v>5.4157707492870919E-4</v>
      </c>
      <c r="Y41" s="39">
        <f t="shared" si="35"/>
        <v>1.0463269087622664</v>
      </c>
      <c r="Z41" s="37">
        <f t="shared" si="28"/>
        <v>1.0463269087622664</v>
      </c>
      <c r="AA41" s="37">
        <f t="shared" si="29"/>
        <v>0.17893463445662314</v>
      </c>
      <c r="AB41" s="37">
        <v>0</v>
      </c>
      <c r="AC41" s="37">
        <f t="shared" si="36"/>
        <v>1.1206161192843871E-3</v>
      </c>
      <c r="AD41" s="40">
        <f t="shared" si="19"/>
        <v>1.1206161192843871E-3</v>
      </c>
      <c r="AE41" s="39">
        <f t="shared" si="27"/>
        <v>4.4988997641371709E-3</v>
      </c>
      <c r="AF41" s="37">
        <f t="shared" si="20"/>
        <v>0.17838151216119541</v>
      </c>
      <c r="AG41" s="37">
        <f t="shared" si="37"/>
        <v>4.0093154489952536E-3</v>
      </c>
      <c r="AH41" s="37">
        <f t="shared" si="38"/>
        <v>7.3474091166849829E-3</v>
      </c>
      <c r="AI41" s="40">
        <f t="shared" si="21"/>
        <v>1.1356724565680237E-2</v>
      </c>
      <c r="AJ41" s="39">
        <f t="shared" si="22"/>
        <v>2.7943476795883049E-5</v>
      </c>
      <c r="AK41" s="37">
        <f t="shared" si="39"/>
        <v>1.4058432601490478E-2</v>
      </c>
      <c r="AL41" s="37">
        <f t="shared" si="40"/>
        <v>4.2499999999999994E-3</v>
      </c>
      <c r="AM41" s="37">
        <f t="shared" si="41"/>
        <v>0.29622500000000002</v>
      </c>
      <c r="AN41" s="40">
        <f t="shared" si="23"/>
        <v>0.30047499999999999</v>
      </c>
      <c r="AO41" s="39">
        <f t="shared" si="42"/>
        <v>1.0500588080701854E-3</v>
      </c>
      <c r="AP41" s="37">
        <f t="shared" si="43"/>
        <v>3.0375000000000006E-2</v>
      </c>
      <c r="AQ41" s="40">
        <f t="shared" si="44"/>
        <v>5.4000000000000003E-3</v>
      </c>
      <c r="AR41" s="39">
        <f t="shared" si="24"/>
        <v>0.34977739949303477</v>
      </c>
      <c r="AS41" s="37">
        <f t="shared" si="25"/>
        <v>0.58819999999999995</v>
      </c>
      <c r="AT41" s="40">
        <f t="shared" si="26"/>
        <v>62.709400068478715</v>
      </c>
    </row>
    <row r="42" spans="17:46" x14ac:dyDescent="0.2">
      <c r="Q42">
        <v>35</v>
      </c>
      <c r="R42" s="39">
        <f t="shared" si="0"/>
        <v>173</v>
      </c>
      <c r="S42" s="37">
        <f t="shared" si="30"/>
        <v>3.4999999999999996E-3</v>
      </c>
      <c r="T42" s="37">
        <f t="shared" si="2"/>
        <v>12</v>
      </c>
      <c r="U42" s="40">
        <f t="shared" si="31"/>
        <v>5.3114035087719301E-2</v>
      </c>
      <c r="V42" s="39">
        <f t="shared" si="32"/>
        <v>1</v>
      </c>
      <c r="W42" s="37">
        <f t="shared" si="33"/>
        <v>8.846688018060142E-2</v>
      </c>
      <c r="X42" s="40">
        <f t="shared" si="34"/>
        <v>5.4948372782982237E-4</v>
      </c>
      <c r="Y42" s="39">
        <f t="shared" si="35"/>
        <v>1.0616025621672172</v>
      </c>
      <c r="Z42" s="37">
        <f t="shared" si="28"/>
        <v>1.0616025621672172</v>
      </c>
      <c r="AA42" s="37">
        <f t="shared" si="29"/>
        <v>0.18286738557836754</v>
      </c>
      <c r="AB42" s="37">
        <v>0</v>
      </c>
      <c r="AC42" s="37">
        <f t="shared" si="36"/>
        <v>1.1704168247893571E-3</v>
      </c>
      <c r="AD42" s="40">
        <f t="shared" si="19"/>
        <v>1.1704168247893571E-3</v>
      </c>
      <c r="AE42" s="39">
        <f t="shared" si="27"/>
        <v>4.6988329780135235E-3</v>
      </c>
      <c r="AF42" s="37">
        <f t="shared" si="20"/>
        <v>0.18230210637248803</v>
      </c>
      <c r="AG42" s="37">
        <f t="shared" si="37"/>
        <v>4.187491306468589E-3</v>
      </c>
      <c r="AH42" s="37">
        <f t="shared" si="38"/>
        <v>7.5635093848227773E-3</v>
      </c>
      <c r="AI42" s="40">
        <f t="shared" si="21"/>
        <v>1.1751000691291365E-2</v>
      </c>
      <c r="AJ42" s="39">
        <f t="shared" si="22"/>
        <v>2.918529800008399E-5</v>
      </c>
      <c r="AK42" s="37">
        <f t="shared" si="39"/>
        <v>1.4367418711146527E-2</v>
      </c>
      <c r="AL42" s="37">
        <f t="shared" si="40"/>
        <v>4.3749999999999995E-3</v>
      </c>
      <c r="AM42" s="37">
        <f t="shared" si="41"/>
        <v>0.29622500000000002</v>
      </c>
      <c r="AN42" s="40">
        <f t="shared" si="23"/>
        <v>0.30060000000000003</v>
      </c>
      <c r="AO42" s="39">
        <f t="shared" si="42"/>
        <v>1.0967239135989161E-3</v>
      </c>
      <c r="AP42" s="37">
        <f t="shared" si="43"/>
        <v>3.0375000000000006E-2</v>
      </c>
      <c r="AQ42" s="40">
        <f t="shared" si="44"/>
        <v>5.4000000000000003E-3</v>
      </c>
      <c r="AR42" s="39">
        <f t="shared" si="24"/>
        <v>0.3503931414296797</v>
      </c>
      <c r="AS42" s="37">
        <f t="shared" si="25"/>
        <v>0.60549999999999993</v>
      </c>
      <c r="AT42" s="40">
        <f t="shared" si="26"/>
        <v>63.343900458830063</v>
      </c>
    </row>
    <row r="43" spans="17:46" x14ac:dyDescent="0.2">
      <c r="Q43">
        <v>36</v>
      </c>
      <c r="R43" s="39">
        <f t="shared" si="0"/>
        <v>173</v>
      </c>
      <c r="S43" s="37">
        <f t="shared" si="30"/>
        <v>3.5999999999999999E-3</v>
      </c>
      <c r="T43" s="37">
        <f t="shared" si="2"/>
        <v>12</v>
      </c>
      <c r="U43" s="40">
        <f t="shared" si="31"/>
        <v>5.4631578947368427E-2</v>
      </c>
      <c r="V43" s="39">
        <f t="shared" si="32"/>
        <v>1</v>
      </c>
      <c r="W43" s="37">
        <f t="shared" si="33"/>
        <v>8.9721792224631808E-2</v>
      </c>
      <c r="X43" s="40">
        <f t="shared" si="34"/>
        <v>5.5727821257535275E-4</v>
      </c>
      <c r="Y43" s="39">
        <f t="shared" si="35"/>
        <v>1.0766615066955818</v>
      </c>
      <c r="Z43" s="37">
        <f t="shared" si="28"/>
        <v>1.0766615066955818</v>
      </c>
      <c r="AA43" s="37">
        <f t="shared" si="29"/>
        <v>0.18677214143693074</v>
      </c>
      <c r="AB43" s="37">
        <v>0</v>
      </c>
      <c r="AC43" s="37">
        <f t="shared" si="36"/>
        <v>1.2209341485927903E-3</v>
      </c>
      <c r="AD43" s="40">
        <f t="shared" si="19"/>
        <v>1.2209341485927903E-3</v>
      </c>
      <c r="AE43" s="39">
        <f t="shared" si="27"/>
        <v>4.9016431752193597E-3</v>
      </c>
      <c r="AF43" s="37">
        <f t="shared" si="20"/>
        <v>0.18619479185948715</v>
      </c>
      <c r="AG43" s="37">
        <f t="shared" si="37"/>
        <v>4.3682310649653154E-3</v>
      </c>
      <c r="AH43" s="37">
        <f t="shared" si="38"/>
        <v>7.7796096529605717E-3</v>
      </c>
      <c r="AI43" s="40">
        <f t="shared" si="21"/>
        <v>1.2147840717925887E-2</v>
      </c>
      <c r="AJ43" s="39">
        <f t="shared" si="22"/>
        <v>3.0444988665958748E-5</v>
      </c>
      <c r="AK43" s="37">
        <f t="shared" si="39"/>
        <v>1.467420530519852E-2</v>
      </c>
      <c r="AL43" s="37">
        <f t="shared" si="40"/>
        <v>4.4999999999999997E-3</v>
      </c>
      <c r="AM43" s="37">
        <f t="shared" si="41"/>
        <v>0.29622500000000002</v>
      </c>
      <c r="AN43" s="40">
        <f t="shared" si="23"/>
        <v>0.30072500000000002</v>
      </c>
      <c r="AO43" s="39">
        <f t="shared" si="42"/>
        <v>1.1440605170147256E-3</v>
      </c>
      <c r="AP43" s="37">
        <f t="shared" si="43"/>
        <v>3.0375000000000006E-2</v>
      </c>
      <c r="AQ43" s="40">
        <f t="shared" si="44"/>
        <v>5.4000000000000003E-3</v>
      </c>
      <c r="AR43" s="39">
        <f t="shared" si="24"/>
        <v>0.35101283538353345</v>
      </c>
      <c r="AS43" s="37">
        <f t="shared" si="25"/>
        <v>0.62280000000000002</v>
      </c>
      <c r="AT43" s="40">
        <f t="shared" si="26"/>
        <v>63.95479473781139</v>
      </c>
    </row>
    <row r="44" spans="17:46" x14ac:dyDescent="0.2">
      <c r="Q44">
        <v>37</v>
      </c>
      <c r="R44" s="39">
        <f t="shared" si="0"/>
        <v>173</v>
      </c>
      <c r="S44" s="37">
        <f t="shared" si="30"/>
        <v>3.6999999999999997E-3</v>
      </c>
      <c r="T44" s="37">
        <f t="shared" si="2"/>
        <v>12</v>
      </c>
      <c r="U44" s="40">
        <f t="shared" si="31"/>
        <v>5.6149122807017553E-2</v>
      </c>
      <c r="V44" s="39">
        <f t="shared" si="32"/>
        <v>1</v>
      </c>
      <c r="W44" s="37">
        <f t="shared" si="33"/>
        <v>9.0959392649198736E-2</v>
      </c>
      <c r="X44" s="40">
        <f t="shared" si="34"/>
        <v>5.6496517173415355E-4</v>
      </c>
      <c r="Y44" s="39">
        <f t="shared" si="35"/>
        <v>1.0915127117903851</v>
      </c>
      <c r="Z44" s="37">
        <f t="shared" si="28"/>
        <v>1.0915127117903851</v>
      </c>
      <c r="AA44" s="37">
        <f t="shared" si="29"/>
        <v>0.19064987097456904</v>
      </c>
      <c r="AB44" s="37">
        <v>0</v>
      </c>
      <c r="AC44" s="37">
        <f t="shared" si="36"/>
        <v>1.2721580655916938E-3</v>
      </c>
      <c r="AD44" s="40">
        <f t="shared" si="19"/>
        <v>1.2721580655916938E-3</v>
      </c>
      <c r="AE44" s="39">
        <f t="shared" si="27"/>
        <v>5.1072901083115893E-3</v>
      </c>
      <c r="AF44" s="37">
        <f t="shared" si="20"/>
        <v>0.19006053456925717</v>
      </c>
      <c r="AG44" s="37">
        <f t="shared" si="37"/>
        <v>4.5514988568947264E-3</v>
      </c>
      <c r="AH44" s="37">
        <f t="shared" si="38"/>
        <v>7.9957099210983644E-3</v>
      </c>
      <c r="AI44" s="40">
        <f t="shared" si="21"/>
        <v>1.2547208777993091E-2</v>
      </c>
      <c r="AJ44" s="39">
        <f t="shared" si="22"/>
        <v>3.1722298809388751E-5</v>
      </c>
      <c r="AK44" s="37">
        <f t="shared" si="39"/>
        <v>1.497886851093979E-2</v>
      </c>
      <c r="AL44" s="37">
        <f t="shared" si="40"/>
        <v>4.6249999999999998E-3</v>
      </c>
      <c r="AM44" s="37">
        <f t="shared" si="41"/>
        <v>0.29622500000000002</v>
      </c>
      <c r="AN44" s="40">
        <f t="shared" si="23"/>
        <v>0.30085000000000001</v>
      </c>
      <c r="AO44" s="39">
        <f t="shared" si="42"/>
        <v>1.1920592244248093E-3</v>
      </c>
      <c r="AP44" s="37">
        <f t="shared" si="43"/>
        <v>3.0375000000000006E-2</v>
      </c>
      <c r="AQ44" s="40">
        <f t="shared" si="44"/>
        <v>5.4000000000000003E-3</v>
      </c>
      <c r="AR44" s="39">
        <f t="shared" si="24"/>
        <v>0.3516364260680096</v>
      </c>
      <c r="AS44" s="37">
        <f t="shared" si="25"/>
        <v>0.6401</v>
      </c>
      <c r="AT44" s="40">
        <f t="shared" si="26"/>
        <v>64.543358817406627</v>
      </c>
    </row>
    <row r="45" spans="17:46" x14ac:dyDescent="0.2">
      <c r="Q45">
        <v>38</v>
      </c>
      <c r="R45" s="39">
        <f t="shared" si="0"/>
        <v>173</v>
      </c>
      <c r="S45" s="37">
        <f t="shared" si="30"/>
        <v>3.7999999999999996E-3</v>
      </c>
      <c r="T45" s="37">
        <f t="shared" si="2"/>
        <v>12</v>
      </c>
      <c r="U45" s="40">
        <f t="shared" si="31"/>
        <v>5.7666666666666665E-2</v>
      </c>
      <c r="V45" s="39">
        <f t="shared" si="32"/>
        <v>1</v>
      </c>
      <c r="W45" s="37">
        <f t="shared" si="33"/>
        <v>9.2180378726832213E-2</v>
      </c>
      <c r="X45" s="40">
        <f t="shared" si="34"/>
        <v>5.7254893619150429E-4</v>
      </c>
      <c r="Y45" s="39">
        <f t="shared" si="35"/>
        <v>1.1061645447219868</v>
      </c>
      <c r="Z45" s="37">
        <f t="shared" si="28"/>
        <v>1.1061645447219868</v>
      </c>
      <c r="AA45" s="37">
        <f t="shared" si="29"/>
        <v>0.19450148438891654</v>
      </c>
      <c r="AB45" s="37">
        <v>0</v>
      </c>
      <c r="AC45" s="37">
        <f t="shared" si="36"/>
        <v>1.3240789600322182E-3</v>
      </c>
      <c r="AD45" s="40">
        <f t="shared" si="19"/>
        <v>1.3240789600322182E-3</v>
      </c>
      <c r="AE45" s="39">
        <f t="shared" si="27"/>
        <v>5.3157351732473239E-3</v>
      </c>
      <c r="AF45" s="37">
        <f t="shared" si="20"/>
        <v>0.19390024188583152</v>
      </c>
      <c r="AG45" s="37">
        <f t="shared" si="37"/>
        <v>4.7372602792263799E-3</v>
      </c>
      <c r="AH45" s="37">
        <f t="shared" si="38"/>
        <v>8.2118101892361562E-3</v>
      </c>
      <c r="AI45" s="40">
        <f t="shared" si="21"/>
        <v>1.2949070468462536E-2</v>
      </c>
      <c r="AJ45" s="39">
        <f t="shared" si="22"/>
        <v>3.3016988653710077E-5</v>
      </c>
      <c r="AK45" s="37">
        <f t="shared" si="39"/>
        <v>1.5281479840250254E-2</v>
      </c>
      <c r="AL45" s="37">
        <f t="shared" si="40"/>
        <v>4.749999999999999E-3</v>
      </c>
      <c r="AM45" s="37">
        <f t="shared" si="41"/>
        <v>0.29622500000000002</v>
      </c>
      <c r="AN45" s="40">
        <f t="shared" si="23"/>
        <v>0.30097499999999999</v>
      </c>
      <c r="AO45" s="39">
        <f t="shared" si="42"/>
        <v>1.2407110255116711E-3</v>
      </c>
      <c r="AP45" s="37">
        <f t="shared" si="43"/>
        <v>3.0375000000000006E-2</v>
      </c>
      <c r="AQ45" s="40">
        <f t="shared" si="44"/>
        <v>5.4000000000000003E-3</v>
      </c>
      <c r="AR45" s="39">
        <f t="shared" si="24"/>
        <v>0.35226386045400643</v>
      </c>
      <c r="AS45" s="37">
        <f t="shared" si="25"/>
        <v>0.65739999999999987</v>
      </c>
      <c r="AT45" s="40">
        <f t="shared" si="26"/>
        <v>65.110778522308692</v>
      </c>
    </row>
    <row r="46" spans="17:46" x14ac:dyDescent="0.2">
      <c r="Q46">
        <v>39</v>
      </c>
      <c r="R46" s="39">
        <f t="shared" si="0"/>
        <v>173</v>
      </c>
      <c r="S46" s="37">
        <f t="shared" si="30"/>
        <v>3.8999999999999998E-3</v>
      </c>
      <c r="T46" s="37">
        <f t="shared" si="2"/>
        <v>12</v>
      </c>
      <c r="U46" s="40">
        <f t="shared" si="31"/>
        <v>5.9184210526315791E-2</v>
      </c>
      <c r="V46" s="39">
        <f t="shared" si="32"/>
        <v>1</v>
      </c>
      <c r="W46" s="37">
        <f t="shared" si="33"/>
        <v>9.3385402142590418E-2</v>
      </c>
      <c r="X46" s="40">
        <f t="shared" si="34"/>
        <v>5.800335536806857E-4</v>
      </c>
      <c r="Y46" s="39">
        <f t="shared" si="35"/>
        <v>1.1206248257110853</v>
      </c>
      <c r="Z46" s="37">
        <f t="shared" si="28"/>
        <v>1.1206248257110853</v>
      </c>
      <c r="AA46" s="37">
        <f t="shared" si="29"/>
        <v>0.1983278381429574</v>
      </c>
      <c r="AB46" s="37">
        <v>0</v>
      </c>
      <c r="AC46" s="37">
        <f t="shared" si="36"/>
        <v>1.3766875983860689E-3</v>
      </c>
      <c r="AD46" s="40">
        <f t="shared" si="19"/>
        <v>1.3766875983860689E-3</v>
      </c>
      <c r="AE46" s="39">
        <f t="shared" si="27"/>
        <v>5.5269413004917327E-3</v>
      </c>
      <c r="AF46" s="37">
        <f t="shared" si="20"/>
        <v>0.19771476762469808</v>
      </c>
      <c r="AG46" s="37">
        <f t="shared" si="37"/>
        <v>4.9254822964479332E-3</v>
      </c>
      <c r="AH46" s="37">
        <f t="shared" si="38"/>
        <v>8.4279104573739515E-3</v>
      </c>
      <c r="AI46" s="40">
        <f t="shared" si="21"/>
        <v>1.3353392753821886E-2</v>
      </c>
      <c r="AJ46" s="39">
        <f t="shared" si="22"/>
        <v>3.4328827953364791E-5</v>
      </c>
      <c r="AK46" s="37">
        <f t="shared" si="39"/>
        <v>1.5582106583217016E-2</v>
      </c>
      <c r="AL46" s="37">
        <f t="shared" si="40"/>
        <v>4.875E-3</v>
      </c>
      <c r="AM46" s="37">
        <f t="shared" si="41"/>
        <v>0.29622500000000002</v>
      </c>
      <c r="AN46" s="40">
        <f t="shared" si="23"/>
        <v>0.30110000000000003</v>
      </c>
      <c r="AO46" s="39">
        <f t="shared" si="42"/>
        <v>1.290007268117316E-3</v>
      </c>
      <c r="AP46" s="37">
        <f t="shared" si="43"/>
        <v>3.0375000000000006E-2</v>
      </c>
      <c r="AQ46" s="40">
        <f t="shared" si="44"/>
        <v>5.4000000000000003E-3</v>
      </c>
      <c r="AR46" s="39">
        <f t="shared" si="24"/>
        <v>0.35289508762032529</v>
      </c>
      <c r="AS46" s="37">
        <f t="shared" si="25"/>
        <v>0.67469999999999997</v>
      </c>
      <c r="AT46" s="40">
        <f t="shared" si="26"/>
        <v>65.658157393730889</v>
      </c>
    </row>
    <row r="47" spans="17:46" x14ac:dyDescent="0.2">
      <c r="Q47">
        <v>40</v>
      </c>
      <c r="R47" s="39">
        <f t="shared" si="0"/>
        <v>173</v>
      </c>
      <c r="S47" s="37">
        <f t="shared" si="30"/>
        <v>4.0000000000000001E-3</v>
      </c>
      <c r="T47" s="37">
        <f t="shared" si="2"/>
        <v>12</v>
      </c>
      <c r="U47" s="40">
        <f t="shared" si="31"/>
        <v>6.0701754385964923E-2</v>
      </c>
      <c r="V47" s="39">
        <f t="shared" si="32"/>
        <v>1</v>
      </c>
      <c r="W47" s="37">
        <f t="shared" si="33"/>
        <v>9.45750730607407E-2</v>
      </c>
      <c r="X47" s="40">
        <f t="shared" si="34"/>
        <v>5.8742281404186765E-4</v>
      </c>
      <c r="Y47" s="39">
        <f t="shared" si="35"/>
        <v>1.1349008767288886</v>
      </c>
      <c r="Z47" s="37">
        <f t="shared" si="28"/>
        <v>1.1349008767288886</v>
      </c>
      <c r="AA47" s="37">
        <f t="shared" si="29"/>
        <v>0.20212973943049545</v>
      </c>
      <c r="AB47" s="37">
        <v>0</v>
      </c>
      <c r="AC47" s="37">
        <f t="shared" si="36"/>
        <v>1.4299751046783998E-3</v>
      </c>
      <c r="AD47" s="40">
        <f t="shared" si="19"/>
        <v>1.4299751046783998E-3</v>
      </c>
      <c r="AE47" s="39">
        <f t="shared" si="27"/>
        <v>5.7408728559677699E-3</v>
      </c>
      <c r="AF47" s="37">
        <f t="shared" si="20"/>
        <v>0.20150491648446531</v>
      </c>
      <c r="AG47" s="37">
        <f t="shared" si="37"/>
        <v>5.1161331522938279E-3</v>
      </c>
      <c r="AH47" s="37">
        <f t="shared" si="38"/>
        <v>8.644010725511745E-3</v>
      </c>
      <c r="AI47" s="40">
        <f t="shared" si="21"/>
        <v>1.3760143877805574E-2</v>
      </c>
      <c r="AJ47" s="39">
        <f t="shared" si="22"/>
        <v>3.5657595378681795E-5</v>
      </c>
      <c r="AK47" s="37">
        <f t="shared" si="39"/>
        <v>1.58808121589748E-2</v>
      </c>
      <c r="AL47" s="37">
        <f t="shared" si="40"/>
        <v>5.0000000000000001E-3</v>
      </c>
      <c r="AM47" s="37">
        <f t="shared" si="41"/>
        <v>0.29622500000000002</v>
      </c>
      <c r="AN47" s="40">
        <f t="shared" si="23"/>
        <v>0.30122500000000002</v>
      </c>
      <c r="AO47" s="39">
        <f t="shared" si="42"/>
        <v>1.3399396351245741E-3</v>
      </c>
      <c r="AP47" s="37">
        <f t="shared" si="43"/>
        <v>3.0375000000000006E-2</v>
      </c>
      <c r="AQ47" s="40">
        <f t="shared" si="44"/>
        <v>5.4000000000000003E-3</v>
      </c>
      <c r="AR47" s="39">
        <f t="shared" si="24"/>
        <v>0.35353005861760856</v>
      </c>
      <c r="AS47" s="37">
        <f t="shared" si="25"/>
        <v>0.69200000000000006</v>
      </c>
      <c r="AT47" s="40">
        <f t="shared" si="26"/>
        <v>66.186523696406866</v>
      </c>
    </row>
    <row r="48" spans="17:46" x14ac:dyDescent="0.2">
      <c r="Q48">
        <v>41</v>
      </c>
      <c r="R48" s="39">
        <f t="shared" si="0"/>
        <v>173</v>
      </c>
      <c r="S48" s="37">
        <f t="shared" si="30"/>
        <v>4.0999999999999995E-3</v>
      </c>
      <c r="T48" s="37">
        <f t="shared" si="2"/>
        <v>12</v>
      </c>
      <c r="U48" s="40">
        <f t="shared" si="31"/>
        <v>6.2219298245614035E-2</v>
      </c>
      <c r="V48" s="39">
        <f t="shared" si="32"/>
        <v>1</v>
      </c>
      <c r="W48" s="37">
        <f t="shared" si="33"/>
        <v>9.5749963736575655E-2</v>
      </c>
      <c r="X48" s="40">
        <f t="shared" si="34"/>
        <v>5.947202716557493E-4</v>
      </c>
      <c r="Y48" s="39">
        <f t="shared" si="35"/>
        <v>1.1489995648389082</v>
      </c>
      <c r="Z48" s="37">
        <f t="shared" si="28"/>
        <v>1.1489995648389082</v>
      </c>
      <c r="AA48" s="37">
        <f t="shared" si="29"/>
        <v>0.20590795016840829</v>
      </c>
      <c r="AB48" s="37">
        <v>0</v>
      </c>
      <c r="AC48" s="37">
        <f t="shared" si="36"/>
        <v>1.4839329379894501E-3</v>
      </c>
      <c r="AD48" s="40">
        <f t="shared" si="19"/>
        <v>1.4839329379894501E-3</v>
      </c>
      <c r="AE48" s="39">
        <f t="shared" si="27"/>
        <v>5.9574955507327295E-3</v>
      </c>
      <c r="AF48" s="37">
        <f t="shared" si="20"/>
        <v>0.20527144802677519</v>
      </c>
      <c r="AG48" s="37">
        <f t="shared" si="37"/>
        <v>5.3091822892511421E-3</v>
      </c>
      <c r="AH48" s="37">
        <f t="shared" si="38"/>
        <v>8.8601109936495368E-3</v>
      </c>
      <c r="AI48" s="40">
        <f t="shared" si="21"/>
        <v>1.4169293282900678E-2</v>
      </c>
      <c r="AJ48" s="39">
        <f t="shared" si="22"/>
        <v>3.7003077954861666E-5</v>
      </c>
      <c r="AK48" s="37">
        <f t="shared" si="39"/>
        <v>1.6177656429367023E-2</v>
      </c>
      <c r="AL48" s="37">
        <f t="shared" si="40"/>
        <v>5.1249999999999993E-3</v>
      </c>
      <c r="AM48" s="37">
        <f t="shared" si="41"/>
        <v>0.29622500000000002</v>
      </c>
      <c r="AN48" s="40">
        <f t="shared" si="23"/>
        <v>0.30135000000000001</v>
      </c>
      <c r="AO48" s="39">
        <f t="shared" si="42"/>
        <v>1.3905001233752992E-3</v>
      </c>
      <c r="AP48" s="37">
        <f t="shared" si="43"/>
        <v>3.0375000000000006E-2</v>
      </c>
      <c r="AQ48" s="40">
        <f t="shared" si="44"/>
        <v>5.4000000000000003E-3</v>
      </c>
      <c r="AR48" s="39">
        <f t="shared" si="24"/>
        <v>0.35416872634426544</v>
      </c>
      <c r="AS48" s="37">
        <f t="shared" si="25"/>
        <v>0.70929999999999993</v>
      </c>
      <c r="AT48" s="40">
        <f t="shared" si="26"/>
        <v>66.696836722059444</v>
      </c>
    </row>
    <row r="49" spans="17:46" x14ac:dyDescent="0.2">
      <c r="Q49">
        <v>42</v>
      </c>
      <c r="R49" s="39">
        <f t="shared" si="0"/>
        <v>173</v>
      </c>
      <c r="S49" s="37">
        <f t="shared" si="30"/>
        <v>4.1999999999999997E-3</v>
      </c>
      <c r="T49" s="37">
        <f t="shared" si="2"/>
        <v>12</v>
      </c>
      <c r="U49" s="40">
        <f t="shared" si="31"/>
        <v>6.3736842105263161E-2</v>
      </c>
      <c r="V49" s="39">
        <f t="shared" si="32"/>
        <v>1</v>
      </c>
      <c r="W49" s="37">
        <f t="shared" si="33"/>
        <v>9.6910611734044194E-2</v>
      </c>
      <c r="X49" s="40">
        <f t="shared" si="34"/>
        <v>6.0192926542884586E-4</v>
      </c>
      <c r="Y49" s="39">
        <f t="shared" si="35"/>
        <v>1.1629273408085306</v>
      </c>
      <c r="Z49" s="37">
        <f t="shared" si="28"/>
        <v>1.1629273408085306</v>
      </c>
      <c r="AA49" s="37">
        <f t="shared" si="29"/>
        <v>0.20966319057612964</v>
      </c>
      <c r="AB49" s="37">
        <v>0</v>
      </c>
      <c r="AC49" s="37">
        <f t="shared" si="36"/>
        <v>1.538552871889686E-3</v>
      </c>
      <c r="AD49" s="40">
        <f t="shared" si="19"/>
        <v>1.538552871889686E-3</v>
      </c>
      <c r="AE49" s="39">
        <f t="shared" si="27"/>
        <v>6.1767763584172379E-3</v>
      </c>
      <c r="AF49" s="37">
        <f t="shared" si="20"/>
        <v>0.20901508024472093</v>
      </c>
      <c r="AG49" s="37">
        <f t="shared" si="37"/>
        <v>5.504600274983098E-3</v>
      </c>
      <c r="AH49" s="37">
        <f t="shared" si="38"/>
        <v>9.0762112617873338E-3</v>
      </c>
      <c r="AI49" s="40">
        <f t="shared" si="21"/>
        <v>1.4580811536770433E-2</v>
      </c>
      <c r="AJ49" s="39">
        <f t="shared" si="22"/>
        <v>3.8365070549175391E-5</v>
      </c>
      <c r="AK49" s="37">
        <f t="shared" si="39"/>
        <v>1.6472695980176522E-2</v>
      </c>
      <c r="AL49" s="37">
        <f t="shared" si="40"/>
        <v>5.2499999999999995E-3</v>
      </c>
      <c r="AM49" s="37">
        <f t="shared" si="41"/>
        <v>0.29622500000000002</v>
      </c>
      <c r="AN49" s="40">
        <f t="shared" si="23"/>
        <v>0.30147499999999999</v>
      </c>
      <c r="AO49" s="39">
        <f t="shared" si="42"/>
        <v>1.4416810244003353E-3</v>
      </c>
      <c r="AP49" s="37">
        <f t="shared" si="43"/>
        <v>3.0375000000000006E-2</v>
      </c>
      <c r="AQ49" s="40">
        <f t="shared" si="44"/>
        <v>5.4000000000000003E-3</v>
      </c>
      <c r="AR49" s="39">
        <f t="shared" si="24"/>
        <v>0.35481104543306047</v>
      </c>
      <c r="AS49" s="37">
        <f t="shared" si="25"/>
        <v>0.72659999999999991</v>
      </c>
      <c r="AT49" s="40">
        <f t="shared" si="26"/>
        <v>67.189992470349395</v>
      </c>
    </row>
    <row r="50" spans="17:46" x14ac:dyDescent="0.2">
      <c r="Q50">
        <v>43</v>
      </c>
      <c r="R50" s="39">
        <f t="shared" si="0"/>
        <v>173</v>
      </c>
      <c r="S50" s="37">
        <f t="shared" si="30"/>
        <v>4.3E-3</v>
      </c>
      <c r="T50" s="37">
        <f t="shared" si="2"/>
        <v>12</v>
      </c>
      <c r="U50" s="40">
        <f t="shared" si="31"/>
        <v>6.5254385964912287E-2</v>
      </c>
      <c r="V50" s="39">
        <f t="shared" si="32"/>
        <v>1</v>
      </c>
      <c r="W50" s="37">
        <f t="shared" si="33"/>
        <v>9.8057522800536714E-2</v>
      </c>
      <c r="X50" s="40">
        <f t="shared" si="34"/>
        <v>6.0905293664929633E-4</v>
      </c>
      <c r="Y50" s="39">
        <f t="shared" si="35"/>
        <v>1.1766902736064409</v>
      </c>
      <c r="Z50" s="37">
        <f t="shared" si="28"/>
        <v>1.1766902736064409</v>
      </c>
      <c r="AA50" s="37">
        <f t="shared" si="29"/>
        <v>0.21339614239383353</v>
      </c>
      <c r="AB50" s="37">
        <v>0</v>
      </c>
      <c r="AC50" s="37">
        <f t="shared" si="36"/>
        <v>1.5938269755999249E-3</v>
      </c>
      <c r="AD50" s="40">
        <f t="shared" si="19"/>
        <v>1.5938269755999249E-3</v>
      </c>
      <c r="AE50" s="39">
        <f t="shared" si="27"/>
        <v>6.3986834395894096E-3</v>
      </c>
      <c r="AF50" s="37">
        <f t="shared" si="20"/>
        <v>0.21273649277108306</v>
      </c>
      <c r="AG50" s="37">
        <f t="shared" si="37"/>
        <v>5.7023587349241756E-3</v>
      </c>
      <c r="AH50" s="37">
        <f t="shared" si="38"/>
        <v>9.2923115299251256E-3</v>
      </c>
      <c r="AI50" s="40">
        <f t="shared" si="21"/>
        <v>1.49946702648493E-2</v>
      </c>
      <c r="AJ50" s="39">
        <f t="shared" si="22"/>
        <v>3.9743375401176455E-5</v>
      </c>
      <c r="AK50" s="37">
        <f t="shared" si="39"/>
        <v>1.6765984373969974E-2</v>
      </c>
      <c r="AL50" s="37">
        <f t="shared" si="40"/>
        <v>5.3749999999999996E-3</v>
      </c>
      <c r="AM50" s="37">
        <f t="shared" si="41"/>
        <v>0.29622500000000002</v>
      </c>
      <c r="AN50" s="40">
        <f t="shared" si="23"/>
        <v>0.30160000000000003</v>
      </c>
      <c r="AO50" s="39">
        <f t="shared" si="42"/>
        <v>1.4934749067658554E-3</v>
      </c>
      <c r="AP50" s="37">
        <f t="shared" si="43"/>
        <v>3.0375000000000006E-2</v>
      </c>
      <c r="AQ50" s="40">
        <f t="shared" si="44"/>
        <v>5.4000000000000003E-3</v>
      </c>
      <c r="AR50" s="39">
        <f t="shared" si="24"/>
        <v>0.35545697214721511</v>
      </c>
      <c r="AS50" s="37">
        <f t="shared" si="25"/>
        <v>0.74390000000000001</v>
      </c>
      <c r="AT50" s="40">
        <f t="shared" si="26"/>
        <v>67.666828777830702</v>
      </c>
    </row>
    <row r="51" spans="17:46" x14ac:dyDescent="0.2">
      <c r="Q51">
        <v>44</v>
      </c>
      <c r="R51" s="39">
        <f t="shared" si="0"/>
        <v>173</v>
      </c>
      <c r="S51" s="37">
        <f t="shared" si="30"/>
        <v>4.3999999999999994E-3</v>
      </c>
      <c r="T51" s="37">
        <f t="shared" si="2"/>
        <v>12</v>
      </c>
      <c r="U51" s="40">
        <f t="shared" si="31"/>
        <v>6.6771929824561399E-2</v>
      </c>
      <c r="V51" s="39">
        <f t="shared" si="32"/>
        <v>1</v>
      </c>
      <c r="W51" s="37">
        <f t="shared" si="33"/>
        <v>9.9191173442443395E-2</v>
      </c>
      <c r="X51" s="40">
        <f t="shared" si="34"/>
        <v>6.1609424498412042E-4</v>
      </c>
      <c r="Y51" s="39">
        <f t="shared" si="35"/>
        <v>1.190294081309321</v>
      </c>
      <c r="Z51" s="37">
        <f t="shared" si="28"/>
        <v>1.190294081309321</v>
      </c>
      <c r="AA51" s="37">
        <f t="shared" si="29"/>
        <v>0.21710745178332577</v>
      </c>
      <c r="AB51" s="37">
        <v>0</v>
      </c>
      <c r="AC51" s="37">
        <f t="shared" si="36"/>
        <v>1.6497475966947197E-3</v>
      </c>
      <c r="AD51" s="40">
        <f t="shared" si="19"/>
        <v>1.6497475966947197E-3</v>
      </c>
      <c r="AE51" s="39">
        <f t="shared" si="27"/>
        <v>6.6231860723147285E-3</v>
      </c>
      <c r="AF51" s="37">
        <f t="shared" si="20"/>
        <v>0.21643632977025359</v>
      </c>
      <c r="AG51" s="37">
        <f t="shared" si="37"/>
        <v>5.9024302903966635E-3</v>
      </c>
      <c r="AH51" s="37">
        <f t="shared" si="38"/>
        <v>9.5084117980629174E-3</v>
      </c>
      <c r="AI51" s="40">
        <f t="shared" si="21"/>
        <v>1.5410842088459581E-2</v>
      </c>
      <c r="AJ51" s="39">
        <f t="shared" si="22"/>
        <v>4.1137801691395828E-5</v>
      </c>
      <c r="AK51" s="37">
        <f t="shared" si="39"/>
        <v>1.705757237801345E-2</v>
      </c>
      <c r="AL51" s="37">
        <f t="shared" si="40"/>
        <v>5.4999999999999997E-3</v>
      </c>
      <c r="AM51" s="37">
        <f t="shared" si="41"/>
        <v>0.29622500000000002</v>
      </c>
      <c r="AN51" s="40">
        <f t="shared" si="23"/>
        <v>0.30172500000000002</v>
      </c>
      <c r="AO51" s="39">
        <f t="shared" si="42"/>
        <v>1.5458745998657929E-3</v>
      </c>
      <c r="AP51" s="37">
        <f t="shared" si="43"/>
        <v>3.0375000000000006E-2</v>
      </c>
      <c r="AQ51" s="40">
        <f t="shared" si="44"/>
        <v>5.4000000000000003E-3</v>
      </c>
      <c r="AR51" s="39">
        <f t="shared" si="24"/>
        <v>0.35610646428502007</v>
      </c>
      <c r="AS51" s="37">
        <f t="shared" si="25"/>
        <v>0.76119999999999988</v>
      </c>
      <c r="AT51" s="40">
        <f t="shared" si="26"/>
        <v>68.128129956457599</v>
      </c>
    </row>
    <row r="52" spans="17:46" x14ac:dyDescent="0.2">
      <c r="Q52">
        <v>45</v>
      </c>
      <c r="R52" s="39">
        <f t="shared" si="0"/>
        <v>173</v>
      </c>
      <c r="S52" s="37">
        <f t="shared" si="30"/>
        <v>4.4999999999999997E-3</v>
      </c>
      <c r="T52" s="37">
        <f t="shared" si="2"/>
        <v>12</v>
      </c>
      <c r="U52" s="40">
        <f t="shared" si="31"/>
        <v>6.8289473684210539E-2</v>
      </c>
      <c r="V52" s="39">
        <f t="shared" si="32"/>
        <v>1</v>
      </c>
      <c r="W52" s="37">
        <f t="shared" si="33"/>
        <v>0.10031201323869439</v>
      </c>
      <c r="X52" s="40">
        <f t="shared" si="34"/>
        <v>6.2305598284903346E-4</v>
      </c>
      <c r="Y52" s="39">
        <f t="shared" si="35"/>
        <v>1.2037441588643329</v>
      </c>
      <c r="Z52" s="37">
        <f t="shared" si="28"/>
        <v>1.2037441588643329</v>
      </c>
      <c r="AA52" s="37">
        <f t="shared" si="29"/>
        <v>0.22079773194941446</v>
      </c>
      <c r="AB52" s="37">
        <v>0</v>
      </c>
      <c r="AC52" s="37">
        <f t="shared" si="36"/>
        <v>1.706307345190192E-3</v>
      </c>
      <c r="AD52" s="40">
        <f t="shared" si="19"/>
        <v>1.706307345190192E-3</v>
      </c>
      <c r="AE52" s="39">
        <f t="shared" si="27"/>
        <v>6.8502545882739999E-3</v>
      </c>
      <c r="AF52" s="37">
        <f t="shared" si="20"/>
        <v>0.22011520255150349</v>
      </c>
      <c r="AG52" s="37">
        <f t="shared" si="37"/>
        <v>6.1047885016804661E-3</v>
      </c>
      <c r="AH52" s="37">
        <f t="shared" si="38"/>
        <v>9.7245120662007162E-3</v>
      </c>
      <c r="AI52" s="40">
        <f t="shared" si="21"/>
        <v>1.5829300567881184E-2</v>
      </c>
      <c r="AJ52" s="39">
        <f t="shared" si="22"/>
        <v>4.2548165144559005E-5</v>
      </c>
      <c r="AK52" s="37">
        <f t="shared" si="39"/>
        <v>1.7347508170226733E-2</v>
      </c>
      <c r="AL52" s="37">
        <f t="shared" si="40"/>
        <v>5.6249999999999998E-3</v>
      </c>
      <c r="AM52" s="37">
        <f t="shared" si="41"/>
        <v>0.29622500000000002</v>
      </c>
      <c r="AN52" s="40">
        <f t="shared" si="23"/>
        <v>0.30185000000000001</v>
      </c>
      <c r="AO52" s="39">
        <f t="shared" si="42"/>
        <v>1.5988731790115506E-3</v>
      </c>
      <c r="AP52" s="37">
        <f t="shared" si="43"/>
        <v>3.0375000000000006E-2</v>
      </c>
      <c r="AQ52" s="40">
        <f t="shared" si="44"/>
        <v>5.4000000000000003E-3</v>
      </c>
      <c r="AR52" s="39">
        <f t="shared" si="24"/>
        <v>0.35675948109208289</v>
      </c>
      <c r="AS52" s="37">
        <f t="shared" si="25"/>
        <v>0.77849999999999997</v>
      </c>
      <c r="AT52" s="40">
        <f t="shared" si="26"/>
        <v>68.574630995471466</v>
      </c>
    </row>
    <row r="53" spans="17:46" x14ac:dyDescent="0.2">
      <c r="Q53">
        <v>46</v>
      </c>
      <c r="R53" s="39">
        <f t="shared" si="0"/>
        <v>173</v>
      </c>
      <c r="S53" s="37">
        <f t="shared" si="30"/>
        <v>4.5999999999999999E-3</v>
      </c>
      <c r="T53" s="37">
        <f t="shared" si="2"/>
        <v>12</v>
      </c>
      <c r="U53" s="40">
        <f t="shared" si="31"/>
        <v>6.9807017543859651E-2</v>
      </c>
      <c r="V53" s="39">
        <f t="shared" si="32"/>
        <v>1</v>
      </c>
      <c r="W53" s="37">
        <f t="shared" si="33"/>
        <v>0.10142046692414264</v>
      </c>
      <c r="X53" s="40">
        <f t="shared" si="34"/>
        <v>6.29940788348712E-4</v>
      </c>
      <c r="Y53" s="39">
        <f t="shared" si="35"/>
        <v>1.2170456030897119</v>
      </c>
      <c r="Z53" s="37">
        <f t="shared" si="28"/>
        <v>1.2170456030897119</v>
      </c>
      <c r="AA53" s="37">
        <f t="shared" si="29"/>
        <v>0.22446756551429445</v>
      </c>
      <c r="AB53" s="37">
        <v>0</v>
      </c>
      <c r="AC53" s="37">
        <f t="shared" si="36"/>
        <v>1.7634990788769926E-3</v>
      </c>
      <c r="AD53" s="40">
        <f t="shared" si="19"/>
        <v>1.7634990788769926E-3</v>
      </c>
      <c r="AE53" s="39">
        <f t="shared" si="27"/>
        <v>7.0798603138800629E-3</v>
      </c>
      <c r="AF53" s="37">
        <f t="shared" si="20"/>
        <v>0.22377369193602728</v>
      </c>
      <c r="AG53" s="37">
        <f t="shared" si="37"/>
        <v>6.3094078155376855E-3</v>
      </c>
      <c r="AH53" s="37">
        <f t="shared" si="38"/>
        <v>9.9406123343385062E-3</v>
      </c>
      <c r="AI53" s="40">
        <f t="shared" si="21"/>
        <v>1.6250020149876192E-2</v>
      </c>
      <c r="AJ53" s="39">
        <f t="shared" si="22"/>
        <v>4.397428766385132E-5</v>
      </c>
      <c r="AK53" s="37">
        <f t="shared" si="39"/>
        <v>1.763583752573258E-2</v>
      </c>
      <c r="AL53" s="37">
        <f t="shared" si="40"/>
        <v>5.7499999999999999E-3</v>
      </c>
      <c r="AM53" s="37">
        <f t="shared" si="41"/>
        <v>0.29622500000000002</v>
      </c>
      <c r="AN53" s="40">
        <f t="shared" si="23"/>
        <v>0.30197499999999999</v>
      </c>
      <c r="AO53" s="39">
        <f t="shared" si="42"/>
        <v>1.6524639516884414E-3</v>
      </c>
      <c r="AP53" s="37">
        <f t="shared" si="43"/>
        <v>3.0375000000000006E-2</v>
      </c>
      <c r="AQ53" s="40">
        <f t="shared" si="44"/>
        <v>5.4000000000000003E-3</v>
      </c>
      <c r="AR53" s="39">
        <f t="shared" si="24"/>
        <v>0.35741598318044165</v>
      </c>
      <c r="AS53" s="37">
        <f t="shared" si="25"/>
        <v>0.79579999999999995</v>
      </c>
      <c r="AT53" s="40">
        <f t="shared" si="26"/>
        <v>69.007021373851572</v>
      </c>
    </row>
    <row r="54" spans="17:46" x14ac:dyDescent="0.2">
      <c r="Q54">
        <v>47</v>
      </c>
      <c r="R54" s="39">
        <f t="shared" si="0"/>
        <v>173</v>
      </c>
      <c r="S54" s="37">
        <f t="shared" si="30"/>
        <v>4.6999999999999993E-3</v>
      </c>
      <c r="T54" s="37">
        <f t="shared" si="2"/>
        <v>12</v>
      </c>
      <c r="U54" s="40">
        <f t="shared" si="31"/>
        <v>7.1324561403508777E-2</v>
      </c>
      <c r="V54" s="39">
        <f t="shared" si="32"/>
        <v>1</v>
      </c>
      <c r="W54" s="37">
        <f t="shared" si="33"/>
        <v>0.1025169362701706</v>
      </c>
      <c r="X54" s="40">
        <f t="shared" si="34"/>
        <v>6.3675115695758123E-4</v>
      </c>
      <c r="Y54" s="39">
        <f t="shared" si="35"/>
        <v>1.2302032352420473</v>
      </c>
      <c r="Z54" s="37">
        <f t="shared" si="28"/>
        <v>1.2302032352420473</v>
      </c>
      <c r="AA54" s="37">
        <f t="shared" si="29"/>
        <v>0.22811750667307099</v>
      </c>
      <c r="AB54" s="37">
        <v>0</v>
      </c>
      <c r="AC54" s="37">
        <f t="shared" si="36"/>
        <v>1.8213158897758507E-3</v>
      </c>
      <c r="AD54" s="40">
        <f t="shared" si="19"/>
        <v>1.8213158897758507E-3</v>
      </c>
      <c r="AE54" s="39">
        <f t="shared" si="27"/>
        <v>7.311975515901379E-3</v>
      </c>
      <c r="AF54" s="37">
        <f t="shared" si="20"/>
        <v>0.22741235040580374</v>
      </c>
      <c r="AG54" s="37">
        <f t="shared" si="37"/>
        <v>6.5162635167536004E-3</v>
      </c>
      <c r="AH54" s="37">
        <f t="shared" si="38"/>
        <v>1.01567126024763E-2</v>
      </c>
      <c r="AI54" s="40">
        <f t="shared" si="21"/>
        <v>1.6672976119229899E-2</v>
      </c>
      <c r="AJ54" s="39">
        <f t="shared" si="22"/>
        <v>4.5415996993176254E-5</v>
      </c>
      <c r="AK54" s="37">
        <f t="shared" si="39"/>
        <v>1.7922603986210667E-2</v>
      </c>
      <c r="AL54" s="37">
        <f t="shared" si="40"/>
        <v>5.8749999999999991E-3</v>
      </c>
      <c r="AM54" s="37">
        <f t="shared" si="41"/>
        <v>0.29622500000000002</v>
      </c>
      <c r="AN54" s="40">
        <f t="shared" si="23"/>
        <v>0.30210000000000004</v>
      </c>
      <c r="AO54" s="39">
        <f t="shared" si="42"/>
        <v>1.7066404448640383E-3</v>
      </c>
      <c r="AP54" s="37">
        <f t="shared" si="43"/>
        <v>3.0375000000000006E-2</v>
      </c>
      <c r="AQ54" s="40">
        <f t="shared" si="44"/>
        <v>5.4000000000000003E-3</v>
      </c>
      <c r="AR54" s="39">
        <f t="shared" si="24"/>
        <v>0.35807593245386982</v>
      </c>
      <c r="AS54" s="37">
        <f t="shared" si="25"/>
        <v>0.81309999999999993</v>
      </c>
      <c r="AT54" s="40">
        <f t="shared" si="26"/>
        <v>69.425948524776942</v>
      </c>
    </row>
    <row r="55" spans="17:46" x14ac:dyDescent="0.2">
      <c r="Q55">
        <v>48</v>
      </c>
      <c r="R55" s="39">
        <f t="shared" si="0"/>
        <v>173</v>
      </c>
      <c r="S55" s="37">
        <f t="shared" si="30"/>
        <v>4.7999999999999996E-3</v>
      </c>
      <c r="T55" s="37">
        <f t="shared" si="2"/>
        <v>12</v>
      </c>
      <c r="U55" s="40">
        <f t="shared" si="31"/>
        <v>7.2842105263157902E-2</v>
      </c>
      <c r="V55" s="39">
        <f t="shared" si="32"/>
        <v>1</v>
      </c>
      <c r="W55" s="37">
        <f t="shared" si="33"/>
        <v>0.10360180178613368</v>
      </c>
      <c r="X55" s="40">
        <f t="shared" si="34"/>
        <v>6.4348945208778682E-4</v>
      </c>
      <c r="Y55" s="39">
        <f t="shared" si="35"/>
        <v>1.2432216214336045</v>
      </c>
      <c r="Z55" s="37">
        <f t="shared" si="28"/>
        <v>1.2432216214336045</v>
      </c>
      <c r="AA55" s="37">
        <f t="shared" si="29"/>
        <v>0.23174808315481643</v>
      </c>
      <c r="AB55" s="37">
        <v>0</v>
      </c>
      <c r="AC55" s="37">
        <f t="shared" si="36"/>
        <v>1.8797510916076102E-3</v>
      </c>
      <c r="AD55" s="40">
        <f t="shared" si="19"/>
        <v>1.8797510916076102E-3</v>
      </c>
      <c r="AE55" s="39">
        <f t="shared" si="27"/>
        <v>7.5465733511583697E-3</v>
      </c>
      <c r="AF55" s="37">
        <f t="shared" si="20"/>
        <v>0.23103170405859039</v>
      </c>
      <c r="AG55" s="37">
        <f t="shared" si="37"/>
        <v>6.7253316833072278E-3</v>
      </c>
      <c r="AH55" s="37">
        <f t="shared" si="38"/>
        <v>1.0372812870614095E-2</v>
      </c>
      <c r="AI55" s="40">
        <f t="shared" si="21"/>
        <v>1.7098144553921321E-2</v>
      </c>
      <c r="AJ55" s="39">
        <f t="shared" si="22"/>
        <v>4.6873126404710372E-5</v>
      </c>
      <c r="AK55" s="37">
        <f t="shared" si="39"/>
        <v>1.8207849013972734E-2</v>
      </c>
      <c r="AL55" s="37">
        <f t="shared" si="40"/>
        <v>5.9999999999999993E-3</v>
      </c>
      <c r="AM55" s="37">
        <f t="shared" si="41"/>
        <v>0.29622500000000002</v>
      </c>
      <c r="AN55" s="40">
        <f t="shared" si="23"/>
        <v>0.30222500000000002</v>
      </c>
      <c r="AO55" s="39">
        <f t="shared" si="42"/>
        <v>1.7613963932471312E-3</v>
      </c>
      <c r="AP55" s="37">
        <f t="shared" si="43"/>
        <v>3.0375000000000006E-2</v>
      </c>
      <c r="AQ55" s="40">
        <f t="shared" si="44"/>
        <v>5.4000000000000003E-3</v>
      </c>
      <c r="AR55" s="39">
        <f t="shared" si="24"/>
        <v>0.35873929203877608</v>
      </c>
      <c r="AS55" s="37">
        <f t="shared" si="25"/>
        <v>0.83039999999999992</v>
      </c>
      <c r="AT55" s="40">
        <f t="shared" si="26"/>
        <v>69.832020988582542</v>
      </c>
    </row>
    <row r="56" spans="17:46" x14ac:dyDescent="0.2">
      <c r="Q56">
        <v>49</v>
      </c>
      <c r="R56" s="39">
        <f t="shared" si="0"/>
        <v>173</v>
      </c>
      <c r="S56" s="37">
        <f t="shared" si="30"/>
        <v>4.8999999999999998E-3</v>
      </c>
      <c r="T56" s="37">
        <f t="shared" si="2"/>
        <v>12</v>
      </c>
      <c r="U56" s="40">
        <f t="shared" si="31"/>
        <v>7.4359649122807028E-2</v>
      </c>
      <c r="V56" s="39">
        <f t="shared" si="32"/>
        <v>1</v>
      </c>
      <c r="W56" s="37">
        <f t="shared" si="33"/>
        <v>0.10467542426207042</v>
      </c>
      <c r="X56" s="40">
        <f t="shared" si="34"/>
        <v>6.5015791467124483E-4</v>
      </c>
      <c r="Y56" s="39">
        <f t="shared" si="35"/>
        <v>1.2561050911448453</v>
      </c>
      <c r="Z56" s="37">
        <f t="shared" si="28"/>
        <v>1.2561050911448453</v>
      </c>
      <c r="AA56" s="37">
        <f t="shared" si="29"/>
        <v>0.23535979801038168</v>
      </c>
      <c r="AB56" s="37">
        <v>0</v>
      </c>
      <c r="AC56" s="37">
        <f t="shared" si="36"/>
        <v>1.9387982081820684E-3</v>
      </c>
      <c r="AD56" s="40">
        <f t="shared" si="19"/>
        <v>1.9387982081820684E-3</v>
      </c>
      <c r="AE56" s="39">
        <f t="shared" si="27"/>
        <v>7.7836278199085182E-3</v>
      </c>
      <c r="AF56" s="37">
        <f t="shared" si="20"/>
        <v>0.23463225439020863</v>
      </c>
      <c r="AG56" s="37">
        <f t="shared" si="37"/>
        <v>6.936589144829179E-3</v>
      </c>
      <c r="AH56" s="37">
        <f t="shared" si="38"/>
        <v>1.0588913138751889E-2</v>
      </c>
      <c r="AI56" s="40">
        <f t="shared" si="21"/>
        <v>1.7525502283581067E-2</v>
      </c>
      <c r="AJ56" s="39">
        <f t="shared" si="22"/>
        <v>4.834551440936968E-5</v>
      </c>
      <c r="AK56" s="37">
        <f t="shared" si="39"/>
        <v>1.8491612132426331E-2</v>
      </c>
      <c r="AL56" s="37">
        <f t="shared" si="40"/>
        <v>6.1250000000000002E-3</v>
      </c>
      <c r="AM56" s="37">
        <f t="shared" si="41"/>
        <v>0.29622500000000002</v>
      </c>
      <c r="AN56" s="40">
        <f t="shared" si="23"/>
        <v>0.30235000000000001</v>
      </c>
      <c r="AO56" s="39">
        <f t="shared" si="42"/>
        <v>1.8167257284076421E-3</v>
      </c>
      <c r="AP56" s="37">
        <f t="shared" si="43"/>
        <v>3.0375000000000006E-2</v>
      </c>
      <c r="AQ56" s="40">
        <f t="shared" si="44"/>
        <v>5.4000000000000003E-3</v>
      </c>
      <c r="AR56" s="39">
        <f t="shared" si="24"/>
        <v>0.35940602622017076</v>
      </c>
      <c r="AS56" s="37">
        <f t="shared" si="25"/>
        <v>0.84770000000000001</v>
      </c>
      <c r="AT56" s="40">
        <f t="shared" si="26"/>
        <v>70.225811286388478</v>
      </c>
    </row>
    <row r="57" spans="17:46" x14ac:dyDescent="0.2">
      <c r="Q57">
        <v>50</v>
      </c>
      <c r="R57" s="39">
        <f t="shared" si="0"/>
        <v>173</v>
      </c>
      <c r="S57" s="37">
        <f t="shared" si="30"/>
        <v>4.9999999999999992E-3</v>
      </c>
      <c r="T57" s="37">
        <f t="shared" si="2"/>
        <v>12</v>
      </c>
      <c r="U57" s="40">
        <f t="shared" si="31"/>
        <v>7.587719298245614E-2</v>
      </c>
      <c r="V57" s="39">
        <f t="shared" si="32"/>
        <v>1</v>
      </c>
      <c r="W57" s="37">
        <f t="shared" si="33"/>
        <v>0.10573814617041266</v>
      </c>
      <c r="X57" s="40">
        <f t="shared" si="34"/>
        <v>6.5675867186591708E-4</v>
      </c>
      <c r="Y57" s="39">
        <f t="shared" si="35"/>
        <v>1.2688577540449522</v>
      </c>
      <c r="Z57" s="37">
        <f t="shared" si="28"/>
        <v>1.2688577540449522</v>
      </c>
      <c r="AA57" s="37">
        <f t="shared" si="29"/>
        <v>0.23895313124548681</v>
      </c>
      <c r="AB57" s="37">
        <v>0</v>
      </c>
      <c r="AC57" s="37">
        <f t="shared" si="36"/>
        <v>1.9984509626208001E-3</v>
      </c>
      <c r="AD57" s="40">
        <f t="shared" si="19"/>
        <v>1.9984509626208001E-3</v>
      </c>
      <c r="AE57" s="39">
        <f t="shared" si="27"/>
        <v>8.0231137225795571E-3</v>
      </c>
      <c r="AF57" s="37">
        <f t="shared" si="20"/>
        <v>0.23821447992258601</v>
      </c>
      <c r="AG57" s="37">
        <f t="shared" si="37"/>
        <v>7.1500134440433058E-3</v>
      </c>
      <c r="AH57" s="37">
        <f t="shared" si="38"/>
        <v>1.080501340688968E-2</v>
      </c>
      <c r="AI57" s="40">
        <f t="shared" si="21"/>
        <v>1.7955026850932986E-2</v>
      </c>
      <c r="AJ57" s="39">
        <f t="shared" si="22"/>
        <v>4.9833004488071782E-5</v>
      </c>
      <c r="AK57" s="37">
        <f t="shared" si="39"/>
        <v>1.8773931054382534E-2</v>
      </c>
      <c r="AL57" s="37">
        <f t="shared" si="40"/>
        <v>6.2499999999999986E-3</v>
      </c>
      <c r="AM57" s="37">
        <f t="shared" si="41"/>
        <v>0.29622500000000002</v>
      </c>
      <c r="AN57" s="40">
        <f t="shared" si="23"/>
        <v>0.30247499999999999</v>
      </c>
      <c r="AO57" s="39">
        <f t="shared" si="42"/>
        <v>1.8726225686780085E-3</v>
      </c>
      <c r="AP57" s="37">
        <f t="shared" si="43"/>
        <v>3.0375000000000006E-2</v>
      </c>
      <c r="AQ57" s="40">
        <f t="shared" si="44"/>
        <v>5.4000000000000003E-3</v>
      </c>
      <c r="AR57" s="39">
        <f t="shared" si="24"/>
        <v>0.36007610038223176</v>
      </c>
      <c r="AS57" s="37">
        <f t="shared" si="25"/>
        <v>0.86499999999999988</v>
      </c>
      <c r="AT57" s="40">
        <f t="shared" si="26"/>
        <v>70.607858542837803</v>
      </c>
    </row>
    <row r="58" spans="17:46" x14ac:dyDescent="0.2">
      <c r="Q58">
        <v>51</v>
      </c>
      <c r="R58" s="39">
        <f t="shared" si="0"/>
        <v>173</v>
      </c>
      <c r="S58" s="37">
        <f t="shared" si="30"/>
        <v>5.0999999999999995E-3</v>
      </c>
      <c r="T58" s="37">
        <f t="shared" si="2"/>
        <v>12</v>
      </c>
      <c r="U58" s="40">
        <f t="shared" si="31"/>
        <v>7.7394736842105266E-2</v>
      </c>
      <c r="V58" s="39">
        <f t="shared" si="32"/>
        <v>1</v>
      </c>
      <c r="W58" s="37">
        <f t="shared" si="33"/>
        <v>0.10679029294213339</v>
      </c>
      <c r="X58" s="40">
        <f t="shared" si="34"/>
        <v>6.6329374498219488E-4</v>
      </c>
      <c r="Y58" s="39">
        <f t="shared" si="35"/>
        <v>1.281483515305601</v>
      </c>
      <c r="Z58" s="37">
        <f t="shared" si="28"/>
        <v>1.281483515305601</v>
      </c>
      <c r="AA58" s="37">
        <f t="shared" si="29"/>
        <v>0.24252854131529983</v>
      </c>
      <c r="AB58" s="37">
        <v>0</v>
      </c>
      <c r="AC58" s="37">
        <f t="shared" si="36"/>
        <v>2.0587032673384485E-3</v>
      </c>
      <c r="AD58" s="40">
        <f t="shared" si="19"/>
        <v>2.0587032673384485E-3</v>
      </c>
      <c r="AE58" s="39">
        <f t="shared" si="27"/>
        <v>8.2650066195477448E-3</v>
      </c>
      <c r="AF58" s="37">
        <f t="shared" si="20"/>
        <v>0.24177883769371514</v>
      </c>
      <c r="AG58" s="37">
        <f t="shared" si="37"/>
        <v>7.3655828009220057E-3</v>
      </c>
      <c r="AH58" s="37">
        <f t="shared" si="38"/>
        <v>1.1021113675027476E-2</v>
      </c>
      <c r="AI58" s="40">
        <f t="shared" si="21"/>
        <v>1.8386696475949482E-2</v>
      </c>
      <c r="AJ58" s="39">
        <f t="shared" si="22"/>
        <v>5.1335444841911451E-5</v>
      </c>
      <c r="AK58" s="37">
        <f t="shared" si="39"/>
        <v>1.905484179948114E-2</v>
      </c>
      <c r="AL58" s="37">
        <f t="shared" si="40"/>
        <v>6.3749999999999996E-3</v>
      </c>
      <c r="AM58" s="37">
        <f t="shared" si="41"/>
        <v>0.29622500000000002</v>
      </c>
      <c r="AN58" s="40">
        <f t="shared" si="23"/>
        <v>0.30260000000000004</v>
      </c>
      <c r="AO58" s="39">
        <f t="shared" si="42"/>
        <v>1.9290812097652872E-3</v>
      </c>
      <c r="AP58" s="37">
        <f t="shared" si="43"/>
        <v>3.0375000000000006E-2</v>
      </c>
      <c r="AQ58" s="40">
        <f t="shared" si="44"/>
        <v>5.4000000000000003E-3</v>
      </c>
      <c r="AR58" s="39">
        <f t="shared" si="24"/>
        <v>0.3607494809530532</v>
      </c>
      <c r="AS58" s="37">
        <f t="shared" si="25"/>
        <v>0.88229999999999986</v>
      </c>
      <c r="AT58" s="40">
        <f t="shared" si="26"/>
        <v>70.978670883120074</v>
      </c>
    </row>
    <row r="59" spans="17:46" x14ac:dyDescent="0.2">
      <c r="Q59">
        <v>52</v>
      </c>
      <c r="R59" s="39">
        <f t="shared" si="0"/>
        <v>173</v>
      </c>
      <c r="S59" s="37">
        <f t="shared" si="30"/>
        <v>5.1999999999999998E-3</v>
      </c>
      <c r="T59" s="37">
        <f t="shared" si="2"/>
        <v>12</v>
      </c>
      <c r="U59" s="40">
        <f t="shared" si="31"/>
        <v>7.8912280701754392E-2</v>
      </c>
      <c r="V59" s="39">
        <f t="shared" si="32"/>
        <v>1</v>
      </c>
      <c r="W59" s="37">
        <f t="shared" si="33"/>
        <v>0.10783217413081207</v>
      </c>
      <c r="X59" s="40">
        <f t="shared" si="34"/>
        <v>6.6976505671311837E-4</v>
      </c>
      <c r="Y59" s="39">
        <f t="shared" si="35"/>
        <v>1.293986089569745</v>
      </c>
      <c r="Z59" s="37">
        <f t="shared" si="28"/>
        <v>1.293986089569745</v>
      </c>
      <c r="AA59" s="37">
        <f t="shared" si="29"/>
        <v>0.24608646649473451</v>
      </c>
      <c r="AB59" s="37">
        <v>0</v>
      </c>
      <c r="AC59" s="37">
        <f t="shared" si="36"/>
        <v>2.1195492147152431E-3</v>
      </c>
      <c r="AD59" s="40">
        <f t="shared" si="19"/>
        <v>2.1195492147152431E-3</v>
      </c>
      <c r="AE59" s="39">
        <f t="shared" si="27"/>
        <v>8.5092827936911006E-3</v>
      </c>
      <c r="AF59" s="37">
        <f t="shared" si="20"/>
        <v>0.24532576462371536</v>
      </c>
      <c r="AG59" s="37">
        <f t="shared" si="37"/>
        <v>7.5832760793145349E-3</v>
      </c>
      <c r="AH59" s="37">
        <f t="shared" si="38"/>
        <v>1.1237213943165269E-2</v>
      </c>
      <c r="AI59" s="40">
        <f t="shared" si="21"/>
        <v>1.8820490022479805E-2</v>
      </c>
      <c r="AJ59" s="39">
        <f t="shared" si="22"/>
        <v>5.2852688159572046E-5</v>
      </c>
      <c r="AK59" s="37">
        <f t="shared" si="39"/>
        <v>1.9334378801851425E-2</v>
      </c>
      <c r="AL59" s="37">
        <f t="shared" si="40"/>
        <v>6.4999999999999997E-3</v>
      </c>
      <c r="AM59" s="37">
        <f t="shared" si="41"/>
        <v>0.29622500000000002</v>
      </c>
      <c r="AN59" s="40">
        <f t="shared" si="23"/>
        <v>0.30272500000000002</v>
      </c>
      <c r="AO59" s="39">
        <f t="shared" si="42"/>
        <v>1.9860961160109497E-3</v>
      </c>
      <c r="AP59" s="37">
        <f t="shared" si="43"/>
        <v>3.0375000000000006E-2</v>
      </c>
      <c r="AQ59" s="40">
        <f t="shared" si="44"/>
        <v>5.4000000000000003E-3</v>
      </c>
      <c r="AR59" s="39">
        <f t="shared" si="24"/>
        <v>0.36142613535320606</v>
      </c>
      <c r="AS59" s="37">
        <f t="shared" si="25"/>
        <v>0.89959999999999996</v>
      </c>
      <c r="AT59" s="40">
        <f t="shared" si="26"/>
        <v>71.338727626610805</v>
      </c>
    </row>
    <row r="60" spans="17:46" x14ac:dyDescent="0.2">
      <c r="Q60">
        <v>53</v>
      </c>
      <c r="R60" s="39">
        <f t="shared" si="0"/>
        <v>173</v>
      </c>
      <c r="S60" s="37">
        <f t="shared" si="30"/>
        <v>5.2999999999999992E-3</v>
      </c>
      <c r="T60" s="37">
        <f t="shared" si="2"/>
        <v>12</v>
      </c>
      <c r="U60" s="40">
        <f t="shared" si="31"/>
        <v>8.0429824561403504E-2</v>
      </c>
      <c r="V60" s="39">
        <f t="shared" si="32"/>
        <v>1</v>
      </c>
      <c r="W60" s="37">
        <f t="shared" si="33"/>
        <v>0.10886408447641897</v>
      </c>
      <c r="X60" s="40">
        <f t="shared" si="34"/>
        <v>6.7617443774173271E-4</v>
      </c>
      <c r="Y60" s="39">
        <f t="shared" si="35"/>
        <v>1.3063690137170278</v>
      </c>
      <c r="Z60" s="37">
        <f t="shared" si="28"/>
        <v>1.3063690137170278</v>
      </c>
      <c r="AA60" s="37">
        <f t="shared" si="29"/>
        <v>0.2496273261369881</v>
      </c>
      <c r="AB60" s="37">
        <v>0</v>
      </c>
      <c r="AC60" s="37">
        <f t="shared" si="36"/>
        <v>2.1809830684005778E-3</v>
      </c>
      <c r="AD60" s="40">
        <f t="shared" si="19"/>
        <v>2.1809830684005778E-3</v>
      </c>
      <c r="AE60" s="39">
        <f t="shared" si="27"/>
        <v>8.7559192154761881E-3</v>
      </c>
      <c r="AF60" s="37">
        <f t="shared" si="20"/>
        <v>0.2488556787694805</v>
      </c>
      <c r="AG60" s="37">
        <f t="shared" si="37"/>
        <v>7.8030727558331776E-3</v>
      </c>
      <c r="AH60" s="37">
        <f t="shared" si="38"/>
        <v>1.1453314211303061E-2</v>
      </c>
      <c r="AI60" s="40">
        <f t="shared" si="21"/>
        <v>1.9256386967136239E-2</v>
      </c>
      <c r="AJ60" s="39">
        <f t="shared" si="22"/>
        <v>5.4384591400473216E-5</v>
      </c>
      <c r="AK60" s="37">
        <f t="shared" si="39"/>
        <v>1.9612575008992241E-2</v>
      </c>
      <c r="AL60" s="37">
        <f t="shared" si="40"/>
        <v>6.6249999999999989E-3</v>
      </c>
      <c r="AM60" s="37">
        <f t="shared" si="41"/>
        <v>0.29622500000000002</v>
      </c>
      <c r="AN60" s="40">
        <f t="shared" si="23"/>
        <v>0.30285000000000001</v>
      </c>
      <c r="AO60" s="39">
        <f t="shared" si="42"/>
        <v>2.0436619122420228E-3</v>
      </c>
      <c r="AP60" s="37">
        <f t="shared" si="43"/>
        <v>3.0375000000000006E-2</v>
      </c>
      <c r="AQ60" s="40">
        <f t="shared" si="44"/>
        <v>5.4000000000000003E-3</v>
      </c>
      <c r="AR60" s="39">
        <f t="shared" si="24"/>
        <v>0.36210603194777885</v>
      </c>
      <c r="AS60" s="37">
        <f t="shared" si="25"/>
        <v>0.91689999999999983</v>
      </c>
      <c r="AT60" s="40">
        <f t="shared" si="26"/>
        <v>71.688481296969869</v>
      </c>
    </row>
    <row r="61" spans="17:46" x14ac:dyDescent="0.2">
      <c r="Q61">
        <v>54</v>
      </c>
      <c r="R61" s="39">
        <f t="shared" si="0"/>
        <v>173</v>
      </c>
      <c r="S61" s="37">
        <f t="shared" si="30"/>
        <v>5.3999999999999994E-3</v>
      </c>
      <c r="T61" s="37">
        <f t="shared" si="2"/>
        <v>12</v>
      </c>
      <c r="U61" s="40">
        <f t="shared" si="31"/>
        <v>8.194736842105263E-2</v>
      </c>
      <c r="V61" s="39">
        <f t="shared" si="32"/>
        <v>1</v>
      </c>
      <c r="W61" s="37">
        <f t="shared" si="33"/>
        <v>0.10988630487917954</v>
      </c>
      <c r="X61" s="40">
        <f t="shared" si="34"/>
        <v>6.8252363278993502E-4</v>
      </c>
      <c r="Y61" s="39">
        <f t="shared" si="35"/>
        <v>1.3186356585501546</v>
      </c>
      <c r="Z61" s="37">
        <f t="shared" si="28"/>
        <v>1.3186356585501546</v>
      </c>
      <c r="AA61" s="37">
        <f t="shared" si="29"/>
        <v>0.2531515218313678</v>
      </c>
      <c r="AB61" s="37">
        <v>0</v>
      </c>
      <c r="AC61" s="37">
        <f t="shared" si="36"/>
        <v>2.2429992551938121E-3</v>
      </c>
      <c r="AD61" s="40">
        <f t="shared" si="19"/>
        <v>2.2429992551938121E-3</v>
      </c>
      <c r="AE61" s="39">
        <f t="shared" si="27"/>
        <v>9.0048935103622385E-3</v>
      </c>
      <c r="AF61" s="37">
        <f t="shared" si="20"/>
        <v>0.25236898047892586</v>
      </c>
      <c r="AG61" s="37">
        <f t="shared" si="37"/>
        <v>8.024952890804531E-3</v>
      </c>
      <c r="AH61" s="37">
        <f t="shared" si="38"/>
        <v>1.1669414479440856E-2</v>
      </c>
      <c r="AI61" s="40">
        <f t="shared" si="21"/>
        <v>1.9694367370245387E-2</v>
      </c>
      <c r="AJ61" s="39">
        <f t="shared" si="22"/>
        <v>5.5931015592312045E-5</v>
      </c>
      <c r="AK61" s="37">
        <f t="shared" si="39"/>
        <v>1.9889461972739393E-2</v>
      </c>
      <c r="AL61" s="37">
        <f t="shared" si="40"/>
        <v>6.7499999999999991E-3</v>
      </c>
      <c r="AM61" s="37">
        <f t="shared" si="41"/>
        <v>0.29622500000000002</v>
      </c>
      <c r="AN61" s="40">
        <f t="shared" si="23"/>
        <v>0.30297499999999999</v>
      </c>
      <c r="AO61" s="39">
        <f t="shared" si="42"/>
        <v>2.1017733761630915E-3</v>
      </c>
      <c r="AP61" s="37">
        <f t="shared" si="43"/>
        <v>3.0375000000000006E-2</v>
      </c>
      <c r="AQ61" s="40">
        <f t="shared" si="44"/>
        <v>5.4000000000000003E-3</v>
      </c>
      <c r="AR61" s="39">
        <f t="shared" si="24"/>
        <v>0.36278914000160228</v>
      </c>
      <c r="AS61" s="37">
        <f t="shared" si="25"/>
        <v>0.93419999999999992</v>
      </c>
      <c r="AT61" s="40">
        <f t="shared" si="26"/>
        <v>72.028359466359589</v>
      </c>
    </row>
    <row r="62" spans="17:46" x14ac:dyDescent="0.2">
      <c r="Q62">
        <v>55</v>
      </c>
      <c r="R62" s="39">
        <f t="shared" si="0"/>
        <v>173</v>
      </c>
      <c r="S62" s="37">
        <f t="shared" si="30"/>
        <v>5.4999999999999997E-3</v>
      </c>
      <c r="T62" s="37">
        <f t="shared" si="2"/>
        <v>12</v>
      </c>
      <c r="U62" s="40">
        <f t="shared" si="31"/>
        <v>8.3464912280701756E-2</v>
      </c>
      <c r="V62" s="39">
        <f t="shared" si="32"/>
        <v>1</v>
      </c>
      <c r="W62" s="37">
        <f t="shared" si="33"/>
        <v>0.11089910329263762</v>
      </c>
      <c r="X62" s="40">
        <f t="shared" si="34"/>
        <v>6.8881430616545111E-4</v>
      </c>
      <c r="Y62" s="39">
        <f t="shared" si="35"/>
        <v>1.3307892395116516</v>
      </c>
      <c r="Z62" s="37">
        <f t="shared" si="28"/>
        <v>1.3307892395116516</v>
      </c>
      <c r="AA62" s="37">
        <f t="shared" si="29"/>
        <v>0.2566594384701773</v>
      </c>
      <c r="AB62" s="37">
        <v>0</v>
      </c>
      <c r="AC62" s="37">
        <f t="shared" si="36"/>
        <v>2.3055923574539353E-3</v>
      </c>
      <c r="AD62" s="40">
        <f t="shared" si="19"/>
        <v>2.3055923574539353E-3</v>
      </c>
      <c r="AE62" s="39">
        <f t="shared" si="27"/>
        <v>9.256183928328483E-3</v>
      </c>
      <c r="AF62" s="37">
        <f t="shared" si="20"/>
        <v>0.25586605345457691</v>
      </c>
      <c r="AG62" s="37">
        <f t="shared" si="37"/>
        <v>8.248897101112972E-3</v>
      </c>
      <c r="AH62" s="37">
        <f t="shared" si="38"/>
        <v>1.188551474757865E-2</v>
      </c>
      <c r="AI62" s="40">
        <f t="shared" si="21"/>
        <v>2.0134411848691622E-2</v>
      </c>
      <c r="AJ62" s="39">
        <f t="shared" si="22"/>
        <v>5.7491825641791822E-5</v>
      </c>
      <c r="AK62" s="37">
        <f t="shared" si="39"/>
        <v>2.0165069933088208E-2</v>
      </c>
      <c r="AL62" s="37">
        <f t="shared" si="40"/>
        <v>6.8749999999999992E-3</v>
      </c>
      <c r="AM62" s="37">
        <f t="shared" si="41"/>
        <v>0.29622500000000002</v>
      </c>
      <c r="AN62" s="40">
        <f t="shared" si="23"/>
        <v>0.30310000000000004</v>
      </c>
      <c r="AO62" s="39">
        <f t="shared" si="42"/>
        <v>2.1604254312438736E-3</v>
      </c>
      <c r="AP62" s="37">
        <f t="shared" si="43"/>
        <v>3.0375000000000006E-2</v>
      </c>
      <c r="AQ62" s="40">
        <f t="shared" si="44"/>
        <v>5.4000000000000003E-3</v>
      </c>
      <c r="AR62" s="39">
        <f t="shared" si="24"/>
        <v>0.36347542963738949</v>
      </c>
      <c r="AS62" s="37">
        <f t="shared" si="25"/>
        <v>0.9514999999999999</v>
      </c>
      <c r="AT62" s="40">
        <f t="shared" si="26"/>
        <v>72.358766449528304</v>
      </c>
    </row>
    <row r="63" spans="17:46" x14ac:dyDescent="0.2">
      <c r="Q63">
        <v>56</v>
      </c>
      <c r="R63" s="39">
        <f t="shared" si="0"/>
        <v>173</v>
      </c>
      <c r="S63" s="37">
        <f t="shared" si="30"/>
        <v>5.5999999999999991E-3</v>
      </c>
      <c r="T63" s="37">
        <f t="shared" si="2"/>
        <v>12</v>
      </c>
      <c r="U63" s="40">
        <f t="shared" si="31"/>
        <v>8.4982456140350882E-2</v>
      </c>
      <c r="V63" s="39">
        <f t="shared" si="32"/>
        <v>1</v>
      </c>
      <c r="W63" s="37">
        <f t="shared" si="33"/>
        <v>0.11190273554396345</v>
      </c>
      <c r="X63" s="40">
        <f t="shared" si="34"/>
        <v>6.9504804685691578E-4</v>
      </c>
      <c r="Y63" s="39">
        <f t="shared" si="35"/>
        <v>1.3428328265275615</v>
      </c>
      <c r="Z63" s="37">
        <f t="shared" si="28"/>
        <v>1.3428328265275615</v>
      </c>
      <c r="AA63" s="37">
        <f t="shared" si="29"/>
        <v>0.26015144523332767</v>
      </c>
      <c r="AB63" s="37">
        <v>0</v>
      </c>
      <c r="AC63" s="37">
        <f t="shared" si="36"/>
        <v>2.368757105994618E-3</v>
      </c>
      <c r="AD63" s="40">
        <f t="shared" si="19"/>
        <v>2.368757105994618E-3</v>
      </c>
      <c r="AE63" s="39">
        <f t="shared" si="27"/>
        <v>9.509769315350157E-3</v>
      </c>
      <c r="AF63" s="37">
        <f t="shared" si="20"/>
        <v>0.25934726573513678</v>
      </c>
      <c r="AG63" s="37">
        <f t="shared" si="37"/>
        <v>8.4748865347807484E-3</v>
      </c>
      <c r="AH63" s="37">
        <f t="shared" si="38"/>
        <v>1.2101615015716445E-2</v>
      </c>
      <c r="AI63" s="40">
        <f t="shared" si="21"/>
        <v>2.0576501550497193E-2</v>
      </c>
      <c r="AJ63" s="39">
        <f t="shared" si="22"/>
        <v>5.9066890157454393E-5</v>
      </c>
      <c r="AK63" s="37">
        <f t="shared" si="39"/>
        <v>2.0439427895551858E-2</v>
      </c>
      <c r="AL63" s="37">
        <f t="shared" si="40"/>
        <v>6.9999999999999993E-3</v>
      </c>
      <c r="AM63" s="37">
        <f t="shared" si="41"/>
        <v>0.29622500000000002</v>
      </c>
      <c r="AN63" s="40">
        <f t="shared" si="23"/>
        <v>0.30322500000000002</v>
      </c>
      <c r="AO63" s="39">
        <f t="shared" si="42"/>
        <v>2.2196131400616247E-3</v>
      </c>
      <c r="AP63" s="37">
        <f t="shared" si="43"/>
        <v>3.0375000000000006E-2</v>
      </c>
      <c r="AQ63" s="40">
        <f t="shared" si="44"/>
        <v>5.4000000000000003E-3</v>
      </c>
      <c r="AR63" s="39">
        <f t="shared" si="24"/>
        <v>0.36416487179655344</v>
      </c>
      <c r="AS63" s="37">
        <f t="shared" si="25"/>
        <v>0.96879999999999988</v>
      </c>
      <c r="AT63" s="40">
        <f t="shared" si="26"/>
        <v>72.680084861821115</v>
      </c>
    </row>
    <row r="64" spans="17:46" x14ac:dyDescent="0.2">
      <c r="Q64">
        <v>57</v>
      </c>
      <c r="R64" s="39">
        <f t="shared" si="0"/>
        <v>173</v>
      </c>
      <c r="S64" s="37">
        <f t="shared" si="30"/>
        <v>5.6999999999999993E-3</v>
      </c>
      <c r="T64" s="37">
        <f t="shared" si="2"/>
        <v>12</v>
      </c>
      <c r="U64" s="40">
        <f t="shared" si="31"/>
        <v>8.6499999999999994E-2</v>
      </c>
      <c r="V64" s="39">
        <f t="shared" si="32"/>
        <v>1</v>
      </c>
      <c r="W64" s="37">
        <f t="shared" si="33"/>
        <v>0.11289744608862208</v>
      </c>
      <c r="X64" s="40">
        <f t="shared" si="34"/>
        <v>7.0122637322125511E-4</v>
      </c>
      <c r="Y64" s="39">
        <f t="shared" si="35"/>
        <v>1.3547693530634652</v>
      </c>
      <c r="Z64" s="37">
        <f t="shared" si="28"/>
        <v>1.3547693530634652</v>
      </c>
      <c r="AA64" s="37">
        <f t="shared" si="29"/>
        <v>0.26362789649837093</v>
      </c>
      <c r="AB64" s="37">
        <v>0</v>
      </c>
      <c r="AC64" s="37">
        <f t="shared" si="36"/>
        <v>2.4324883734254525E-3</v>
      </c>
      <c r="AD64" s="40">
        <f t="shared" si="19"/>
        <v>2.4324883734254525E-3</v>
      </c>
      <c r="AE64" s="39">
        <f t="shared" si="27"/>
        <v>9.7656290866658096E-3</v>
      </c>
      <c r="AF64" s="37">
        <f t="shared" si="20"/>
        <v>0.26281297060270631</v>
      </c>
      <c r="AG64" s="37">
        <f t="shared" si="37"/>
        <v>8.7029028471443913E-3</v>
      </c>
      <c r="AH64" s="37">
        <f t="shared" si="38"/>
        <v>1.2317715283854237E-2</v>
      </c>
      <c r="AI64" s="40">
        <f t="shared" si="21"/>
        <v>2.1020618130998626E-2</v>
      </c>
      <c r="AJ64" s="39">
        <f t="shared" si="22"/>
        <v>6.0656081283638562E-5</v>
      </c>
      <c r="AK64" s="37">
        <f t="shared" si="39"/>
        <v>2.0712563702660371E-2</v>
      </c>
      <c r="AL64" s="37">
        <f t="shared" si="40"/>
        <v>7.1249999999999994E-3</v>
      </c>
      <c r="AM64" s="37">
        <f t="shared" si="41"/>
        <v>0.29622500000000002</v>
      </c>
      <c r="AN64" s="40">
        <f t="shared" si="23"/>
        <v>0.30335000000000001</v>
      </c>
      <c r="AO64" s="39">
        <f t="shared" si="42"/>
        <v>2.2793316980616262E-3</v>
      </c>
      <c r="AP64" s="37">
        <f t="shared" si="43"/>
        <v>3.0375000000000006E-2</v>
      </c>
      <c r="AQ64" s="40">
        <f t="shared" si="44"/>
        <v>5.4000000000000003E-3</v>
      </c>
      <c r="AR64" s="39">
        <f t="shared" si="24"/>
        <v>0.36485743820248573</v>
      </c>
      <c r="AS64" s="37">
        <f t="shared" si="25"/>
        <v>0.98609999999999987</v>
      </c>
      <c r="AT64" s="40">
        <f t="shared" si="26"/>
        <v>72.992677053694138</v>
      </c>
    </row>
    <row r="65" spans="17:46" x14ac:dyDescent="0.2">
      <c r="Q65">
        <v>58</v>
      </c>
      <c r="R65" s="39">
        <f t="shared" si="0"/>
        <v>173</v>
      </c>
      <c r="S65" s="37">
        <f t="shared" si="30"/>
        <v>5.7999999999999996E-3</v>
      </c>
      <c r="T65" s="37">
        <f t="shared" si="2"/>
        <v>12</v>
      </c>
      <c r="U65" s="40">
        <f t="shared" si="31"/>
        <v>8.8017543859649119E-2</v>
      </c>
      <c r="V65" s="39">
        <f t="shared" si="32"/>
        <v>1</v>
      </c>
      <c r="W65" s="37">
        <f t="shared" si="33"/>
        <v>0.11388346870571006</v>
      </c>
      <c r="X65" s="40">
        <f t="shared" si="34"/>
        <v>7.0735073730254696E-4</v>
      </c>
      <c r="Y65" s="39">
        <f t="shared" si="35"/>
        <v>1.3666016244685208</v>
      </c>
      <c r="Z65" s="37">
        <f t="shared" si="28"/>
        <v>1.3666016244685208</v>
      </c>
      <c r="AA65" s="37">
        <f t="shared" si="29"/>
        <v>0.26708913268281204</v>
      </c>
      <c r="AB65" s="37">
        <v>0</v>
      </c>
      <c r="AC65" s="37">
        <f t="shared" si="36"/>
        <v>2.4967811679039872E-3</v>
      </c>
      <c r="AD65" s="40">
        <f t="shared" si="19"/>
        <v>2.4967811679039872E-3</v>
      </c>
      <c r="AE65" s="39">
        <f t="shared" si="27"/>
        <v>1.0023743201693813E-2</v>
      </c>
      <c r="AF65" s="37">
        <f t="shared" si="20"/>
        <v>0.26626350742249311</v>
      </c>
      <c r="AG65" s="37">
        <f t="shared" si="37"/>
        <v>8.9329281785009325E-3</v>
      </c>
      <c r="AH65" s="37">
        <f t="shared" si="38"/>
        <v>1.2533815551992029E-2</v>
      </c>
      <c r="AI65" s="40">
        <f t="shared" si="21"/>
        <v>2.1466743730492961E-2</v>
      </c>
      <c r="AJ65" s="39">
        <f t="shared" si="22"/>
        <v>6.2259274544682074E-5</v>
      </c>
      <c r="AK65" s="37">
        <f t="shared" si="39"/>
        <v>2.0984504100138884E-2</v>
      </c>
      <c r="AL65" s="37">
        <f t="shared" si="40"/>
        <v>7.2499999999999995E-3</v>
      </c>
      <c r="AM65" s="37">
        <f t="shared" si="41"/>
        <v>0.29622500000000002</v>
      </c>
      <c r="AN65" s="40">
        <f t="shared" si="23"/>
        <v>0.30347499999999999</v>
      </c>
      <c r="AO65" s="39">
        <f t="shared" si="42"/>
        <v>2.3395764277026254E-3</v>
      </c>
      <c r="AP65" s="37">
        <f t="shared" si="43"/>
        <v>3.0375000000000006E-2</v>
      </c>
      <c r="AQ65" s="40">
        <f t="shared" si="44"/>
        <v>5.4000000000000003E-3</v>
      </c>
      <c r="AR65" s="39">
        <f t="shared" si="24"/>
        <v>0.36555310132609953</v>
      </c>
      <c r="AS65" s="37">
        <f t="shared" si="25"/>
        <v>1.0033999999999998</v>
      </c>
      <c r="AT65" s="40">
        <f t="shared" si="26"/>
        <v>73.296886432998349</v>
      </c>
    </row>
    <row r="66" spans="17:46" x14ac:dyDescent="0.2">
      <c r="Q66">
        <v>59</v>
      </c>
      <c r="R66" s="39">
        <f t="shared" si="0"/>
        <v>173</v>
      </c>
      <c r="S66" s="37">
        <f t="shared" si="30"/>
        <v>5.8999999999999999E-3</v>
      </c>
      <c r="T66" s="37">
        <f t="shared" si="2"/>
        <v>12</v>
      </c>
      <c r="U66" s="40">
        <f t="shared" si="31"/>
        <v>8.9535087719298245E-2</v>
      </c>
      <c r="V66" s="39">
        <f t="shared" si="32"/>
        <v>1</v>
      </c>
      <c r="W66" s="37">
        <f t="shared" si="33"/>
        <v>0.11486102713956355</v>
      </c>
      <c r="X66" s="40">
        <f t="shared" si="34"/>
        <v>7.1342252881716477E-4</v>
      </c>
      <c r="Y66" s="39">
        <f t="shared" si="35"/>
        <v>1.3783323256747628</v>
      </c>
      <c r="Z66" s="37">
        <f t="shared" si="28"/>
        <v>1.3783323256747628</v>
      </c>
      <c r="AA66" s="37">
        <f t="shared" si="29"/>
        <v>0.2705354810248185</v>
      </c>
      <c r="AB66" s="37">
        <v>0</v>
      </c>
      <c r="AC66" s="37">
        <f t="shared" si="36"/>
        <v>2.5616306272665482E-3</v>
      </c>
      <c r="AD66" s="40">
        <f t="shared" si="19"/>
        <v>2.5616306272665482E-3</v>
      </c>
      <c r="AE66" s="39">
        <f t="shared" si="27"/>
        <v>1.0284092140469518E-2</v>
      </c>
      <c r="AF66" s="37">
        <f t="shared" si="20"/>
        <v>0.26969920242110645</v>
      </c>
      <c r="AG66" s="37">
        <f t="shared" si="37"/>
        <v>9.1649451331091997E-3</v>
      </c>
      <c r="AH66" s="37">
        <f t="shared" si="38"/>
        <v>1.2749915820129822E-2</v>
      </c>
      <c r="AI66" s="40">
        <f t="shared" si="21"/>
        <v>2.1914860953239024E-2</v>
      </c>
      <c r="AJ66" s="39">
        <f t="shared" si="22"/>
        <v>6.3876348698568429E-5</v>
      </c>
      <c r="AK66" s="37">
        <f t="shared" si="39"/>
        <v>2.1255274798245963E-2</v>
      </c>
      <c r="AL66" s="37">
        <f t="shared" si="40"/>
        <v>7.3749999999999996E-3</v>
      </c>
      <c r="AM66" s="37">
        <f t="shared" si="41"/>
        <v>0.29622500000000002</v>
      </c>
      <c r="AN66" s="40">
        <f t="shared" si="23"/>
        <v>0.30360000000000004</v>
      </c>
      <c r="AO66" s="39">
        <f t="shared" si="42"/>
        <v>2.4003427729571715E-3</v>
      </c>
      <c r="AP66" s="37">
        <f t="shared" si="43"/>
        <v>3.0375000000000006E-2</v>
      </c>
      <c r="AQ66" s="40">
        <f t="shared" si="44"/>
        <v>5.4000000000000003E-3</v>
      </c>
      <c r="AR66" s="39">
        <f t="shared" si="24"/>
        <v>0.36625183435346281</v>
      </c>
      <c r="AS66" s="37">
        <f t="shared" si="25"/>
        <v>1.0206999999999999</v>
      </c>
      <c r="AT66" s="40">
        <f t="shared" si="26"/>
        <v>73.593038685139803</v>
      </c>
    </row>
    <row r="67" spans="17:46" x14ac:dyDescent="0.2">
      <c r="Q67">
        <v>60</v>
      </c>
      <c r="R67" s="39">
        <f t="shared" si="0"/>
        <v>173</v>
      </c>
      <c r="S67" s="37">
        <f t="shared" si="30"/>
        <v>5.9999999999999993E-3</v>
      </c>
      <c r="T67" s="37">
        <f t="shared" si="2"/>
        <v>12</v>
      </c>
      <c r="U67" s="40">
        <f t="shared" si="31"/>
        <v>9.1052631578947357E-2</v>
      </c>
      <c r="V67" s="39">
        <f t="shared" si="32"/>
        <v>1</v>
      </c>
      <c r="W67" s="37">
        <f t="shared" si="33"/>
        <v>0.11583033569262702</v>
      </c>
      <c r="X67" s="40">
        <f t="shared" si="34"/>
        <v>7.1944307883619262E-4</v>
      </c>
      <c r="Y67" s="39">
        <f t="shared" si="35"/>
        <v>1.3899640283115244</v>
      </c>
      <c r="Z67" s="37">
        <f t="shared" si="28"/>
        <v>1.3899640283115244</v>
      </c>
      <c r="AA67" s="37">
        <f t="shared" si="29"/>
        <v>0.27396725630779734</v>
      </c>
      <c r="AB67" s="37">
        <v>0</v>
      </c>
      <c r="AC67" s="37">
        <f t="shared" si="36"/>
        <v>2.6270320135087814E-3</v>
      </c>
      <c r="AD67" s="40">
        <f t="shared" si="19"/>
        <v>2.6270320135087814E-3</v>
      </c>
      <c r="AE67" s="39">
        <f t="shared" si="27"/>
        <v>1.0546656881486564E-2</v>
      </c>
      <c r="AF67" s="37">
        <f t="shared" si="20"/>
        <v>0.273120369408896</v>
      </c>
      <c r="AG67" s="37">
        <f t="shared" si="37"/>
        <v>9.3989367594425298E-3</v>
      </c>
      <c r="AH67" s="37">
        <f t="shared" si="38"/>
        <v>1.2966016088267616E-2</v>
      </c>
      <c r="AI67" s="40">
        <f t="shared" si="21"/>
        <v>2.2364952847710146E-2</v>
      </c>
      <c r="AJ67" s="39">
        <f t="shared" si="22"/>
        <v>6.5507185599295422E-5</v>
      </c>
      <c r="AK67" s="37">
        <f t="shared" si="39"/>
        <v>2.1524900528701825E-2</v>
      </c>
      <c r="AL67" s="37">
        <f t="shared" si="40"/>
        <v>7.4999999999999989E-3</v>
      </c>
      <c r="AM67" s="37">
        <f t="shared" si="41"/>
        <v>0.29622500000000002</v>
      </c>
      <c r="AN67" s="40">
        <f t="shared" si="23"/>
        <v>0.30372500000000002</v>
      </c>
      <c r="AO67" s="39">
        <f t="shared" si="42"/>
        <v>2.4616262941397102E-3</v>
      </c>
      <c r="AP67" s="37">
        <f t="shared" si="43"/>
        <v>3.0375000000000006E-2</v>
      </c>
      <c r="AQ67" s="40">
        <f t="shared" si="44"/>
        <v>5.4000000000000003E-3</v>
      </c>
      <c r="AR67" s="39">
        <f t="shared" si="24"/>
        <v>0.36695361115535863</v>
      </c>
      <c r="AS67" s="37">
        <f t="shared" si="25"/>
        <v>1.0379999999999998</v>
      </c>
      <c r="AT67" s="40">
        <f t="shared" si="26"/>
        <v>73.881442900196845</v>
      </c>
    </row>
    <row r="68" spans="17:46" x14ac:dyDescent="0.2">
      <c r="Q68">
        <v>61</v>
      </c>
      <c r="R68" s="39">
        <f t="shared" si="0"/>
        <v>173</v>
      </c>
      <c r="S68" s="37">
        <f t="shared" si="30"/>
        <v>6.0999999999999995E-3</v>
      </c>
      <c r="T68" s="37">
        <f t="shared" si="2"/>
        <v>12</v>
      </c>
      <c r="U68" s="40">
        <f t="shared" si="31"/>
        <v>9.2570175438596497E-2</v>
      </c>
      <c r="V68" s="39">
        <f t="shared" si="32"/>
        <v>1</v>
      </c>
      <c r="W68" s="37">
        <f t="shared" si="33"/>
        <v>0.11679159977403243</v>
      </c>
      <c r="X68" s="40">
        <f t="shared" si="34"/>
        <v>7.2541366319274795E-4</v>
      </c>
      <c r="Y68" s="39">
        <f t="shared" si="35"/>
        <v>1.4014991972883895</v>
      </c>
      <c r="Z68" s="37">
        <f t="shared" si="28"/>
        <v>1.4014991972883895</v>
      </c>
      <c r="AA68" s="37">
        <f t="shared" si="29"/>
        <v>0.27738476153374497</v>
      </c>
      <c r="AB68" s="37">
        <v>0</v>
      </c>
      <c r="AC68" s="37">
        <f t="shared" si="36"/>
        <v>2.6929807075896399E-3</v>
      </c>
      <c r="AD68" s="40">
        <f t="shared" si="19"/>
        <v>2.6929807075896399E-3</v>
      </c>
      <c r="AE68" s="39">
        <f t="shared" si="27"/>
        <v>1.0811418880836528E-2</v>
      </c>
      <c r="AF68" s="37">
        <f t="shared" si="20"/>
        <v>0.27652731045121898</v>
      </c>
      <c r="AG68" s="37">
        <f t="shared" si="37"/>
        <v>9.6348865315984897E-3</v>
      </c>
      <c r="AH68" s="37">
        <f t="shared" si="38"/>
        <v>1.3182116356405411E-2</v>
      </c>
      <c r="AI68" s="40">
        <f t="shared" si="21"/>
        <v>2.2817002888003902E-2</v>
      </c>
      <c r="AJ68" s="39">
        <f t="shared" si="22"/>
        <v>6.7151670067307624E-5</v>
      </c>
      <c r="AK68" s="37">
        <f t="shared" si="39"/>
        <v>2.1793405097591607E-2</v>
      </c>
      <c r="AL68" s="37">
        <f t="shared" si="40"/>
        <v>7.6249999999999998E-3</v>
      </c>
      <c r="AM68" s="37">
        <f t="shared" si="41"/>
        <v>0.29622500000000002</v>
      </c>
      <c r="AN68" s="40">
        <f t="shared" si="23"/>
        <v>0.30385000000000001</v>
      </c>
      <c r="AO68" s="39">
        <f t="shared" si="42"/>
        <v>2.5234226630376998E-3</v>
      </c>
      <c r="AP68" s="37">
        <f t="shared" si="43"/>
        <v>3.0375000000000006E-2</v>
      </c>
      <c r="AQ68" s="40">
        <f t="shared" si="44"/>
        <v>5.4000000000000003E-3</v>
      </c>
      <c r="AR68" s="39">
        <f t="shared" si="24"/>
        <v>0.36765840625863128</v>
      </c>
      <c r="AS68" s="37">
        <f t="shared" si="25"/>
        <v>1.0552999999999999</v>
      </c>
      <c r="AT68" s="40">
        <f t="shared" si="26"/>
        <v>74.16239261516354</v>
      </c>
    </row>
    <row r="69" spans="17:46" x14ac:dyDescent="0.2">
      <c r="Q69">
        <v>62</v>
      </c>
      <c r="R69" s="39">
        <f t="shared" si="0"/>
        <v>173</v>
      </c>
      <c r="S69" s="37">
        <f t="shared" si="30"/>
        <v>6.1999999999999998E-3</v>
      </c>
      <c r="T69" s="37">
        <f t="shared" si="2"/>
        <v>12</v>
      </c>
      <c r="U69" s="40">
        <f t="shared" si="31"/>
        <v>9.4087719298245623E-2</v>
      </c>
      <c r="V69" s="39">
        <f t="shared" si="32"/>
        <v>1</v>
      </c>
      <c r="W69" s="37">
        <f t="shared" si="33"/>
        <v>0.11774501640786708</v>
      </c>
      <c r="X69" s="40">
        <f t="shared" si="34"/>
        <v>7.3133550563892586E-4</v>
      </c>
      <c r="Y69" s="39">
        <f t="shared" si="35"/>
        <v>1.4129401968944053</v>
      </c>
      <c r="Z69" s="37">
        <f t="shared" si="28"/>
        <v>1.4129401968944053</v>
      </c>
      <c r="AA69" s="37">
        <f t="shared" si="29"/>
        <v>0.28078828854976806</v>
      </c>
      <c r="AB69" s="37">
        <v>0</v>
      </c>
      <c r="AC69" s="37">
        <f t="shared" si="36"/>
        <v>2.7594722045347735E-3</v>
      </c>
      <c r="AD69" s="40">
        <f t="shared" si="19"/>
        <v>2.7594722045347735E-3</v>
      </c>
      <c r="AE69" s="39">
        <f t="shared" si="27"/>
        <v>1.1078360052550723E-2</v>
      </c>
      <c r="AF69" s="37">
        <f t="shared" si="20"/>
        <v>0.27992031649302501</v>
      </c>
      <c r="AG69" s="37">
        <f t="shared" si="37"/>
        <v>9.8727783317799668E-3</v>
      </c>
      <c r="AH69" s="37">
        <f t="shared" si="38"/>
        <v>1.3398216624543208E-2</v>
      </c>
      <c r="AI69" s="40">
        <f t="shared" si="21"/>
        <v>2.3270994956323177E-2</v>
      </c>
      <c r="AJ69" s="39">
        <f t="shared" si="22"/>
        <v>6.8809689767395787E-5</v>
      </c>
      <c r="AK69" s="37">
        <f t="shared" si="39"/>
        <v>2.2060811434589558E-2</v>
      </c>
      <c r="AL69" s="37">
        <f t="shared" si="40"/>
        <v>7.7499999999999999E-3</v>
      </c>
      <c r="AM69" s="37">
        <f t="shared" si="41"/>
        <v>0.29622500000000002</v>
      </c>
      <c r="AN69" s="40">
        <f t="shared" si="23"/>
        <v>0.303975</v>
      </c>
      <c r="AO69" s="39">
        <f t="shared" si="42"/>
        <v>2.5857276583233246E-3</v>
      </c>
      <c r="AP69" s="37">
        <f t="shared" si="43"/>
        <v>3.0375000000000006E-2</v>
      </c>
      <c r="AQ69" s="40">
        <f t="shared" si="44"/>
        <v>5.4000000000000003E-3</v>
      </c>
      <c r="AR69" s="39">
        <f t="shared" si="24"/>
        <v>0.36836619481918126</v>
      </c>
      <c r="AS69" s="37">
        <f t="shared" si="25"/>
        <v>1.0726</v>
      </c>
      <c r="AT69" s="40">
        <f t="shared" si="26"/>
        <v>74.436166778679677</v>
      </c>
    </row>
    <row r="70" spans="17:46" x14ac:dyDescent="0.2">
      <c r="Q70">
        <v>63</v>
      </c>
      <c r="R70" s="39">
        <f t="shared" si="0"/>
        <v>173</v>
      </c>
      <c r="S70" s="37">
        <f t="shared" si="30"/>
        <v>6.2999999999999992E-3</v>
      </c>
      <c r="T70" s="37">
        <f t="shared" si="2"/>
        <v>12</v>
      </c>
      <c r="U70" s="40">
        <f t="shared" si="31"/>
        <v>9.5605263157894735E-2</v>
      </c>
      <c r="V70" s="39">
        <f t="shared" si="32"/>
        <v>1</v>
      </c>
      <c r="W70" s="37">
        <f t="shared" si="33"/>
        <v>0.11869077470469218</v>
      </c>
      <c r="X70" s="40">
        <f t="shared" si="34"/>
        <v>7.3720978077448549E-4</v>
      </c>
      <c r="Y70" s="39">
        <f t="shared" si="35"/>
        <v>1.4242892964563063</v>
      </c>
      <c r="Z70" s="37">
        <f t="shared" si="28"/>
        <v>1.4242892964563063</v>
      </c>
      <c r="AA70" s="37">
        <f t="shared" si="29"/>
        <v>0.2841781186317352</v>
      </c>
      <c r="AB70" s="37">
        <v>0</v>
      </c>
      <c r="AC70" s="37">
        <f t="shared" si="36"/>
        <v>2.8265021088175403E-3</v>
      </c>
      <c r="AD70" s="40">
        <f t="shared" si="19"/>
        <v>2.8265021088175403E-3</v>
      </c>
      <c r="AE70" s="39">
        <f t="shared" si="27"/>
        <v>1.1347462750056492E-2</v>
      </c>
      <c r="AF70" s="37">
        <f t="shared" si="20"/>
        <v>0.28329966794070349</v>
      </c>
      <c r="AG70" s="37">
        <f t="shared" si="37"/>
        <v>1.0112596433769421E-2</v>
      </c>
      <c r="AH70" s="37">
        <f t="shared" si="38"/>
        <v>1.3614316892681E-2</v>
      </c>
      <c r="AI70" s="40">
        <f t="shared" si="21"/>
        <v>2.3726913326450421E-2</v>
      </c>
      <c r="AJ70" s="39">
        <f t="shared" si="22"/>
        <v>7.0481135093518571E-5</v>
      </c>
      <c r="AK70" s="37">
        <f t="shared" si="39"/>
        <v>2.232714163881501E-2</v>
      </c>
      <c r="AL70" s="37">
        <f t="shared" si="40"/>
        <v>7.8749999999999983E-3</v>
      </c>
      <c r="AM70" s="37">
        <f t="shared" si="41"/>
        <v>0.29622500000000002</v>
      </c>
      <c r="AN70" s="40">
        <f t="shared" si="23"/>
        <v>0.30410000000000004</v>
      </c>
      <c r="AO70" s="39">
        <f t="shared" si="42"/>
        <v>2.6485371612253246E-3</v>
      </c>
      <c r="AP70" s="37">
        <f t="shared" si="43"/>
        <v>3.0375000000000006E-2</v>
      </c>
      <c r="AQ70" s="40">
        <f t="shared" si="44"/>
        <v>5.4000000000000003E-3</v>
      </c>
      <c r="AR70" s="39">
        <f t="shared" si="24"/>
        <v>0.36907695259649331</v>
      </c>
      <c r="AS70" s="37">
        <f t="shared" si="25"/>
        <v>1.0898999999999999</v>
      </c>
      <c r="AT70" s="40">
        <f t="shared" si="26"/>
        <v>74.703030644887207</v>
      </c>
    </row>
    <row r="71" spans="17:46" x14ac:dyDescent="0.2">
      <c r="Q71">
        <v>64</v>
      </c>
      <c r="R71" s="39">
        <f t="shared" ref="R71:R134" si="45">VOUT</f>
        <v>173</v>
      </c>
      <c r="S71" s="37">
        <f t="shared" ref="S71:S102" si="46">Q71*$O$12</f>
        <v>6.3999999999999994E-3</v>
      </c>
      <c r="T71" s="37">
        <f t="shared" ref="T71:T134" si="47">VIN_var</f>
        <v>12</v>
      </c>
      <c r="U71" s="40">
        <f t="shared" ref="U71:U102" si="48">(R71*S71)/(T71*EFF_est)</f>
        <v>9.7122807017543875E-2</v>
      </c>
      <c r="V71" s="39">
        <f t="shared" ref="V71:V102" si="49">IF((S71*R71/T71)&lt;((T71*(1-(T71/R71)))/(2*Lm*Fsw)),1,2)</f>
        <v>1</v>
      </c>
      <c r="W71" s="37">
        <f t="shared" ref="W71:W102" si="50">CHOOSE(V71,SQRT((2*S71*Lm*Fsw*(R71-T71))/((T71)^2)),1-(T71/R71))</f>
        <v>0.11962905629950907</v>
      </c>
      <c r="X71" s="40">
        <f t="shared" ref="X71:X102" si="51">CHOOSE(V71,(Lm*W71*Fsw)/(R71-T71),1-W71)</f>
        <v>7.4303761676713703E-4</v>
      </c>
      <c r="Y71" s="39">
        <f t="shared" ref="Y71:Y102" si="52">(T71*W71)/(Lm*Fsw)</f>
        <v>1.4355486755941091</v>
      </c>
      <c r="Z71" s="37">
        <f t="shared" si="28"/>
        <v>1.4355486755941091</v>
      </c>
      <c r="AA71" s="37">
        <f t="shared" si="29"/>
        <v>0.28755452302862622</v>
      </c>
      <c r="AB71" s="37">
        <v>0</v>
      </c>
      <c r="AC71" s="37">
        <f t="shared" ref="AC71:AC102" si="53">(AA71^2)*Rdcr</f>
        <v>2.8940661299977255E-3</v>
      </c>
      <c r="AD71" s="40">
        <f t="shared" si="19"/>
        <v>2.8940661299977255E-3</v>
      </c>
      <c r="AE71" s="39">
        <f t="shared" si="27"/>
        <v>1.161870974866811E-2</v>
      </c>
      <c r="AF71" s="37">
        <f t="shared" si="20"/>
        <v>0.28666563520475002</v>
      </c>
      <c r="AG71" s="37">
        <f t="shared" ref="AG71:AG102" si="54">(AF71^2)*RDS_on</f>
        <v>1.0354325487325195E-2</v>
      </c>
      <c r="AH71" s="37">
        <f t="shared" ref="AH71:AH102" si="55">((R71*U71)/2)*Fsw*(tr_sw+tf_sw)</f>
        <v>1.3830417160818793E-2</v>
      </c>
      <c r="AI71" s="40">
        <f t="shared" si="21"/>
        <v>2.4184742648143989E-2</v>
      </c>
      <c r="AJ71" s="39">
        <f t="shared" si="22"/>
        <v>7.2165899060050377E-5</v>
      </c>
      <c r="AK71" s="37">
        <f t="shared" ref="AK71:AK102" si="56">CHOOSE(V71,Z71*SQRT(X71/3),SQRT(X71*((Z71^2)+((Y71^2)/3)-(Y71*Z71))))</f>
        <v>2.2592417021600537E-2</v>
      </c>
      <c r="AL71" s="37">
        <f t="shared" ref="AL71:AL102" si="57">S71*Vd_rect</f>
        <v>8.0000000000000002E-3</v>
      </c>
      <c r="AM71" s="37">
        <f t="shared" ref="AM71:AM102" si="58">CHOOSE(V71,(R71+Vd_rect)*Qrr*Fsw,(R71+Vd_rect)*Qrr*Fsw)</f>
        <v>0.29622500000000002</v>
      </c>
      <c r="AN71" s="40">
        <f t="shared" si="23"/>
        <v>0.30422500000000002</v>
      </c>
      <c r="AO71" s="39">
        <f t="shared" ref="AO71:AO102" si="59">(AF71^2)*R_cs</f>
        <v>2.711847151442313E-3</v>
      </c>
      <c r="AP71" s="37">
        <f t="shared" ref="AP71:AP102" si="60">Qg_tot*Vcc*Fsw</f>
        <v>3.0375000000000006E-2</v>
      </c>
      <c r="AQ71" s="40">
        <f t="shared" ref="AQ71:AQ102" si="61">IQ*T71</f>
        <v>5.4000000000000003E-3</v>
      </c>
      <c r="AR71" s="39">
        <f t="shared" si="24"/>
        <v>0.36979065592958399</v>
      </c>
      <c r="AS71" s="37">
        <f t="shared" si="25"/>
        <v>1.1072</v>
      </c>
      <c r="AT71" s="40">
        <f t="shared" si="26"/>
        <v>74.963236602411257</v>
      </c>
    </row>
    <row r="72" spans="17:46" x14ac:dyDescent="0.2">
      <c r="Q72">
        <v>65</v>
      </c>
      <c r="R72" s="39">
        <f t="shared" si="45"/>
        <v>173</v>
      </c>
      <c r="S72" s="37">
        <f t="shared" si="46"/>
        <v>6.4999999999999997E-3</v>
      </c>
      <c r="T72" s="37">
        <f t="shared" si="47"/>
        <v>12</v>
      </c>
      <c r="U72" s="40">
        <f t="shared" si="48"/>
        <v>9.8640350877193E-2</v>
      </c>
      <c r="V72" s="39">
        <f t="shared" si="49"/>
        <v>1</v>
      </c>
      <c r="W72" s="37">
        <f t="shared" si="50"/>
        <v>0.12056003575904504</v>
      </c>
      <c r="X72" s="40">
        <f t="shared" si="51"/>
        <v>7.4882009788226737E-4</v>
      </c>
      <c r="Y72" s="39">
        <f t="shared" si="52"/>
        <v>1.4467204291085407</v>
      </c>
      <c r="Z72" s="37">
        <f t="shared" si="28"/>
        <v>1.4467204291085407</v>
      </c>
      <c r="AA72" s="37">
        <f t="shared" si="29"/>
        <v>0.29091776347079534</v>
      </c>
      <c r="AB72" s="37">
        <v>0</v>
      </c>
      <c r="AC72" s="37">
        <f t="shared" si="53"/>
        <v>2.9621600785997371E-3</v>
      </c>
      <c r="AD72" s="40">
        <f t="shared" ref="AD72:AD135" si="62">AB72+AC72</f>
        <v>2.9621600785997371E-3</v>
      </c>
      <c r="AE72" s="39">
        <f t="shared" si="27"/>
        <v>1.1892084229039139E-2</v>
      </c>
      <c r="AF72" s="37">
        <f t="shared" ref="AF72:AF135" si="63">CHOOSE(V72,Z72*SQRT(W72/3),SQRT(W72*((Z72^2)+((Y72^2)/3)-(Z72*Y72))))</f>
        <v>0.29001847920645868</v>
      </c>
      <c r="AG72" s="37">
        <f t="shared" si="54"/>
        <v>1.0597950503434617E-2</v>
      </c>
      <c r="AH72" s="37">
        <f t="shared" si="55"/>
        <v>1.404651742895659E-2</v>
      </c>
      <c r="AI72" s="40">
        <f t="shared" ref="AI72:AI135" si="64">AG72+AH72</f>
        <v>2.4644467932391209E-2</v>
      </c>
      <c r="AJ72" s="39">
        <f t="shared" ref="AJ72:AJ135" si="65">X72*U72</f>
        <v>7.3863877199000863E-5</v>
      </c>
      <c r="AK72" s="37">
        <f t="shared" si="56"/>
        <v>2.2856658146424829E-2</v>
      </c>
      <c r="AL72" s="37">
        <f t="shared" si="57"/>
        <v>8.1250000000000003E-3</v>
      </c>
      <c r="AM72" s="37">
        <f t="shared" si="58"/>
        <v>0.29622500000000002</v>
      </c>
      <c r="AN72" s="40">
        <f t="shared" ref="AN72:AN135" si="66">AL72+AM72</f>
        <v>0.30435000000000001</v>
      </c>
      <c r="AO72" s="39">
        <f t="shared" si="59"/>
        <v>2.7756537032804949E-3</v>
      </c>
      <c r="AP72" s="37">
        <f t="shared" si="60"/>
        <v>3.0375000000000006E-2</v>
      </c>
      <c r="AQ72" s="40">
        <f t="shared" si="61"/>
        <v>5.4000000000000003E-3</v>
      </c>
      <c r="AR72" s="39">
        <f t="shared" ref="AR72:AR135" si="67">AO72+AN72+AI72+AD72+AP72+AQ72</f>
        <v>0.37050728171427144</v>
      </c>
      <c r="AS72" s="37">
        <f t="shared" ref="AS72:AS135" si="68">R72*S72</f>
        <v>1.1245000000000001</v>
      </c>
      <c r="AT72" s="40">
        <f t="shared" ref="AT72:AT135" si="69">(AS72/(AS72+AR72))*100</f>
        <v>75.217024943890308</v>
      </c>
    </row>
    <row r="73" spans="17:46" x14ac:dyDescent="0.2">
      <c r="Q73">
        <v>66</v>
      </c>
      <c r="R73" s="39">
        <f t="shared" si="45"/>
        <v>173</v>
      </c>
      <c r="S73" s="37">
        <f t="shared" si="46"/>
        <v>6.5999999999999991E-3</v>
      </c>
      <c r="T73" s="37">
        <f t="shared" si="47"/>
        <v>12</v>
      </c>
      <c r="U73" s="40">
        <f t="shared" si="48"/>
        <v>0.10015789473684211</v>
      </c>
      <c r="V73" s="39">
        <f t="shared" si="49"/>
        <v>1</v>
      </c>
      <c r="W73" s="37">
        <f t="shared" si="50"/>
        <v>0.12148388096094613</v>
      </c>
      <c r="X73" s="40">
        <f t="shared" si="51"/>
        <v>7.5455826683817461E-4</v>
      </c>
      <c r="Y73" s="39">
        <f t="shared" si="52"/>
        <v>1.4578065715313537</v>
      </c>
      <c r="Z73" s="37">
        <f t="shared" si="28"/>
        <v>1.4578065715313537</v>
      </c>
      <c r="AA73" s="37">
        <f t="shared" si="29"/>
        <v>0.29426809264506137</v>
      </c>
      <c r="AB73" s="37">
        <v>0</v>
      </c>
      <c r="AC73" s="37">
        <f t="shared" si="53"/>
        <v>3.0307798622136849E-3</v>
      </c>
      <c r="AD73" s="40">
        <f t="shared" si="62"/>
        <v>3.0307798622136849E-3</v>
      </c>
      <c r="AE73" s="39">
        <f t="shared" ref="AE73:AE136" si="70">U73*W73</f>
        <v>1.2167569761509501E-2</v>
      </c>
      <c r="AF73" s="37">
        <f t="shared" si="63"/>
        <v>0.2933584518515433</v>
      </c>
      <c r="AG73" s="37">
        <f t="shared" si="54"/>
        <v>1.0843456840364515E-2</v>
      </c>
      <c r="AH73" s="37">
        <f t="shared" si="55"/>
        <v>1.4262617697094382E-2</v>
      </c>
      <c r="AI73" s="40">
        <f t="shared" si="64"/>
        <v>2.5106074537458896E-2</v>
      </c>
      <c r="AJ73" s="39">
        <f t="shared" si="65"/>
        <v>7.5574967462791918E-5</v>
      </c>
      <c r="AK73" s="37">
        <f t="shared" si="56"/>
        <v>2.3119884866239341E-2</v>
      </c>
      <c r="AL73" s="37">
        <f t="shared" si="57"/>
        <v>8.2499999999999987E-3</v>
      </c>
      <c r="AM73" s="37">
        <f t="shared" si="58"/>
        <v>0.29622500000000002</v>
      </c>
      <c r="AN73" s="40">
        <f t="shared" si="66"/>
        <v>0.304475</v>
      </c>
      <c r="AO73" s="39">
        <f t="shared" si="59"/>
        <v>2.8399529820002305E-3</v>
      </c>
      <c r="AP73" s="37">
        <f t="shared" si="60"/>
        <v>3.0375000000000006E-2</v>
      </c>
      <c r="AQ73" s="40">
        <f t="shared" si="61"/>
        <v>5.4000000000000003E-3</v>
      </c>
      <c r="AR73" s="39">
        <f t="shared" si="67"/>
        <v>0.3712268073816728</v>
      </c>
      <c r="AS73" s="37">
        <f t="shared" si="68"/>
        <v>1.1417999999999999</v>
      </c>
      <c r="AT73" s="40">
        <f t="shared" si="69"/>
        <v>75.464624580968987</v>
      </c>
    </row>
    <row r="74" spans="17:46" x14ac:dyDescent="0.2">
      <c r="Q74">
        <v>67</v>
      </c>
      <c r="R74" s="39">
        <f t="shared" si="45"/>
        <v>173</v>
      </c>
      <c r="S74" s="37">
        <f t="shared" si="46"/>
        <v>6.6999999999999994E-3</v>
      </c>
      <c r="T74" s="37">
        <f t="shared" si="47"/>
        <v>12</v>
      </c>
      <c r="U74" s="40">
        <f t="shared" si="48"/>
        <v>0.10167543859649122</v>
      </c>
      <c r="V74" s="39">
        <f t="shared" si="49"/>
        <v>1</v>
      </c>
      <c r="W74" s="37">
        <f t="shared" si="50"/>
        <v>0.12240075344720899</v>
      </c>
      <c r="X74" s="40">
        <f t="shared" si="51"/>
        <v>7.6025312700129806E-4</v>
      </c>
      <c r="Y74" s="39">
        <f t="shared" si="52"/>
        <v>1.468809041366508</v>
      </c>
      <c r="Z74" s="37">
        <f t="shared" si="28"/>
        <v>1.468809041366508</v>
      </c>
      <c r="AA74" s="37">
        <f t="shared" si="29"/>
        <v>0.29760575463925498</v>
      </c>
      <c r="AB74" s="37">
        <v>0</v>
      </c>
      <c r="AC74" s="37">
        <f t="shared" si="53"/>
        <v>3.0999214818040154E-3</v>
      </c>
      <c r="AD74" s="40">
        <f t="shared" si="62"/>
        <v>3.0999214818040154E-3</v>
      </c>
      <c r="AE74" s="39">
        <f t="shared" si="70"/>
        <v>1.2445150291285959E-2</v>
      </c>
      <c r="AF74" s="37">
        <f t="shared" si="63"/>
        <v>0.296685796473311</v>
      </c>
      <c r="AG74" s="37">
        <f t="shared" si="54"/>
        <v>1.1090830190454367E-2</v>
      </c>
      <c r="AH74" s="37">
        <f t="shared" si="55"/>
        <v>1.4478717965232174E-2</v>
      </c>
      <c r="AI74" s="40">
        <f t="shared" si="64"/>
        <v>2.5569548155686541E-2</v>
      </c>
      <c r="AJ74" s="39">
        <f t="shared" si="65"/>
        <v>7.7299070132210931E-5</v>
      </c>
      <c r="AK74" s="37">
        <f t="shared" si="56"/>
        <v>2.3382116358395221E-2</v>
      </c>
      <c r="AL74" s="37">
        <f t="shared" si="57"/>
        <v>8.3749999999999988E-3</v>
      </c>
      <c r="AM74" s="37">
        <f t="shared" si="58"/>
        <v>0.29622500000000002</v>
      </c>
      <c r="AN74" s="40">
        <f t="shared" si="66"/>
        <v>0.30460000000000004</v>
      </c>
      <c r="AO74" s="39">
        <f t="shared" si="59"/>
        <v>2.9047412403570964E-3</v>
      </c>
      <c r="AP74" s="37">
        <f t="shared" si="60"/>
        <v>3.0375000000000006E-2</v>
      </c>
      <c r="AQ74" s="40">
        <f t="shared" si="61"/>
        <v>5.4000000000000003E-3</v>
      </c>
      <c r="AR74" s="39">
        <f t="shared" si="67"/>
        <v>0.37194921087784766</v>
      </c>
      <c r="AS74" s="37">
        <f t="shared" si="68"/>
        <v>1.1590999999999998</v>
      </c>
      <c r="AT74" s="40">
        <f t="shared" si="69"/>
        <v>75.706253709207317</v>
      </c>
    </row>
    <row r="75" spans="17:46" x14ac:dyDescent="0.2">
      <c r="Q75">
        <v>68</v>
      </c>
      <c r="R75" s="39">
        <f t="shared" si="45"/>
        <v>173</v>
      </c>
      <c r="S75" s="37">
        <f t="shared" si="46"/>
        <v>6.7999999999999996E-3</v>
      </c>
      <c r="T75" s="37">
        <f t="shared" si="47"/>
        <v>12</v>
      </c>
      <c r="U75" s="40">
        <f t="shared" si="48"/>
        <v>0.10319298245614035</v>
      </c>
      <c r="V75" s="39">
        <f t="shared" si="49"/>
        <v>1</v>
      </c>
      <c r="W75" s="37">
        <f t="shared" si="50"/>
        <v>0.1233108087539594</v>
      </c>
      <c r="X75" s="40">
        <f t="shared" si="51"/>
        <v>7.6590564443453047E-4</v>
      </c>
      <c r="Y75" s="39">
        <f t="shared" si="52"/>
        <v>1.4797297050475131</v>
      </c>
      <c r="Z75" s="37">
        <f t="shared" si="28"/>
        <v>1.4797297050475131</v>
      </c>
      <c r="AA75" s="37">
        <f t="shared" si="29"/>
        <v>0.3009309853586164</v>
      </c>
      <c r="AB75" s="37">
        <v>0</v>
      </c>
      <c r="AC75" s="37">
        <f t="shared" si="53"/>
        <v>3.1695810282117731E-3</v>
      </c>
      <c r="AD75" s="40">
        <f t="shared" si="62"/>
        <v>3.1695810282117731E-3</v>
      </c>
      <c r="AE75" s="39">
        <f t="shared" si="70"/>
        <v>1.2724810124399811E-2</v>
      </c>
      <c r="AF75" s="37">
        <f t="shared" si="63"/>
        <v>0.30000074824777218</v>
      </c>
      <c r="AG75" s="37">
        <f t="shared" si="54"/>
        <v>1.1340056567602121E-2</v>
      </c>
      <c r="AH75" s="37">
        <f t="shared" si="55"/>
        <v>1.4694818233369966E-2</v>
      </c>
      <c r="AI75" s="40">
        <f t="shared" si="64"/>
        <v>2.6034874800972087E-2</v>
      </c>
      <c r="AJ75" s="39">
        <f t="shared" si="65"/>
        <v>7.9036087729191377E-5</v>
      </c>
      <c r="AK75" s="37">
        <f t="shared" si="56"/>
        <v>2.3643371157358591E-2</v>
      </c>
      <c r="AL75" s="37">
        <f t="shared" si="57"/>
        <v>8.4999999999999989E-3</v>
      </c>
      <c r="AM75" s="37">
        <f t="shared" si="58"/>
        <v>0.29622500000000002</v>
      </c>
      <c r="AN75" s="40">
        <f t="shared" si="66"/>
        <v>0.30472500000000002</v>
      </c>
      <c r="AO75" s="39">
        <f t="shared" si="59"/>
        <v>2.9700148153243653E-3</v>
      </c>
      <c r="AP75" s="37">
        <f t="shared" si="60"/>
        <v>3.0375000000000006E-2</v>
      </c>
      <c r="AQ75" s="40">
        <f t="shared" si="61"/>
        <v>5.4000000000000003E-3</v>
      </c>
      <c r="AR75" s="39">
        <f t="shared" si="67"/>
        <v>0.37267447064450832</v>
      </c>
      <c r="AS75" s="37">
        <f t="shared" si="68"/>
        <v>1.1763999999999999</v>
      </c>
      <c r="AT75" s="40">
        <f t="shared" si="69"/>
        <v>75.942120426950595</v>
      </c>
    </row>
    <row r="76" spans="17:46" x14ac:dyDescent="0.2">
      <c r="Q76">
        <v>69</v>
      </c>
      <c r="R76" s="39">
        <f t="shared" si="45"/>
        <v>173</v>
      </c>
      <c r="S76" s="37">
        <f t="shared" si="46"/>
        <v>6.899999999999999E-3</v>
      </c>
      <c r="T76" s="37">
        <f t="shared" si="47"/>
        <v>12</v>
      </c>
      <c r="U76" s="40">
        <f t="shared" si="48"/>
        <v>0.10471052631578946</v>
      </c>
      <c r="V76" s="39">
        <f t="shared" si="49"/>
        <v>1</v>
      </c>
      <c r="W76" s="37">
        <f t="shared" si="50"/>
        <v>0.12421419671948397</v>
      </c>
      <c r="X76" s="40">
        <f t="shared" si="51"/>
        <v>7.7151674981045936E-4</v>
      </c>
      <c r="Y76" s="39">
        <f t="shared" si="52"/>
        <v>1.4905703606338079</v>
      </c>
      <c r="Z76" s="37">
        <f t="shared" si="28"/>
        <v>1.4905703606338079</v>
      </c>
      <c r="AA76" s="37">
        <f t="shared" si="29"/>
        <v>0.30424401291621084</v>
      </c>
      <c r="AB76" s="37">
        <v>0</v>
      </c>
      <c r="AC76" s="37">
        <f t="shared" si="53"/>
        <v>3.2397546788375817E-3</v>
      </c>
      <c r="AD76" s="40">
        <f t="shared" si="62"/>
        <v>3.2397546788375817E-3</v>
      </c>
      <c r="AE76" s="39">
        <f t="shared" si="70"/>
        <v>1.3006533914390175E-2</v>
      </c>
      <c r="AF76" s="37">
        <f t="shared" si="63"/>
        <v>0.30330353458284959</v>
      </c>
      <c r="AG76" s="37">
        <f t="shared" si="54"/>
        <v>1.1591122295396678E-2</v>
      </c>
      <c r="AH76" s="37">
        <f t="shared" si="55"/>
        <v>1.4910918501507758E-2</v>
      </c>
      <c r="AI76" s="40">
        <f t="shared" si="64"/>
        <v>2.6502040796904436E-2</v>
      </c>
      <c r="AJ76" s="39">
        <f t="shared" si="65"/>
        <v>8.0785924934100454E-5</v>
      </c>
      <c r="AK76" s="37">
        <f t="shared" si="56"/>
        <v>2.3903667185384465E-2</v>
      </c>
      <c r="AL76" s="37">
        <f t="shared" si="57"/>
        <v>8.624999999999999E-3</v>
      </c>
      <c r="AM76" s="37">
        <f t="shared" si="58"/>
        <v>0.29622500000000002</v>
      </c>
      <c r="AN76" s="40">
        <f t="shared" si="66"/>
        <v>0.30485000000000001</v>
      </c>
      <c r="AO76" s="39">
        <f t="shared" si="59"/>
        <v>3.0357701249848447E-3</v>
      </c>
      <c r="AP76" s="37">
        <f t="shared" si="60"/>
        <v>3.0375000000000006E-2</v>
      </c>
      <c r="AQ76" s="40">
        <f t="shared" si="61"/>
        <v>5.4000000000000003E-3</v>
      </c>
      <c r="AR76" s="39">
        <f t="shared" si="67"/>
        <v>0.37340256560072688</v>
      </c>
      <c r="AS76" s="37">
        <f t="shared" si="68"/>
        <v>1.1936999999999998</v>
      </c>
      <c r="AT76" s="40">
        <f t="shared" si="69"/>
        <v>76.172423311834208</v>
      </c>
    </row>
    <row r="77" spans="17:46" x14ac:dyDescent="0.2">
      <c r="Q77">
        <v>70</v>
      </c>
      <c r="R77" s="39">
        <f t="shared" si="45"/>
        <v>173</v>
      </c>
      <c r="S77" s="37">
        <f t="shared" si="46"/>
        <v>6.9999999999999993E-3</v>
      </c>
      <c r="T77" s="37">
        <f t="shared" si="47"/>
        <v>12</v>
      </c>
      <c r="U77" s="40">
        <f t="shared" si="48"/>
        <v>0.1062280701754386</v>
      </c>
      <c r="V77" s="39">
        <f t="shared" si="49"/>
        <v>1</v>
      </c>
      <c r="W77" s="37">
        <f t="shared" si="50"/>
        <v>0.1251110617722421</v>
      </c>
      <c r="X77" s="40">
        <f t="shared" si="51"/>
        <v>7.770873402002615E-4</v>
      </c>
      <c r="Y77" s="39">
        <f t="shared" si="52"/>
        <v>1.5013327412669055</v>
      </c>
      <c r="Z77" s="37">
        <f t="shared" si="28"/>
        <v>1.5013327412669055</v>
      </c>
      <c r="AA77" s="37">
        <f t="shared" si="29"/>
        <v>0.30754505799933618</v>
      </c>
      <c r="AB77" s="37">
        <v>0</v>
      </c>
      <c r="AC77" s="37">
        <f t="shared" si="53"/>
        <v>3.3104386944935275E-3</v>
      </c>
      <c r="AD77" s="40">
        <f t="shared" si="62"/>
        <v>3.3104386944935275E-3</v>
      </c>
      <c r="AE77" s="39">
        <f t="shared" si="70"/>
        <v>1.3290306649665368E-2</v>
      </c>
      <c r="AF77" s="37">
        <f t="shared" si="63"/>
        <v>0.30659437548365315</v>
      </c>
      <c r="AG77" s="37">
        <f t="shared" si="54"/>
        <v>1.1844013995854623E-2</v>
      </c>
      <c r="AH77" s="37">
        <f t="shared" si="55"/>
        <v>1.5127018769645555E-2</v>
      </c>
      <c r="AI77" s="40">
        <f t="shared" si="64"/>
        <v>2.6971032765500176E-2</v>
      </c>
      <c r="AJ77" s="39">
        <f t="shared" si="65"/>
        <v>8.2548488507238306E-5</v>
      </c>
      <c r="AK77" s="37">
        <f t="shared" si="56"/>
        <v>2.4163021781304521E-2</v>
      </c>
      <c r="AL77" s="37">
        <f t="shared" si="57"/>
        <v>8.7499999999999991E-3</v>
      </c>
      <c r="AM77" s="37">
        <f t="shared" si="58"/>
        <v>0.29622500000000002</v>
      </c>
      <c r="AN77" s="40">
        <f t="shared" si="66"/>
        <v>0.304975</v>
      </c>
      <c r="AO77" s="39">
        <f t="shared" si="59"/>
        <v>3.102003665580973E-3</v>
      </c>
      <c r="AP77" s="37">
        <f t="shared" si="60"/>
        <v>3.0375000000000006E-2</v>
      </c>
      <c r="AQ77" s="40">
        <f t="shared" si="61"/>
        <v>5.4000000000000003E-3</v>
      </c>
      <c r="AR77" s="39">
        <f t="shared" si="67"/>
        <v>0.37413347512557471</v>
      </c>
      <c r="AS77" s="37">
        <f t="shared" si="68"/>
        <v>1.2109999999999999</v>
      </c>
      <c r="AT77" s="40">
        <f t="shared" si="69"/>
        <v>76.397351958267379</v>
      </c>
    </row>
    <row r="78" spans="17:46" x14ac:dyDescent="0.2">
      <c r="Q78">
        <v>71</v>
      </c>
      <c r="R78" s="39">
        <f t="shared" si="45"/>
        <v>173</v>
      </c>
      <c r="S78" s="37">
        <f t="shared" si="46"/>
        <v>7.0999999999999995E-3</v>
      </c>
      <c r="T78" s="37">
        <f t="shared" si="47"/>
        <v>12</v>
      </c>
      <c r="U78" s="40">
        <f t="shared" si="48"/>
        <v>0.10774561403508773</v>
      </c>
      <c r="V78" s="39">
        <f t="shared" si="49"/>
        <v>1</v>
      </c>
      <c r="W78" s="37">
        <f t="shared" si="50"/>
        <v>0.12600154320042625</v>
      </c>
      <c r="X78" s="40">
        <f t="shared" si="51"/>
        <v>7.8261828074798899E-4</v>
      </c>
      <c r="Y78" s="39">
        <f t="shared" si="52"/>
        <v>1.5120185184051154</v>
      </c>
      <c r="Z78" s="37">
        <f t="shared" si="28"/>
        <v>1.5120185184051154</v>
      </c>
      <c r="AA78" s="37">
        <f t="shared" si="29"/>
        <v>0.31083433421372048</v>
      </c>
      <c r="AB78" s="37">
        <v>0</v>
      </c>
      <c r="AC78" s="37">
        <f t="shared" si="53"/>
        <v>3.3816294164130413E-3</v>
      </c>
      <c r="AD78" s="40">
        <f t="shared" si="62"/>
        <v>3.3816294164130413E-3</v>
      </c>
      <c r="AE78" s="39">
        <f t="shared" si="70"/>
        <v>1.357611364149856E-2</v>
      </c>
      <c r="AF78" s="37">
        <f t="shared" si="63"/>
        <v>0.3098734838956132</v>
      </c>
      <c r="AG78" s="37">
        <f t="shared" si="54"/>
        <v>1.2098718578722212E-2</v>
      </c>
      <c r="AH78" s="37">
        <f t="shared" si="55"/>
        <v>1.5343119037783346E-2</v>
      </c>
      <c r="AI78" s="40">
        <f t="shared" si="64"/>
        <v>2.7441837616505559E-2</v>
      </c>
      <c r="AJ78" s="39">
        <f t="shared" si="65"/>
        <v>8.4323687214276749E-5</v>
      </c>
      <c r="AK78" s="37">
        <f t="shared" si="56"/>
        <v>2.4421451727569713E-2</v>
      </c>
      <c r="AL78" s="37">
        <f t="shared" si="57"/>
        <v>8.8749999999999992E-3</v>
      </c>
      <c r="AM78" s="37">
        <f t="shared" si="58"/>
        <v>0.29622500000000002</v>
      </c>
      <c r="AN78" s="40">
        <f t="shared" si="66"/>
        <v>0.30510000000000004</v>
      </c>
      <c r="AO78" s="39">
        <f t="shared" si="59"/>
        <v>3.1687120087129602E-3</v>
      </c>
      <c r="AP78" s="37">
        <f t="shared" si="60"/>
        <v>3.0375000000000006E-2</v>
      </c>
      <c r="AQ78" s="40">
        <f t="shared" si="61"/>
        <v>5.4000000000000003E-3</v>
      </c>
      <c r="AR78" s="39">
        <f t="shared" si="67"/>
        <v>0.37486717904163158</v>
      </c>
      <c r="AS78" s="37">
        <f t="shared" si="68"/>
        <v>1.2282999999999999</v>
      </c>
      <c r="AT78" s="40">
        <f t="shared" si="69"/>
        <v>76.617087478941144</v>
      </c>
    </row>
    <row r="79" spans="17:46" x14ac:dyDescent="0.2">
      <c r="Q79">
        <v>72</v>
      </c>
      <c r="R79" s="39">
        <f t="shared" si="45"/>
        <v>173</v>
      </c>
      <c r="S79" s="37">
        <f t="shared" si="46"/>
        <v>7.1999999999999998E-3</v>
      </c>
      <c r="T79" s="37">
        <f t="shared" si="47"/>
        <v>12</v>
      </c>
      <c r="U79" s="40">
        <f t="shared" si="48"/>
        <v>0.10926315789473685</v>
      </c>
      <c r="V79" s="39">
        <f t="shared" si="49"/>
        <v>1</v>
      </c>
      <c r="W79" s="37">
        <f t="shared" si="50"/>
        <v>0.12688577540449519</v>
      </c>
      <c r="X79" s="40">
        <f t="shared" si="51"/>
        <v>7.8811040623910037E-4</v>
      </c>
      <c r="Y79" s="39">
        <f t="shared" si="52"/>
        <v>1.5226293048539425</v>
      </c>
      <c r="Z79" s="37">
        <f t="shared" si="28"/>
        <v>1.5226293048539425</v>
      </c>
      <c r="AA79" s="37">
        <f t="shared" si="29"/>
        <v>0.31411204840714957</v>
      </c>
      <c r="AB79" s="37">
        <v>0</v>
      </c>
      <c r="AC79" s="37">
        <f t="shared" si="53"/>
        <v>3.4533232634087422E-3</v>
      </c>
      <c r="AD79" s="40">
        <f t="shared" si="62"/>
        <v>3.4533232634087422E-3</v>
      </c>
      <c r="AE79" s="39">
        <f t="shared" si="70"/>
        <v>1.3863940512617476E-2</v>
      </c>
      <c r="AF79" s="37">
        <f t="shared" si="63"/>
        <v>0.31314106602710845</v>
      </c>
      <c r="AG79" s="37">
        <f t="shared" si="54"/>
        <v>1.235522323130683E-2</v>
      </c>
      <c r="AH79" s="37">
        <f t="shared" si="55"/>
        <v>1.5559219305921143E-2</v>
      </c>
      <c r="AI79" s="40">
        <f t="shared" si="64"/>
        <v>2.7914442537227975E-2</v>
      </c>
      <c r="AJ79" s="39">
        <f t="shared" si="65"/>
        <v>8.6111431755388023E-5</v>
      </c>
      <c r="AK79" s="37">
        <f t="shared" si="56"/>
        <v>2.4678973275676946E-2</v>
      </c>
      <c r="AL79" s="37">
        <f t="shared" si="57"/>
        <v>8.9999999999999993E-3</v>
      </c>
      <c r="AM79" s="37">
        <f t="shared" si="58"/>
        <v>0.29622500000000002</v>
      </c>
      <c r="AN79" s="40">
        <f t="shared" si="66"/>
        <v>0.30522500000000002</v>
      </c>
      <c r="AO79" s="39">
        <f t="shared" si="59"/>
        <v>3.2358917986755986E-3</v>
      </c>
      <c r="AP79" s="37">
        <f t="shared" si="60"/>
        <v>3.0375000000000006E-2</v>
      </c>
      <c r="AQ79" s="40">
        <f t="shared" si="61"/>
        <v>5.4000000000000003E-3</v>
      </c>
      <c r="AR79" s="39">
        <f t="shared" si="67"/>
        <v>0.37560365759931236</v>
      </c>
      <c r="AS79" s="37">
        <f t="shared" si="68"/>
        <v>1.2456</v>
      </c>
      <c r="AT79" s="40">
        <f t="shared" si="69"/>
        <v>76.831802973137371</v>
      </c>
    </row>
    <row r="80" spans="17:46" x14ac:dyDescent="0.2">
      <c r="Q80">
        <v>73</v>
      </c>
      <c r="R80" s="39">
        <f t="shared" si="45"/>
        <v>173</v>
      </c>
      <c r="S80" s="37">
        <f t="shared" si="46"/>
        <v>7.2999999999999992E-3</v>
      </c>
      <c r="T80" s="37">
        <f t="shared" si="47"/>
        <v>12</v>
      </c>
      <c r="U80" s="40">
        <f t="shared" si="48"/>
        <v>0.11078070175438597</v>
      </c>
      <c r="V80" s="39">
        <f t="shared" si="49"/>
        <v>1</v>
      </c>
      <c r="W80" s="37">
        <f t="shared" si="50"/>
        <v>0.12776388813397591</v>
      </c>
      <c r="X80" s="40">
        <f t="shared" si="51"/>
        <v>7.9356452257127875E-4</v>
      </c>
      <c r="Y80" s="39">
        <f t="shared" si="52"/>
        <v>1.5331666576077112</v>
      </c>
      <c r="Z80" s="37">
        <f t="shared" ref="Z80:Z143" si="71">CHOOSE(V80,Y80,U80+(0.5*Y80))</f>
        <v>1.5331666576077112</v>
      </c>
      <c r="AA80" s="37">
        <f t="shared" ref="AA80:AA143" si="72">CHOOSE(V80,Z80*SQRT((W80+X80)/3),SQRT((U80^2)+((Y80^2)/12)))</f>
        <v>0.31737840097402131</v>
      </c>
      <c r="AB80" s="37">
        <v>0</v>
      </c>
      <c r="AC80" s="37">
        <f t="shared" si="53"/>
        <v>3.5255167291689334E-3</v>
      </c>
      <c r="AD80" s="40">
        <f t="shared" si="62"/>
        <v>3.5255167291689334E-3</v>
      </c>
      <c r="AE80" s="39">
        <f t="shared" si="70"/>
        <v>1.4153773186350718E-2</v>
      </c>
      <c r="AF80" s="37">
        <f t="shared" si="63"/>
        <v>0.31639732165307799</v>
      </c>
      <c r="AG80" s="37">
        <f t="shared" si="54"/>
        <v>1.2613515408804404E-2</v>
      </c>
      <c r="AH80" s="37">
        <f t="shared" si="55"/>
        <v>1.5775319574058935E-2</v>
      </c>
      <c r="AI80" s="40">
        <f t="shared" si="64"/>
        <v>2.8388834982863341E-2</v>
      </c>
      <c r="AJ80" s="39">
        <f t="shared" si="65"/>
        <v>8.7911634697830526E-5</v>
      </c>
      <c r="AK80" s="37">
        <f t="shared" si="56"/>
        <v>2.4935602170097063E-2</v>
      </c>
      <c r="AL80" s="37">
        <f t="shared" si="57"/>
        <v>9.1249999999999994E-3</v>
      </c>
      <c r="AM80" s="37">
        <f t="shared" si="58"/>
        <v>0.29622500000000002</v>
      </c>
      <c r="AN80" s="40">
        <f t="shared" si="66"/>
        <v>0.30535000000000001</v>
      </c>
      <c r="AO80" s="39">
        <f t="shared" si="59"/>
        <v>3.3035397499249631E-3</v>
      </c>
      <c r="AP80" s="37">
        <f t="shared" si="60"/>
        <v>3.0375000000000006E-2</v>
      </c>
      <c r="AQ80" s="40">
        <f t="shared" si="61"/>
        <v>5.4000000000000003E-3</v>
      </c>
      <c r="AR80" s="39">
        <f t="shared" si="67"/>
        <v>0.37634289146195726</v>
      </c>
      <c r="AS80" s="37">
        <f t="shared" si="68"/>
        <v>1.2628999999999999</v>
      </c>
      <c r="AT80" s="40">
        <f t="shared" si="69"/>
        <v>77.041663964373441</v>
      </c>
    </row>
    <row r="81" spans="17:46" x14ac:dyDescent="0.2">
      <c r="Q81">
        <v>74</v>
      </c>
      <c r="R81" s="39">
        <f t="shared" si="45"/>
        <v>173</v>
      </c>
      <c r="S81" s="37">
        <f t="shared" si="46"/>
        <v>7.3999999999999995E-3</v>
      </c>
      <c r="T81" s="37">
        <f t="shared" si="47"/>
        <v>12</v>
      </c>
      <c r="U81" s="40">
        <f t="shared" si="48"/>
        <v>0.11229824561403511</v>
      </c>
      <c r="V81" s="39">
        <f t="shared" si="49"/>
        <v>1</v>
      </c>
      <c r="W81" s="37">
        <f t="shared" si="50"/>
        <v>0.12863600670971648</v>
      </c>
      <c r="X81" s="40">
        <f t="shared" si="51"/>
        <v>7.9898140813488476E-4</v>
      </c>
      <c r="Y81" s="39">
        <f t="shared" si="52"/>
        <v>1.5436320805165979</v>
      </c>
      <c r="Z81" s="37">
        <f t="shared" si="71"/>
        <v>1.5436320805165979</v>
      </c>
      <c r="AA81" s="37">
        <f t="shared" si="72"/>
        <v>0.32063358614219667</v>
      </c>
      <c r="AB81" s="37">
        <v>0</v>
      </c>
      <c r="AC81" s="37">
        <f t="shared" si="53"/>
        <v>3.5982063796841913E-3</v>
      </c>
      <c r="AD81" s="40">
        <f t="shared" si="62"/>
        <v>3.5982063796841913E-3</v>
      </c>
      <c r="AE81" s="39">
        <f t="shared" si="70"/>
        <v>1.4445597876296408E-2</v>
      </c>
      <c r="AF81" s="37">
        <f t="shared" si="63"/>
        <v>0.3196424444009861</v>
      </c>
      <c r="AG81" s="37">
        <f t="shared" si="54"/>
        <v>1.2873582825092324E-2</v>
      </c>
      <c r="AH81" s="37">
        <f t="shared" si="55"/>
        <v>1.5991419842196729E-2</v>
      </c>
      <c r="AI81" s="40">
        <f t="shared" si="64"/>
        <v>2.8865002667289051E-2</v>
      </c>
      <c r="AJ81" s="39">
        <f t="shared" si="65"/>
        <v>8.9724210411778912E-5</v>
      </c>
      <c r="AK81" s="37">
        <f t="shared" si="56"/>
        <v>2.5191353670812031E-2</v>
      </c>
      <c r="AL81" s="37">
        <f t="shared" si="57"/>
        <v>9.2499999999999995E-3</v>
      </c>
      <c r="AM81" s="37">
        <f t="shared" si="58"/>
        <v>0.29622500000000002</v>
      </c>
      <c r="AN81" s="40">
        <f t="shared" si="66"/>
        <v>0.305475</v>
      </c>
      <c r="AO81" s="39">
        <f t="shared" si="59"/>
        <v>3.3716526446670374E-3</v>
      </c>
      <c r="AP81" s="37">
        <f t="shared" si="60"/>
        <v>3.0375000000000006E-2</v>
      </c>
      <c r="AQ81" s="40">
        <f t="shared" si="61"/>
        <v>5.4000000000000003E-3</v>
      </c>
      <c r="AR81" s="39">
        <f t="shared" si="67"/>
        <v>0.37708486169164024</v>
      </c>
      <c r="AS81" s="37">
        <f t="shared" si="68"/>
        <v>1.2802</v>
      </c>
      <c r="AT81" s="40">
        <f t="shared" si="69"/>
        <v>77.24682880969911</v>
      </c>
    </row>
    <row r="82" spans="17:46" x14ac:dyDescent="0.2">
      <c r="Q82">
        <v>75</v>
      </c>
      <c r="R82" s="39">
        <f t="shared" si="45"/>
        <v>173</v>
      </c>
      <c r="S82" s="37">
        <f t="shared" si="46"/>
        <v>7.4999999999999997E-3</v>
      </c>
      <c r="T82" s="37">
        <f t="shared" si="47"/>
        <v>12</v>
      </c>
      <c r="U82" s="40">
        <f t="shared" si="48"/>
        <v>0.11381578947368422</v>
      </c>
      <c r="V82" s="39">
        <f t="shared" si="49"/>
        <v>1</v>
      </c>
      <c r="W82" s="37">
        <f t="shared" si="50"/>
        <v>0.12950225223266709</v>
      </c>
      <c r="X82" s="40">
        <f t="shared" si="51"/>
        <v>8.0436181510973347E-4</v>
      </c>
      <c r="Y82" s="39">
        <f t="shared" si="52"/>
        <v>1.5540270267920053</v>
      </c>
      <c r="Z82" s="37">
        <f t="shared" si="71"/>
        <v>1.5540270267920053</v>
      </c>
      <c r="AA82" s="37">
        <f t="shared" si="72"/>
        <v>0.32387779224340213</v>
      </c>
      <c r="AB82" s="37">
        <v>0</v>
      </c>
      <c r="AC82" s="37">
        <f t="shared" si="53"/>
        <v>3.6713888507961126E-3</v>
      </c>
      <c r="AD82" s="40">
        <f t="shared" si="62"/>
        <v>3.6713888507961126E-3</v>
      </c>
      <c r="AE82" s="39">
        <f t="shared" si="70"/>
        <v>1.473940107648119E-2</v>
      </c>
      <c r="AF82" s="37">
        <f t="shared" si="63"/>
        <v>0.3228766220203888</v>
      </c>
      <c r="AG82" s="37">
        <f t="shared" si="54"/>
        <v>1.3135413443959425E-2</v>
      </c>
      <c r="AH82" s="37">
        <f t="shared" si="55"/>
        <v>1.6207520110334522E-2</v>
      </c>
      <c r="AI82" s="40">
        <f t="shared" si="64"/>
        <v>2.9342933554293946E-2</v>
      </c>
      <c r="AJ82" s="39">
        <f t="shared" si="65"/>
        <v>9.1549075009199929E-5</v>
      </c>
      <c r="AK82" s="37">
        <f t="shared" si="56"/>
        <v>2.5446242574559713E-2</v>
      </c>
      <c r="AL82" s="37">
        <f t="shared" si="57"/>
        <v>9.3749999999999997E-3</v>
      </c>
      <c r="AM82" s="37">
        <f t="shared" si="58"/>
        <v>0.29622500000000002</v>
      </c>
      <c r="AN82" s="40">
        <f t="shared" si="66"/>
        <v>0.30560000000000004</v>
      </c>
      <c r="AO82" s="39">
        <f t="shared" si="59"/>
        <v>3.440227330560802E-3</v>
      </c>
      <c r="AP82" s="37">
        <f t="shared" si="60"/>
        <v>3.0375000000000006E-2</v>
      </c>
      <c r="AQ82" s="40">
        <f t="shared" si="61"/>
        <v>5.4000000000000003E-3</v>
      </c>
      <c r="AR82" s="39">
        <f t="shared" si="67"/>
        <v>0.37782954973565092</v>
      </c>
      <c r="AS82" s="37">
        <f t="shared" si="68"/>
        <v>1.2974999999999999</v>
      </c>
      <c r="AT82" s="40">
        <f t="shared" si="69"/>
        <v>77.447449082762944</v>
      </c>
    </row>
    <row r="83" spans="17:46" x14ac:dyDescent="0.2">
      <c r="Q83">
        <v>76</v>
      </c>
      <c r="R83" s="39">
        <f t="shared" si="45"/>
        <v>173</v>
      </c>
      <c r="S83" s="37">
        <f t="shared" si="46"/>
        <v>7.5999999999999991E-3</v>
      </c>
      <c r="T83" s="37">
        <f t="shared" si="47"/>
        <v>12</v>
      </c>
      <c r="U83" s="40">
        <f t="shared" si="48"/>
        <v>0.11533333333333333</v>
      </c>
      <c r="V83" s="39">
        <f t="shared" si="49"/>
        <v>1</v>
      </c>
      <c r="W83" s="37">
        <f t="shared" si="50"/>
        <v>0.13036274178017446</v>
      </c>
      <c r="X83" s="40">
        <f t="shared" si="51"/>
        <v>8.0970647068431324E-4</v>
      </c>
      <c r="Y83" s="39">
        <f t="shared" si="52"/>
        <v>1.5643529013620936</v>
      </c>
      <c r="Z83" s="37">
        <f t="shared" si="71"/>
        <v>1.5643529013620936</v>
      </c>
      <c r="AA83" s="37">
        <f t="shared" si="72"/>
        <v>0.32711120196833249</v>
      </c>
      <c r="AB83" s="37">
        <v>0</v>
      </c>
      <c r="AC83" s="37">
        <f t="shared" si="53"/>
        <v>3.7450608458608529E-3</v>
      </c>
      <c r="AD83" s="40">
        <f t="shared" si="62"/>
        <v>3.7450608458608529E-3</v>
      </c>
      <c r="AE83" s="39">
        <f t="shared" si="70"/>
        <v>1.5035169551980121E-2</v>
      </c>
      <c r="AF83" s="37">
        <f t="shared" si="63"/>
        <v>0.32610003663724774</v>
      </c>
      <c r="AG83" s="37">
        <f t="shared" si="54"/>
        <v>1.3398995470746604E-2</v>
      </c>
      <c r="AH83" s="37">
        <f t="shared" si="55"/>
        <v>1.6423620378472312E-2</v>
      </c>
      <c r="AI83" s="40">
        <f t="shared" si="64"/>
        <v>2.9822615849218914E-2</v>
      </c>
      <c r="AJ83" s="39">
        <f t="shared" si="65"/>
        <v>9.3386146285590795E-5</v>
      </c>
      <c r="AK83" s="37">
        <f t="shared" si="56"/>
        <v>2.5700283234876692E-2</v>
      </c>
      <c r="AL83" s="37">
        <f t="shared" si="57"/>
        <v>9.499999999999998E-3</v>
      </c>
      <c r="AM83" s="37">
        <f t="shared" si="58"/>
        <v>0.29622500000000002</v>
      </c>
      <c r="AN83" s="40">
        <f t="shared" si="66"/>
        <v>0.30572500000000002</v>
      </c>
      <c r="AO83" s="39">
        <f t="shared" si="59"/>
        <v>3.5092607185288724E-3</v>
      </c>
      <c r="AP83" s="37">
        <f t="shared" si="60"/>
        <v>3.0375000000000006E-2</v>
      </c>
      <c r="AQ83" s="40">
        <f t="shared" si="61"/>
        <v>5.4000000000000003E-3</v>
      </c>
      <c r="AR83" s="39">
        <f t="shared" si="67"/>
        <v>0.37857693741360865</v>
      </c>
      <c r="AS83" s="37">
        <f t="shared" si="68"/>
        <v>1.3147999999999997</v>
      </c>
      <c r="AT83" s="40">
        <f t="shared" si="69"/>
        <v>77.643669932588622</v>
      </c>
    </row>
    <row r="84" spans="17:46" x14ac:dyDescent="0.2">
      <c r="Q84">
        <v>77</v>
      </c>
      <c r="R84" s="39">
        <f t="shared" si="45"/>
        <v>173</v>
      </c>
      <c r="S84" s="37">
        <f t="shared" si="46"/>
        <v>7.6999999999999994E-3</v>
      </c>
      <c r="T84" s="37">
        <f t="shared" si="47"/>
        <v>12</v>
      </c>
      <c r="U84" s="40">
        <f t="shared" si="48"/>
        <v>0.11685087719298246</v>
      </c>
      <c r="V84" s="39">
        <f t="shared" si="49"/>
        <v>1</v>
      </c>
      <c r="W84" s="37">
        <f t="shared" si="50"/>
        <v>0.13121758859068991</v>
      </c>
      <c r="X84" s="40">
        <f t="shared" si="51"/>
        <v>8.1501607820304279E-4</v>
      </c>
      <c r="Y84" s="39">
        <f t="shared" si="52"/>
        <v>1.5746110630882793</v>
      </c>
      <c r="Z84" s="37">
        <f t="shared" si="71"/>
        <v>1.5746110630882793</v>
      </c>
      <c r="AA84" s="37">
        <f t="shared" si="72"/>
        <v>0.33033399260750895</v>
      </c>
      <c r="AB84" s="37">
        <v>0</v>
      </c>
      <c r="AC84" s="37">
        <f t="shared" si="53"/>
        <v>3.8192191335206225E-3</v>
      </c>
      <c r="AD84" s="40">
        <f t="shared" si="62"/>
        <v>3.8192191335206225E-3</v>
      </c>
      <c r="AE84" s="39">
        <f t="shared" si="70"/>
        <v>1.5332890329970003E-2</v>
      </c>
      <c r="AF84" s="37">
        <f t="shared" si="63"/>
        <v>0.32931286499404416</v>
      </c>
      <c r="AG84" s="37">
        <f t="shared" si="54"/>
        <v>1.366431734437378E-2</v>
      </c>
      <c r="AH84" s="37">
        <f t="shared" si="55"/>
        <v>1.6639720646610109E-2</v>
      </c>
      <c r="AI84" s="40">
        <f t="shared" si="64"/>
        <v>3.0304037990983891E-2</v>
      </c>
      <c r="AJ84" s="39">
        <f t="shared" si="65"/>
        <v>9.5235343664409937E-5</v>
      </c>
      <c r="AK84" s="37">
        <f t="shared" si="56"/>
        <v>2.5953489581021824E-2</v>
      </c>
      <c r="AL84" s="37">
        <f t="shared" si="57"/>
        <v>9.6249999999999999E-3</v>
      </c>
      <c r="AM84" s="37">
        <f t="shared" si="58"/>
        <v>0.29622500000000002</v>
      </c>
      <c r="AN84" s="40">
        <f t="shared" si="66"/>
        <v>0.30585000000000001</v>
      </c>
      <c r="AO84" s="39">
        <f t="shared" si="59"/>
        <v>3.5787497806693234E-3</v>
      </c>
      <c r="AP84" s="37">
        <f t="shared" si="60"/>
        <v>3.0375000000000006E-2</v>
      </c>
      <c r="AQ84" s="40">
        <f t="shared" si="61"/>
        <v>5.4000000000000003E-3</v>
      </c>
      <c r="AR84" s="39">
        <f t="shared" si="67"/>
        <v>0.37932700690517385</v>
      </c>
      <c r="AS84" s="37">
        <f t="shared" si="68"/>
        <v>1.3320999999999998</v>
      </c>
      <c r="AT84" s="40">
        <f t="shared" si="69"/>
        <v>77.835630419837614</v>
      </c>
    </row>
    <row r="85" spans="17:46" x14ac:dyDescent="0.2">
      <c r="Q85">
        <v>78</v>
      </c>
      <c r="R85" s="39">
        <f t="shared" si="45"/>
        <v>173</v>
      </c>
      <c r="S85" s="37">
        <f t="shared" si="46"/>
        <v>7.7999999999999996E-3</v>
      </c>
      <c r="T85" s="37">
        <f t="shared" si="47"/>
        <v>12</v>
      </c>
      <c r="U85" s="40">
        <f t="shared" si="48"/>
        <v>0.11836842105263158</v>
      </c>
      <c r="V85" s="39">
        <f t="shared" si="49"/>
        <v>1</v>
      </c>
      <c r="W85" s="37">
        <f t="shared" si="50"/>
        <v>0.13206690223771686</v>
      </c>
      <c r="X85" s="40">
        <f t="shared" si="51"/>
        <v>8.2029131824668856E-4</v>
      </c>
      <c r="Y85" s="39">
        <f t="shared" si="52"/>
        <v>1.5848028268526024</v>
      </c>
      <c r="Z85" s="37">
        <f t="shared" si="71"/>
        <v>1.5848028268526024</v>
      </c>
      <c r="AA85" s="37">
        <f t="shared" si="72"/>
        <v>0.33354633627886343</v>
      </c>
      <c r="AB85" s="37">
        <v>0</v>
      </c>
      <c r="AC85" s="37">
        <f t="shared" si="53"/>
        <v>3.8938605455768431E-3</v>
      </c>
      <c r="AD85" s="40">
        <f t="shared" si="62"/>
        <v>3.8938605455768431E-3</v>
      </c>
      <c r="AE85" s="39">
        <f t="shared" si="70"/>
        <v>1.5632550691190801E-2</v>
      </c>
      <c r="AF85" s="37">
        <f t="shared" si="63"/>
        <v>0.33251527867665953</v>
      </c>
      <c r="AG85" s="37">
        <f t="shared" si="54"/>
        <v>1.3931367729730486E-2</v>
      </c>
      <c r="AH85" s="37">
        <f t="shared" si="55"/>
        <v>1.6855820914747903E-2</v>
      </c>
      <c r="AI85" s="40">
        <f t="shared" si="64"/>
        <v>3.0787188644478387E-2</v>
      </c>
      <c r="AJ85" s="39">
        <f t="shared" si="65"/>
        <v>9.7096588144042237E-5</v>
      </c>
      <c r="AK85" s="37">
        <f t="shared" si="56"/>
        <v>2.6205875135856992E-2</v>
      </c>
      <c r="AL85" s="37">
        <f t="shared" si="57"/>
        <v>9.75E-3</v>
      </c>
      <c r="AM85" s="37">
        <f t="shared" si="58"/>
        <v>0.29622500000000002</v>
      </c>
      <c r="AN85" s="40">
        <f t="shared" si="66"/>
        <v>0.305975</v>
      </c>
      <c r="AO85" s="39">
        <f t="shared" si="59"/>
        <v>3.6486915482627463E-3</v>
      </c>
      <c r="AP85" s="37">
        <f t="shared" si="60"/>
        <v>3.0375000000000006E-2</v>
      </c>
      <c r="AQ85" s="40">
        <f t="shared" si="61"/>
        <v>5.4000000000000003E-3</v>
      </c>
      <c r="AR85" s="39">
        <f t="shared" si="67"/>
        <v>0.38007974073831796</v>
      </c>
      <c r="AS85" s="37">
        <f t="shared" si="68"/>
        <v>1.3493999999999999</v>
      </c>
      <c r="AT85" s="40">
        <f t="shared" si="69"/>
        <v>78.023463832189151</v>
      </c>
    </row>
    <row r="86" spans="17:46" x14ac:dyDescent="0.2">
      <c r="Q86">
        <v>79</v>
      </c>
      <c r="R86" s="39">
        <f t="shared" si="45"/>
        <v>173</v>
      </c>
      <c r="S86" s="37">
        <f t="shared" si="46"/>
        <v>7.899999999999999E-3</v>
      </c>
      <c r="T86" s="37">
        <f t="shared" si="47"/>
        <v>12</v>
      </c>
      <c r="U86" s="40">
        <f t="shared" si="48"/>
        <v>0.11988596491228069</v>
      </c>
      <c r="V86" s="39">
        <f t="shared" si="49"/>
        <v>1</v>
      </c>
      <c r="W86" s="37">
        <f t="shared" si="50"/>
        <v>0.13291078879375359</v>
      </c>
      <c r="X86" s="40">
        <f t="shared" si="51"/>
        <v>8.2553284965064349E-4</v>
      </c>
      <c r="Y86" s="39">
        <f t="shared" si="52"/>
        <v>1.5949294655250432</v>
      </c>
      <c r="Z86" s="37">
        <f t="shared" si="71"/>
        <v>1.5949294655250432</v>
      </c>
      <c r="AA86" s="37">
        <f t="shared" si="72"/>
        <v>0.33674840014294138</v>
      </c>
      <c r="AB86" s="37">
        <v>0</v>
      </c>
      <c r="AC86" s="37">
        <f t="shared" si="53"/>
        <v>3.96898197495907E-3</v>
      </c>
      <c r="AD86" s="40">
        <f t="shared" si="62"/>
        <v>3.96898197495907E-3</v>
      </c>
      <c r="AE86" s="39">
        <f t="shared" si="70"/>
        <v>1.5934138161791494E-2</v>
      </c>
      <c r="AF86" s="37">
        <f t="shared" si="63"/>
        <v>0.33570744432891286</v>
      </c>
      <c r="AG86" s="37">
        <f t="shared" si="54"/>
        <v>1.4200135510409115E-2</v>
      </c>
      <c r="AH86" s="37">
        <f t="shared" si="55"/>
        <v>1.7071921182885693E-2</v>
      </c>
      <c r="AI86" s="40">
        <f t="shared" si="64"/>
        <v>3.127205669329481E-2</v>
      </c>
      <c r="AJ86" s="39">
        <f t="shared" si="65"/>
        <v>9.896980224715214E-5</v>
      </c>
      <c r="AK86" s="37">
        <f t="shared" si="56"/>
        <v>2.6457453032754982E-2</v>
      </c>
      <c r="AL86" s="37">
        <f t="shared" si="57"/>
        <v>9.8749999999999984E-3</v>
      </c>
      <c r="AM86" s="37">
        <f t="shared" si="58"/>
        <v>0.29622500000000002</v>
      </c>
      <c r="AN86" s="40">
        <f t="shared" si="66"/>
        <v>0.30610000000000004</v>
      </c>
      <c r="AO86" s="39">
        <f t="shared" si="59"/>
        <v>3.7190831098690542E-3</v>
      </c>
      <c r="AP86" s="37">
        <f t="shared" si="60"/>
        <v>3.0375000000000006E-2</v>
      </c>
      <c r="AQ86" s="40">
        <f t="shared" si="61"/>
        <v>5.4000000000000003E-3</v>
      </c>
      <c r="AR86" s="39">
        <f t="shared" si="67"/>
        <v>0.38083512177812301</v>
      </c>
      <c r="AS86" s="37">
        <f t="shared" si="68"/>
        <v>1.3666999999999998</v>
      </c>
      <c r="AT86" s="40">
        <f t="shared" si="69"/>
        <v>78.207297980333465</v>
      </c>
    </row>
    <row r="87" spans="17:46" x14ac:dyDescent="0.2">
      <c r="Q87">
        <v>80</v>
      </c>
      <c r="R87" s="39">
        <f t="shared" si="45"/>
        <v>173</v>
      </c>
      <c r="S87" s="37">
        <f t="shared" si="46"/>
        <v>8.0000000000000002E-3</v>
      </c>
      <c r="T87" s="37">
        <f t="shared" si="47"/>
        <v>12</v>
      </c>
      <c r="U87" s="40">
        <f t="shared" si="48"/>
        <v>0.12140350877192985</v>
      </c>
      <c r="V87" s="39">
        <f t="shared" si="49"/>
        <v>1</v>
      </c>
      <c r="W87" s="37">
        <f t="shared" si="50"/>
        <v>0.13374935098492585</v>
      </c>
      <c r="X87" s="40">
        <f t="shared" si="51"/>
        <v>8.3074131046537798E-4</v>
      </c>
      <c r="Y87" s="39">
        <f t="shared" si="52"/>
        <v>1.6049922118191104</v>
      </c>
      <c r="Z87" s="37">
        <f t="shared" si="71"/>
        <v>1.6049922118191104</v>
      </c>
      <c r="AA87" s="37">
        <f t="shared" si="72"/>
        <v>0.33994034660654204</v>
      </c>
      <c r="AB87" s="37">
        <v>0</v>
      </c>
      <c r="AC87" s="37">
        <f t="shared" si="53"/>
        <v>4.044580373784158E-3</v>
      </c>
      <c r="AD87" s="40">
        <f t="shared" si="62"/>
        <v>4.044580373784158E-3</v>
      </c>
      <c r="AE87" s="39">
        <f t="shared" si="70"/>
        <v>1.6237640505538369E-2</v>
      </c>
      <c r="AF87" s="37">
        <f t="shared" si="63"/>
        <v>0.33888952385557203</v>
      </c>
      <c r="AG87" s="37">
        <f t="shared" si="54"/>
        <v>1.4470609781761096E-2</v>
      </c>
      <c r="AH87" s="37">
        <f t="shared" si="55"/>
        <v>1.728802145102349E-2</v>
      </c>
      <c r="AI87" s="40">
        <f t="shared" si="64"/>
        <v>3.1758631232784586E-2</v>
      </c>
      <c r="AJ87" s="39">
        <f t="shared" si="65"/>
        <v>1.0085490997228801E-4</v>
      </c>
      <c r="AK87" s="37">
        <f t="shared" si="56"/>
        <v>2.6708236031599029E-2</v>
      </c>
      <c r="AL87" s="37">
        <f t="shared" si="57"/>
        <v>0.01</v>
      </c>
      <c r="AM87" s="37">
        <f t="shared" si="58"/>
        <v>0.29622500000000002</v>
      </c>
      <c r="AN87" s="40">
        <f t="shared" si="66"/>
        <v>0.30622500000000002</v>
      </c>
      <c r="AO87" s="39">
        <f t="shared" si="59"/>
        <v>3.7899216095088587E-3</v>
      </c>
      <c r="AP87" s="37">
        <f t="shared" si="60"/>
        <v>3.0375000000000006E-2</v>
      </c>
      <c r="AQ87" s="40">
        <f t="shared" si="61"/>
        <v>5.4000000000000003E-3</v>
      </c>
      <c r="AR87" s="39">
        <f t="shared" si="67"/>
        <v>0.38159313321607763</v>
      </c>
      <c r="AS87" s="37">
        <f t="shared" si="68"/>
        <v>1.3840000000000001</v>
      </c>
      <c r="AT87" s="40">
        <f t="shared" si="69"/>
        <v>78.387255475954703</v>
      </c>
    </row>
    <row r="88" spans="17:46" x14ac:dyDescent="0.2">
      <c r="Q88">
        <v>81</v>
      </c>
      <c r="R88" s="39">
        <f t="shared" si="45"/>
        <v>173</v>
      </c>
      <c r="S88" s="37">
        <f t="shared" si="46"/>
        <v>8.0999999999999996E-3</v>
      </c>
      <c r="T88" s="37">
        <f t="shared" si="47"/>
        <v>12</v>
      </c>
      <c r="U88" s="40">
        <f t="shared" si="48"/>
        <v>0.12292105263157896</v>
      </c>
      <c r="V88" s="39">
        <f t="shared" si="49"/>
        <v>1</v>
      </c>
      <c r="W88" s="37">
        <f t="shared" si="50"/>
        <v>0.13458268833694767</v>
      </c>
      <c r="X88" s="40">
        <f t="shared" si="51"/>
        <v>8.3591731886302879E-4</v>
      </c>
      <c r="Y88" s="39">
        <f t="shared" si="52"/>
        <v>1.6149922600433724</v>
      </c>
      <c r="Z88" s="37">
        <f t="shared" si="71"/>
        <v>1.6149922600433724</v>
      </c>
      <c r="AA88" s="37">
        <f t="shared" si="72"/>
        <v>0.34312233351555799</v>
      </c>
      <c r="AB88" s="37">
        <v>0</v>
      </c>
      <c r="AC88" s="37">
        <f t="shared" si="53"/>
        <v>4.1206527515006636E-3</v>
      </c>
      <c r="AD88" s="40">
        <f t="shared" si="62"/>
        <v>4.1206527515006636E-3</v>
      </c>
      <c r="AE88" s="39">
        <f t="shared" si="70"/>
        <v>1.6543045716365331E-2</v>
      </c>
      <c r="AF88" s="37">
        <f t="shared" si="63"/>
        <v>0.3420616746145968</v>
      </c>
      <c r="AG88" s="37">
        <f t="shared" si="54"/>
        <v>1.4742779844257928E-2</v>
      </c>
      <c r="AH88" s="37">
        <f t="shared" si="55"/>
        <v>1.7504121719161284E-2</v>
      </c>
      <c r="AI88" s="40">
        <f t="shared" si="64"/>
        <v>3.2246901563419209E-2</v>
      </c>
      <c r="AJ88" s="39">
        <f t="shared" si="65"/>
        <v>1.0275183674761073E-4</v>
      </c>
      <c r="AK88" s="37">
        <f t="shared" si="56"/>
        <v>2.6958236533933692E-2</v>
      </c>
      <c r="AL88" s="37">
        <f t="shared" si="57"/>
        <v>1.0124999999999999E-2</v>
      </c>
      <c r="AM88" s="37">
        <f t="shared" si="58"/>
        <v>0.29622500000000002</v>
      </c>
      <c r="AN88" s="40">
        <f t="shared" si="66"/>
        <v>0.30635000000000001</v>
      </c>
      <c r="AO88" s="39">
        <f t="shared" si="59"/>
        <v>3.861204244924696E-3</v>
      </c>
      <c r="AP88" s="37">
        <f t="shared" si="60"/>
        <v>3.0375000000000006E-2</v>
      </c>
      <c r="AQ88" s="40">
        <f t="shared" si="61"/>
        <v>5.4000000000000003E-3</v>
      </c>
      <c r="AR88" s="39">
        <f t="shared" si="67"/>
        <v>0.38235375855984455</v>
      </c>
      <c r="AS88" s="37">
        <f t="shared" si="68"/>
        <v>1.4013</v>
      </c>
      <c r="AT88" s="40">
        <f t="shared" si="69"/>
        <v>78.563453992967553</v>
      </c>
    </row>
    <row r="89" spans="17:46" x14ac:dyDescent="0.2">
      <c r="Q89">
        <v>82</v>
      </c>
      <c r="R89" s="39">
        <f t="shared" si="45"/>
        <v>173</v>
      </c>
      <c r="S89" s="37">
        <f t="shared" si="46"/>
        <v>8.199999999999999E-3</v>
      </c>
      <c r="T89" s="37">
        <f t="shared" si="47"/>
        <v>12</v>
      </c>
      <c r="U89" s="40">
        <f t="shared" si="48"/>
        <v>0.12443859649122807</v>
      </c>
      <c r="V89" s="39">
        <f t="shared" si="49"/>
        <v>1</v>
      </c>
      <c r="W89" s="37">
        <f t="shared" si="50"/>
        <v>0.13541089731299732</v>
      </c>
      <c r="X89" s="40">
        <f t="shared" si="51"/>
        <v>8.4106147399377201E-4</v>
      </c>
      <c r="Y89" s="39">
        <f t="shared" si="52"/>
        <v>1.6249307677559681</v>
      </c>
      <c r="Z89" s="37">
        <f t="shared" si="71"/>
        <v>1.6249307677559681</v>
      </c>
      <c r="AA89" s="37">
        <f t="shared" si="72"/>
        <v>0.34629451433771002</v>
      </c>
      <c r="AB89" s="37">
        <v>0</v>
      </c>
      <c r="AC89" s="37">
        <f t="shared" si="53"/>
        <v>4.197196173113666E-3</v>
      </c>
      <c r="AD89" s="40">
        <f t="shared" si="62"/>
        <v>4.197196173113666E-3</v>
      </c>
      <c r="AE89" s="39">
        <f t="shared" si="70"/>
        <v>1.6850342011247195E-2</v>
      </c>
      <c r="AF89" s="37">
        <f t="shared" si="63"/>
        <v>0.3452240495993088</v>
      </c>
      <c r="AG89" s="37">
        <f t="shared" si="54"/>
        <v>1.5016635197139999E-2</v>
      </c>
      <c r="AH89" s="37">
        <f t="shared" si="55"/>
        <v>1.7720221987299074E-2</v>
      </c>
      <c r="AI89" s="40">
        <f t="shared" si="64"/>
        <v>3.2736857184439069E-2</v>
      </c>
      <c r="AJ89" s="39">
        <f t="shared" si="65"/>
        <v>1.046605093866285E-4</v>
      </c>
      <c r="AK89" s="37">
        <f t="shared" si="56"/>
        <v>2.7207466597321865E-2</v>
      </c>
      <c r="AL89" s="37">
        <f t="shared" si="57"/>
        <v>1.0249999999999999E-2</v>
      </c>
      <c r="AM89" s="37">
        <f t="shared" si="58"/>
        <v>0.29622500000000002</v>
      </c>
      <c r="AN89" s="40">
        <f t="shared" si="66"/>
        <v>0.306475</v>
      </c>
      <c r="AO89" s="39">
        <f t="shared" si="59"/>
        <v>3.9329282659176191E-3</v>
      </c>
      <c r="AP89" s="37">
        <f t="shared" si="60"/>
        <v>3.0375000000000006E-2</v>
      </c>
      <c r="AQ89" s="40">
        <f t="shared" si="61"/>
        <v>5.4000000000000003E-3</v>
      </c>
      <c r="AR89" s="39">
        <f t="shared" si="67"/>
        <v>0.38311698162347035</v>
      </c>
      <c r="AS89" s="37">
        <f t="shared" si="68"/>
        <v>1.4185999999999999</v>
      </c>
      <c r="AT89" s="40">
        <f t="shared" si="69"/>
        <v>78.736006513173024</v>
      </c>
    </row>
    <row r="90" spans="17:46" x14ac:dyDescent="0.2">
      <c r="Q90">
        <v>83</v>
      </c>
      <c r="R90" s="39">
        <f t="shared" si="45"/>
        <v>173</v>
      </c>
      <c r="S90" s="37">
        <f t="shared" si="46"/>
        <v>8.3000000000000001E-3</v>
      </c>
      <c r="T90" s="37">
        <f t="shared" si="47"/>
        <v>12</v>
      </c>
      <c r="U90" s="40">
        <f t="shared" si="48"/>
        <v>0.12595614035087721</v>
      </c>
      <c r="V90" s="39">
        <f t="shared" si="49"/>
        <v>1</v>
      </c>
      <c r="W90" s="37">
        <f t="shared" si="50"/>
        <v>0.13623407144404889</v>
      </c>
      <c r="X90" s="40">
        <f t="shared" si="51"/>
        <v>8.461743567953347E-4</v>
      </c>
      <c r="Y90" s="39">
        <f t="shared" si="52"/>
        <v>1.6348088573285871</v>
      </c>
      <c r="Z90" s="37">
        <f t="shared" si="71"/>
        <v>1.6348088573285871</v>
      </c>
      <c r="AA90" s="37">
        <f t="shared" si="72"/>
        <v>0.34945703833582387</v>
      </c>
      <c r="AB90" s="37">
        <v>0</v>
      </c>
      <c r="AC90" s="37">
        <f t="shared" si="53"/>
        <v>4.274207757485592E-3</v>
      </c>
      <c r="AD90" s="40">
        <f t="shared" si="62"/>
        <v>4.274207757485592E-3</v>
      </c>
      <c r="AE90" s="39">
        <f t="shared" si="70"/>
        <v>1.7159517823378056E-2</v>
      </c>
      <c r="AF90" s="37">
        <f t="shared" si="63"/>
        <v>0.3483767976111331</v>
      </c>
      <c r="AG90" s="37">
        <f t="shared" si="54"/>
        <v>1.5292165532337339E-2</v>
      </c>
      <c r="AH90" s="37">
        <f t="shared" si="55"/>
        <v>1.7936322255436874E-2</v>
      </c>
      <c r="AI90" s="40">
        <f t="shared" si="64"/>
        <v>3.3228487787774215E-2</v>
      </c>
      <c r="AJ90" s="39">
        <f t="shared" si="65"/>
        <v>1.0658085604582643E-4</v>
      </c>
      <c r="AK90" s="37">
        <f t="shared" si="56"/>
        <v>2.7455937948958703E-2</v>
      </c>
      <c r="AL90" s="37">
        <f t="shared" si="57"/>
        <v>1.0375000000000001E-2</v>
      </c>
      <c r="AM90" s="37">
        <f t="shared" si="58"/>
        <v>0.29622500000000002</v>
      </c>
      <c r="AN90" s="40">
        <f t="shared" si="66"/>
        <v>0.30660000000000004</v>
      </c>
      <c r="AO90" s="39">
        <f t="shared" si="59"/>
        <v>4.0050909727550174E-3</v>
      </c>
      <c r="AP90" s="37">
        <f t="shared" si="60"/>
        <v>3.0375000000000006E-2</v>
      </c>
      <c r="AQ90" s="40">
        <f t="shared" si="61"/>
        <v>5.4000000000000003E-3</v>
      </c>
      <c r="AR90" s="39">
        <f t="shared" si="67"/>
        <v>0.38388278651801488</v>
      </c>
      <c r="AS90" s="37">
        <f t="shared" si="68"/>
        <v>1.4359</v>
      </c>
      <c r="AT90" s="40">
        <f t="shared" si="69"/>
        <v>78.905021557405831</v>
      </c>
    </row>
    <row r="91" spans="17:46" x14ac:dyDescent="0.2">
      <c r="Q91">
        <v>84</v>
      </c>
      <c r="R91" s="39">
        <f t="shared" si="45"/>
        <v>173</v>
      </c>
      <c r="S91" s="37">
        <f t="shared" si="46"/>
        <v>8.3999999999999995E-3</v>
      </c>
      <c r="T91" s="37">
        <f t="shared" si="47"/>
        <v>12</v>
      </c>
      <c r="U91" s="40">
        <f t="shared" si="48"/>
        <v>0.12747368421052632</v>
      </c>
      <c r="V91" s="39">
        <f t="shared" si="49"/>
        <v>1</v>
      </c>
      <c r="W91" s="37">
        <f t="shared" si="50"/>
        <v>0.13705230145215852</v>
      </c>
      <c r="X91" s="40">
        <f t="shared" si="51"/>
        <v>8.5125653075874836E-4</v>
      </c>
      <c r="Y91" s="39">
        <f t="shared" si="52"/>
        <v>1.6446276174259025</v>
      </c>
      <c r="Z91" s="37">
        <f t="shared" si="71"/>
        <v>1.6446276174259025</v>
      </c>
      <c r="AA91" s="37">
        <f t="shared" si="72"/>
        <v>0.3526100507322476</v>
      </c>
      <c r="AB91" s="37">
        <v>0</v>
      </c>
      <c r="AC91" s="37">
        <f t="shared" si="53"/>
        <v>4.3516846757089382E-3</v>
      </c>
      <c r="AD91" s="40">
        <f t="shared" si="62"/>
        <v>4.3516846757089382E-3</v>
      </c>
      <c r="AE91" s="39">
        <f t="shared" si="70"/>
        <v>1.7470561795638315E-2</v>
      </c>
      <c r="AF91" s="37">
        <f t="shared" si="63"/>
        <v>0.35152006342350661</v>
      </c>
      <c r="AG91" s="37">
        <f t="shared" si="54"/>
        <v>1.556936072864753E-2</v>
      </c>
      <c r="AH91" s="37">
        <f t="shared" si="55"/>
        <v>1.8152422523574668E-2</v>
      </c>
      <c r="AI91" s="40">
        <f t="shared" si="64"/>
        <v>3.37217832522222E-2</v>
      </c>
      <c r="AJ91" s="39">
        <f t="shared" si="65"/>
        <v>1.0851280618408888E-4</v>
      </c>
      <c r="AK91" s="37">
        <f t="shared" si="56"/>
        <v>2.7703661998589424E-2</v>
      </c>
      <c r="AL91" s="37">
        <f t="shared" si="57"/>
        <v>1.0499999999999999E-2</v>
      </c>
      <c r="AM91" s="37">
        <f t="shared" si="58"/>
        <v>0.29622500000000002</v>
      </c>
      <c r="AN91" s="40">
        <f t="shared" si="66"/>
        <v>0.30672500000000003</v>
      </c>
      <c r="AO91" s="39">
        <f t="shared" si="59"/>
        <v>4.0776897146457824E-3</v>
      </c>
      <c r="AP91" s="37">
        <f t="shared" si="60"/>
        <v>3.0375000000000006E-2</v>
      </c>
      <c r="AQ91" s="40">
        <f t="shared" si="61"/>
        <v>5.4000000000000003E-3</v>
      </c>
      <c r="AR91" s="39">
        <f t="shared" si="67"/>
        <v>0.38465115764257696</v>
      </c>
      <c r="AS91" s="37">
        <f t="shared" si="68"/>
        <v>1.4531999999999998</v>
      </c>
      <c r="AT91" s="40">
        <f t="shared" si="69"/>
        <v>79.070603403162892</v>
      </c>
    </row>
    <row r="92" spans="17:46" x14ac:dyDescent="0.2">
      <c r="Q92">
        <v>85</v>
      </c>
      <c r="R92" s="39">
        <f t="shared" si="45"/>
        <v>173</v>
      </c>
      <c r="S92" s="37">
        <f t="shared" si="46"/>
        <v>8.4999999999999989E-3</v>
      </c>
      <c r="T92" s="37">
        <f t="shared" si="47"/>
        <v>12</v>
      </c>
      <c r="U92" s="40">
        <f t="shared" si="48"/>
        <v>0.12899122807017543</v>
      </c>
      <c r="V92" s="39">
        <f t="shared" si="49"/>
        <v>1</v>
      </c>
      <c r="W92" s="37">
        <f t="shared" si="50"/>
        <v>0.13786567536716468</v>
      </c>
      <c r="X92" s="40">
        <f t="shared" si="51"/>
        <v>8.5630854265319675E-4</v>
      </c>
      <c r="Y92" s="39">
        <f t="shared" si="52"/>
        <v>1.6543881044059765</v>
      </c>
      <c r="Z92" s="37">
        <f t="shared" si="71"/>
        <v>1.6543881044059765</v>
      </c>
      <c r="AA92" s="37">
        <f t="shared" si="72"/>
        <v>0.35575369286496122</v>
      </c>
      <c r="AB92" s="37">
        <v>0</v>
      </c>
      <c r="AC92" s="37">
        <f t="shared" si="53"/>
        <v>4.4296241495470007E-3</v>
      </c>
      <c r="AD92" s="40">
        <f t="shared" si="62"/>
        <v>4.4296241495470007E-3</v>
      </c>
      <c r="AE92" s="39">
        <f t="shared" si="70"/>
        <v>1.7783462774334707E-2</v>
      </c>
      <c r="AF92" s="37">
        <f t="shared" si="63"/>
        <v>0.35465398793750591</v>
      </c>
      <c r="AG92" s="37">
        <f t="shared" si="54"/>
        <v>1.5848210846157049E-2</v>
      </c>
      <c r="AH92" s="37">
        <f t="shared" si="55"/>
        <v>1.8368522791712458E-2</v>
      </c>
      <c r="AI92" s="40">
        <f t="shared" si="64"/>
        <v>3.4216733637869506E-2</v>
      </c>
      <c r="AJ92" s="39">
        <f t="shared" si="65"/>
        <v>1.1045629052381806E-4</v>
      </c>
      <c r="AK92" s="37">
        <f t="shared" si="56"/>
        <v>2.7950649850774487E-2</v>
      </c>
      <c r="AL92" s="37">
        <f t="shared" si="57"/>
        <v>1.0624999999999999E-2</v>
      </c>
      <c r="AM92" s="37">
        <f t="shared" si="58"/>
        <v>0.29622500000000002</v>
      </c>
      <c r="AN92" s="40">
        <f t="shared" si="66"/>
        <v>0.30685000000000001</v>
      </c>
      <c r="AO92" s="39">
        <f t="shared" si="59"/>
        <v>4.1507218882792275E-3</v>
      </c>
      <c r="AP92" s="37">
        <f t="shared" si="60"/>
        <v>3.0375000000000006E-2</v>
      </c>
      <c r="AQ92" s="40">
        <f t="shared" si="61"/>
        <v>5.4000000000000003E-3</v>
      </c>
      <c r="AR92" s="39">
        <f t="shared" si="67"/>
        <v>0.38542207967569581</v>
      </c>
      <c r="AS92" s="37">
        <f t="shared" si="68"/>
        <v>1.4704999999999997</v>
      </c>
      <c r="AT92" s="40">
        <f t="shared" si="69"/>
        <v>79.232852289626052</v>
      </c>
    </row>
    <row r="93" spans="17:46" x14ac:dyDescent="0.2">
      <c r="Q93">
        <v>86</v>
      </c>
      <c r="R93" s="39">
        <f t="shared" si="45"/>
        <v>173</v>
      </c>
      <c r="S93" s="37">
        <f t="shared" si="46"/>
        <v>8.6E-3</v>
      </c>
      <c r="T93" s="37">
        <f t="shared" si="47"/>
        <v>12</v>
      </c>
      <c r="U93" s="40">
        <f t="shared" si="48"/>
        <v>0.13050877192982457</v>
      </c>
      <c r="V93" s="39">
        <f t="shared" si="49"/>
        <v>1</v>
      </c>
      <c r="W93" s="37">
        <f t="shared" si="50"/>
        <v>0.138674278637228</v>
      </c>
      <c r="X93" s="40">
        <f t="shared" si="51"/>
        <v>8.613309232125961E-4</v>
      </c>
      <c r="Y93" s="39">
        <f t="shared" si="52"/>
        <v>1.6640913436467362</v>
      </c>
      <c r="Z93" s="37">
        <f t="shared" si="71"/>
        <v>1.6640913436467362</v>
      </c>
      <c r="AA93" s="37">
        <f t="shared" si="72"/>
        <v>0.35888810233589152</v>
      </c>
      <c r="AB93" s="37">
        <v>0</v>
      </c>
      <c r="AC93" s="37">
        <f t="shared" si="53"/>
        <v>4.5080234499390078E-3</v>
      </c>
      <c r="AD93" s="40">
        <f t="shared" si="62"/>
        <v>4.5080234499390078E-3</v>
      </c>
      <c r="AE93" s="39">
        <f t="shared" si="70"/>
        <v>1.8098209803198935E-2</v>
      </c>
      <c r="AF93" s="37">
        <f t="shared" si="63"/>
        <v>0.35777870832970288</v>
      </c>
      <c r="AG93" s="37">
        <f t="shared" si="54"/>
        <v>1.6128706120892896E-2</v>
      </c>
      <c r="AH93" s="37">
        <f t="shared" si="55"/>
        <v>1.8584623059850251E-2</v>
      </c>
      <c r="AI93" s="40">
        <f t="shared" si="64"/>
        <v>3.4713329180743144E-2</v>
      </c>
      <c r="AJ93" s="39">
        <f t="shared" si="65"/>
        <v>1.1241124101365794E-4</v>
      </c>
      <c r="AK93" s="37">
        <f t="shared" si="56"/>
        <v>2.819691231654228E-2</v>
      </c>
      <c r="AL93" s="37">
        <f t="shared" si="57"/>
        <v>1.0749999999999999E-2</v>
      </c>
      <c r="AM93" s="37">
        <f t="shared" si="58"/>
        <v>0.29622500000000002</v>
      </c>
      <c r="AN93" s="40">
        <f t="shared" si="66"/>
        <v>0.306975</v>
      </c>
      <c r="AO93" s="39">
        <f t="shared" si="59"/>
        <v>4.2241849364243302E-3</v>
      </c>
      <c r="AP93" s="37">
        <f t="shared" si="60"/>
        <v>3.0375000000000006E-2</v>
      </c>
      <c r="AQ93" s="40">
        <f t="shared" si="61"/>
        <v>5.4000000000000003E-3</v>
      </c>
      <c r="AR93" s="39">
        <f t="shared" si="67"/>
        <v>0.38619553756710651</v>
      </c>
      <c r="AS93" s="37">
        <f t="shared" si="68"/>
        <v>1.4878</v>
      </c>
      <c r="AT93" s="40">
        <f t="shared" si="69"/>
        <v>79.391864610922156</v>
      </c>
    </row>
    <row r="94" spans="17:46" x14ac:dyDescent="0.2">
      <c r="Q94">
        <v>87</v>
      </c>
      <c r="R94" s="39">
        <f t="shared" si="45"/>
        <v>173</v>
      </c>
      <c r="S94" s="37">
        <f t="shared" si="46"/>
        <v>8.6999999999999994E-3</v>
      </c>
      <c r="T94" s="37">
        <f t="shared" si="47"/>
        <v>12</v>
      </c>
      <c r="U94" s="40">
        <f t="shared" si="48"/>
        <v>0.13202631578947369</v>
      </c>
      <c r="V94" s="39">
        <f t="shared" si="49"/>
        <v>1</v>
      </c>
      <c r="W94" s="37">
        <f t="shared" si="50"/>
        <v>0.13947819423360291</v>
      </c>
      <c r="X94" s="40">
        <f t="shared" si="51"/>
        <v>8.6632418778635355E-4</v>
      </c>
      <c r="Y94" s="39">
        <f t="shared" si="52"/>
        <v>1.6737383308032352</v>
      </c>
      <c r="Z94" s="37">
        <f t="shared" si="71"/>
        <v>1.6737383308032352</v>
      </c>
      <c r="AA94" s="37">
        <f t="shared" si="72"/>
        <v>0.36201341315190699</v>
      </c>
      <c r="AB94" s="37">
        <v>0</v>
      </c>
      <c r="AC94" s="37">
        <f t="shared" si="53"/>
        <v>4.5868798955662664E-3</v>
      </c>
      <c r="AD94" s="40">
        <f t="shared" si="62"/>
        <v>4.5868798955662664E-3</v>
      </c>
      <c r="AE94" s="39">
        <f t="shared" si="70"/>
        <v>1.8414792117631206E-2</v>
      </c>
      <c r="AF94" s="37">
        <f t="shared" si="63"/>
        <v>0.36089435819272431</v>
      </c>
      <c r="AG94" s="37">
        <f t="shared" si="54"/>
        <v>1.6410836959692639E-2</v>
      </c>
      <c r="AH94" s="37">
        <f t="shared" si="55"/>
        <v>1.8800723327988045E-2</v>
      </c>
      <c r="AI94" s="40">
        <f t="shared" si="64"/>
        <v>3.5211560287680688E-2</v>
      </c>
      <c r="AJ94" s="39">
        <f t="shared" si="65"/>
        <v>1.1437759079274042E-4</v>
      </c>
      <c r="AK94" s="37">
        <f t="shared" si="56"/>
        <v>2.8442459924466749E-2</v>
      </c>
      <c r="AL94" s="37">
        <f t="shared" si="57"/>
        <v>1.0874999999999999E-2</v>
      </c>
      <c r="AM94" s="37">
        <f t="shared" si="58"/>
        <v>0.29622500000000002</v>
      </c>
      <c r="AN94" s="40">
        <f t="shared" si="66"/>
        <v>0.30710000000000004</v>
      </c>
      <c r="AO94" s="39">
        <f t="shared" si="59"/>
        <v>4.2980763465861674E-3</v>
      </c>
      <c r="AP94" s="37">
        <f t="shared" si="60"/>
        <v>3.0375000000000006E-2</v>
      </c>
      <c r="AQ94" s="40">
        <f t="shared" si="61"/>
        <v>5.4000000000000003E-3</v>
      </c>
      <c r="AR94" s="39">
        <f t="shared" si="67"/>
        <v>0.38697151652983319</v>
      </c>
      <c r="AS94" s="37">
        <f t="shared" si="68"/>
        <v>1.5050999999999999</v>
      </c>
      <c r="AT94" s="40">
        <f t="shared" si="69"/>
        <v>79.547733098399945</v>
      </c>
    </row>
    <row r="95" spans="17:46" x14ac:dyDescent="0.2">
      <c r="Q95">
        <v>88</v>
      </c>
      <c r="R95" s="39">
        <f t="shared" si="45"/>
        <v>173</v>
      </c>
      <c r="S95" s="37">
        <f t="shared" si="46"/>
        <v>8.7999999999999988E-3</v>
      </c>
      <c r="T95" s="37">
        <f t="shared" si="47"/>
        <v>12</v>
      </c>
      <c r="U95" s="40">
        <f t="shared" si="48"/>
        <v>0.1335438596491228</v>
      </c>
      <c r="V95" s="39">
        <f t="shared" si="49"/>
        <v>1</v>
      </c>
      <c r="W95" s="37">
        <f t="shared" si="50"/>
        <v>0.14027750275000542</v>
      </c>
      <c r="X95" s="40">
        <f t="shared" si="51"/>
        <v>8.7128883695655518E-4</v>
      </c>
      <c r="Y95" s="39">
        <f t="shared" si="52"/>
        <v>1.6833300330000653</v>
      </c>
      <c r="Z95" s="37">
        <f t="shared" si="71"/>
        <v>1.6833300330000653</v>
      </c>
      <c r="AA95" s="37">
        <f t="shared" si="72"/>
        <v>0.36512975585893459</v>
      </c>
      <c r="AB95" s="37">
        <v>0</v>
      </c>
      <c r="AC95" s="37">
        <f t="shared" si="53"/>
        <v>4.6661908514761818E-3</v>
      </c>
      <c r="AD95" s="40">
        <f t="shared" si="62"/>
        <v>4.6661908514761818E-3</v>
      </c>
      <c r="AE95" s="39">
        <f t="shared" si="70"/>
        <v>1.8733199139176159E-2</v>
      </c>
      <c r="AF95" s="37">
        <f t="shared" si="63"/>
        <v>0.36400106766895413</v>
      </c>
      <c r="AG95" s="37">
        <f t="shared" si="54"/>
        <v>1.6694593935281454E-2</v>
      </c>
      <c r="AH95" s="37">
        <f t="shared" si="55"/>
        <v>1.9016823596125835E-2</v>
      </c>
      <c r="AI95" s="40">
        <f t="shared" si="64"/>
        <v>3.5711417531407288E-2</v>
      </c>
      <c r="AJ95" s="39">
        <f t="shared" si="65"/>
        <v>1.1635527415637364E-4</v>
      </c>
      <c r="AK95" s="37">
        <f t="shared" si="56"/>
        <v>2.8687302931204577E-2</v>
      </c>
      <c r="AL95" s="37">
        <f t="shared" si="57"/>
        <v>1.0999999999999999E-2</v>
      </c>
      <c r="AM95" s="37">
        <f t="shared" si="58"/>
        <v>0.29622500000000002</v>
      </c>
      <c r="AN95" s="40">
        <f t="shared" si="66"/>
        <v>0.30722500000000003</v>
      </c>
      <c r="AO95" s="39">
        <f t="shared" si="59"/>
        <v>4.3723936497165718E-3</v>
      </c>
      <c r="AP95" s="37">
        <f t="shared" si="60"/>
        <v>3.0375000000000006E-2</v>
      </c>
      <c r="AQ95" s="40">
        <f t="shared" si="61"/>
        <v>5.4000000000000003E-3</v>
      </c>
      <c r="AR95" s="39">
        <f t="shared" si="67"/>
        <v>0.38775000203260007</v>
      </c>
      <c r="AS95" s="37">
        <f t="shared" si="68"/>
        <v>1.5223999999999998</v>
      </c>
      <c r="AT95" s="40">
        <f t="shared" si="69"/>
        <v>79.700546992644888</v>
      </c>
    </row>
    <row r="96" spans="17:46" x14ac:dyDescent="0.2">
      <c r="Q96">
        <v>89</v>
      </c>
      <c r="R96" s="39">
        <f t="shared" si="45"/>
        <v>173</v>
      </c>
      <c r="S96" s="37">
        <f t="shared" si="46"/>
        <v>8.8999999999999999E-3</v>
      </c>
      <c r="T96" s="37">
        <f t="shared" si="47"/>
        <v>12</v>
      </c>
      <c r="U96" s="40">
        <f t="shared" si="48"/>
        <v>0.13506140350877197</v>
      </c>
      <c r="V96" s="39">
        <f t="shared" si="49"/>
        <v>1</v>
      </c>
      <c r="W96" s="37">
        <f t="shared" si="50"/>
        <v>0.1410722824969132</v>
      </c>
      <c r="X96" s="40">
        <f t="shared" si="51"/>
        <v>8.7622535712368426E-4</v>
      </c>
      <c r="Y96" s="39">
        <f t="shared" si="52"/>
        <v>1.6928673899629587</v>
      </c>
      <c r="Z96" s="37">
        <f t="shared" si="71"/>
        <v>1.6928673899629587</v>
      </c>
      <c r="AA96" s="37">
        <f t="shared" si="72"/>
        <v>0.36823725766960758</v>
      </c>
      <c r="AB96" s="37">
        <v>0</v>
      </c>
      <c r="AC96" s="37">
        <f t="shared" si="53"/>
        <v>4.745953727761155E-3</v>
      </c>
      <c r="AD96" s="40">
        <f t="shared" si="62"/>
        <v>4.745953727761155E-3</v>
      </c>
      <c r="AE96" s="39">
        <f t="shared" si="70"/>
        <v>1.9053420470219063E-2</v>
      </c>
      <c r="AF96" s="37">
        <f t="shared" si="63"/>
        <v>0.36709896357778599</v>
      </c>
      <c r="AG96" s="37">
        <f t="shared" si="54"/>
        <v>1.6979967781545466E-2</v>
      </c>
      <c r="AH96" s="37">
        <f t="shared" si="55"/>
        <v>1.9232923864263639E-2</v>
      </c>
      <c r="AI96" s="40">
        <f t="shared" si="64"/>
        <v>3.6212891645809105E-2</v>
      </c>
      <c r="AJ96" s="39">
        <f t="shared" si="65"/>
        <v>1.1834422652309973E-4</v>
      </c>
      <c r="AK96" s="37">
        <f t="shared" si="56"/>
        <v>2.8931451331524166E-2</v>
      </c>
      <c r="AL96" s="37">
        <f t="shared" si="57"/>
        <v>1.1124999999999999E-2</v>
      </c>
      <c r="AM96" s="37">
        <f t="shared" si="58"/>
        <v>0.29622500000000002</v>
      </c>
      <c r="AN96" s="40">
        <f t="shared" si="66"/>
        <v>0.30735000000000001</v>
      </c>
      <c r="AO96" s="39">
        <f t="shared" si="59"/>
        <v>4.4471344189761933E-3</v>
      </c>
      <c r="AP96" s="37">
        <f t="shared" si="60"/>
        <v>3.0375000000000006E-2</v>
      </c>
      <c r="AQ96" s="40">
        <f t="shared" si="61"/>
        <v>5.4000000000000003E-3</v>
      </c>
      <c r="AR96" s="39">
        <f t="shared" si="67"/>
        <v>0.38853097979254647</v>
      </c>
      <c r="AS96" s="37">
        <f t="shared" si="68"/>
        <v>1.5397000000000001</v>
      </c>
      <c r="AT96" s="40">
        <f t="shared" si="69"/>
        <v>79.850392205899141</v>
      </c>
    </row>
    <row r="97" spans="17:46" x14ac:dyDescent="0.2">
      <c r="Q97">
        <v>90</v>
      </c>
      <c r="R97" s="39">
        <f t="shared" si="45"/>
        <v>173</v>
      </c>
      <c r="S97" s="37">
        <f t="shared" si="46"/>
        <v>8.9999999999999993E-3</v>
      </c>
      <c r="T97" s="37">
        <f t="shared" si="47"/>
        <v>12</v>
      </c>
      <c r="U97" s="40">
        <f t="shared" si="48"/>
        <v>0.13657894736842108</v>
      </c>
      <c r="V97" s="39">
        <f t="shared" si="49"/>
        <v>1</v>
      </c>
      <c r="W97" s="37">
        <f t="shared" si="50"/>
        <v>0.14186260959111108</v>
      </c>
      <c r="X97" s="40">
        <f t="shared" si="51"/>
        <v>8.8113422106280174E-4</v>
      </c>
      <c r="Y97" s="39">
        <f t="shared" si="52"/>
        <v>1.7023513150933332</v>
      </c>
      <c r="Z97" s="37">
        <f t="shared" si="71"/>
        <v>1.7023513150933332</v>
      </c>
      <c r="AA97" s="37">
        <f t="shared" si="72"/>
        <v>0.37133604258482639</v>
      </c>
      <c r="AB97" s="37">
        <v>0</v>
      </c>
      <c r="AC97" s="37">
        <f t="shared" si="53"/>
        <v>4.8261659782895998E-3</v>
      </c>
      <c r="AD97" s="40">
        <f t="shared" si="62"/>
        <v>4.8261659782895998E-3</v>
      </c>
      <c r="AE97" s="39">
        <f t="shared" si="70"/>
        <v>1.9375445888891226E-2</v>
      </c>
      <c r="AF97" s="37">
        <f t="shared" si="63"/>
        <v>0.37018816953680911</v>
      </c>
      <c r="AG97" s="37">
        <f t="shared" si="54"/>
        <v>1.7266949388991679E-2</v>
      </c>
      <c r="AH97" s="37">
        <f t="shared" si="55"/>
        <v>1.9449024132401432E-2</v>
      </c>
      <c r="AI97" s="40">
        <f t="shared" si="64"/>
        <v>3.6715973521393108E-2</v>
      </c>
      <c r="AJ97" s="39">
        <f t="shared" si="65"/>
        <v>1.203443844030511E-4</v>
      </c>
      <c r="AK97" s="37">
        <f t="shared" si="56"/>
        <v>2.9174914867856373E-2</v>
      </c>
      <c r="AL97" s="37">
        <f t="shared" si="57"/>
        <v>1.125E-2</v>
      </c>
      <c r="AM97" s="37">
        <f t="shared" si="58"/>
        <v>0.29622500000000002</v>
      </c>
      <c r="AN97" s="40">
        <f t="shared" si="66"/>
        <v>0.307475</v>
      </c>
      <c r="AO97" s="39">
        <f t="shared" si="59"/>
        <v>4.5222962685454397E-3</v>
      </c>
      <c r="AP97" s="37">
        <f t="shared" si="60"/>
        <v>3.0375000000000006E-2</v>
      </c>
      <c r="AQ97" s="40">
        <f t="shared" si="61"/>
        <v>5.4000000000000003E-3</v>
      </c>
      <c r="AR97" s="39">
        <f t="shared" si="67"/>
        <v>0.38931443576822816</v>
      </c>
      <c r="AS97" s="37">
        <f t="shared" si="68"/>
        <v>1.5569999999999999</v>
      </c>
      <c r="AT97" s="40">
        <f t="shared" si="69"/>
        <v>79.997351475504928</v>
      </c>
    </row>
    <row r="98" spans="17:46" x14ac:dyDescent="0.2">
      <c r="Q98">
        <v>91</v>
      </c>
      <c r="R98" s="39">
        <f t="shared" si="45"/>
        <v>173</v>
      </c>
      <c r="S98" s="37">
        <f t="shared" si="46"/>
        <v>9.0999999999999987E-3</v>
      </c>
      <c r="T98" s="37">
        <f t="shared" si="47"/>
        <v>12</v>
      </c>
      <c r="U98" s="40">
        <f t="shared" si="48"/>
        <v>0.13809649122807019</v>
      </c>
      <c r="V98" s="39">
        <f t="shared" si="49"/>
        <v>1</v>
      </c>
      <c r="W98" s="37">
        <f t="shared" si="50"/>
        <v>0.14264855804077065</v>
      </c>
      <c r="X98" s="40">
        <f t="shared" si="51"/>
        <v>8.8601588845199154E-4</v>
      </c>
      <c r="Y98" s="39">
        <f t="shared" si="52"/>
        <v>1.711782696489248</v>
      </c>
      <c r="Z98" s="37">
        <f t="shared" si="71"/>
        <v>1.711782696489248</v>
      </c>
      <c r="AA98" s="37">
        <f t="shared" si="72"/>
        <v>0.37442623150958515</v>
      </c>
      <c r="AB98" s="37">
        <v>0</v>
      </c>
      <c r="AC98" s="37">
        <f t="shared" si="53"/>
        <v>4.9068250994864322E-3</v>
      </c>
      <c r="AD98" s="40">
        <f t="shared" si="62"/>
        <v>4.9068250994864322E-3</v>
      </c>
      <c r="AE98" s="39">
        <f t="shared" si="70"/>
        <v>1.9699265344174145E-2</v>
      </c>
      <c r="AF98" s="37">
        <f t="shared" si="63"/>
        <v>0.37326880607727647</v>
      </c>
      <c r="AG98" s="37">
        <f t="shared" si="54"/>
        <v>1.7555529800384783E-2</v>
      </c>
      <c r="AH98" s="37">
        <f t="shared" si="55"/>
        <v>1.9665124400539222E-2</v>
      </c>
      <c r="AI98" s="40">
        <f t="shared" si="64"/>
        <v>3.7220654200924005E-2</v>
      </c>
      <c r="AJ98" s="39">
        <f t="shared" si="65"/>
        <v>1.2235568536754127E-4</v>
      </c>
      <c r="AK98" s="37">
        <f t="shared" si="56"/>
        <v>2.941770303939464E-2</v>
      </c>
      <c r="AL98" s="37">
        <f t="shared" si="57"/>
        <v>1.1374999999999998E-2</v>
      </c>
      <c r="AM98" s="37">
        <f t="shared" si="58"/>
        <v>0.29622500000000002</v>
      </c>
      <c r="AN98" s="40">
        <f t="shared" si="66"/>
        <v>0.30760000000000004</v>
      </c>
      <c r="AO98" s="39">
        <f t="shared" si="59"/>
        <v>4.5978768524817292E-3</v>
      </c>
      <c r="AP98" s="37">
        <f t="shared" si="60"/>
        <v>3.0375000000000006E-2</v>
      </c>
      <c r="AQ98" s="40">
        <f t="shared" si="61"/>
        <v>5.4000000000000003E-3</v>
      </c>
      <c r="AR98" s="39">
        <f t="shared" si="67"/>
        <v>0.39010035615289224</v>
      </c>
      <c r="AS98" s="37">
        <f t="shared" si="68"/>
        <v>1.5742999999999998</v>
      </c>
      <c r="AT98" s="40">
        <f t="shared" si="69"/>
        <v>80.141504508944905</v>
      </c>
    </row>
    <row r="99" spans="17:46" x14ac:dyDescent="0.2">
      <c r="Q99">
        <v>92</v>
      </c>
      <c r="R99" s="39">
        <f t="shared" si="45"/>
        <v>173</v>
      </c>
      <c r="S99" s="37">
        <f t="shared" si="46"/>
        <v>9.1999999999999998E-3</v>
      </c>
      <c r="T99" s="37">
        <f t="shared" si="47"/>
        <v>12</v>
      </c>
      <c r="U99" s="40">
        <f t="shared" si="48"/>
        <v>0.1396140350877193</v>
      </c>
      <c r="V99" s="39">
        <f t="shared" si="49"/>
        <v>1</v>
      </c>
      <c r="W99" s="37">
        <f t="shared" si="50"/>
        <v>0.14343019982633443</v>
      </c>
      <c r="X99" s="40">
        <f t="shared" si="51"/>
        <v>8.9087080637474778E-4</v>
      </c>
      <c r="Y99" s="39">
        <f t="shared" si="52"/>
        <v>1.7211623979160133</v>
      </c>
      <c r="Z99" s="37">
        <f t="shared" si="71"/>
        <v>1.7211623979160133</v>
      </c>
      <c r="AA99" s="37">
        <f t="shared" si="72"/>
        <v>0.37750794236339713</v>
      </c>
      <c r="AB99" s="37">
        <v>0</v>
      </c>
      <c r="AC99" s="37">
        <f t="shared" si="53"/>
        <v>4.987928629160609E-3</v>
      </c>
      <c r="AD99" s="40">
        <f t="shared" si="62"/>
        <v>4.987928629160609E-3</v>
      </c>
      <c r="AE99" s="39">
        <f t="shared" si="70"/>
        <v>2.0024868951192445E-2</v>
      </c>
      <c r="AF99" s="37">
        <f t="shared" si="63"/>
        <v>0.37634099075418881</v>
      </c>
      <c r="AG99" s="37">
        <f t="shared" si="54"/>
        <v>1.7845700206552396E-2</v>
      </c>
      <c r="AH99" s="37">
        <f t="shared" si="55"/>
        <v>1.9881224668677012E-2</v>
      </c>
      <c r="AI99" s="40">
        <f t="shared" si="64"/>
        <v>3.7726924875229412E-2</v>
      </c>
      <c r="AJ99" s="39">
        <f t="shared" si="65"/>
        <v>1.2437806801982883E-4</v>
      </c>
      <c r="AK99" s="37">
        <f t="shared" si="56"/>
        <v>2.9659825110770931E-2</v>
      </c>
      <c r="AL99" s="37">
        <f t="shared" si="57"/>
        <v>1.15E-2</v>
      </c>
      <c r="AM99" s="37">
        <f t="shared" si="58"/>
        <v>0.29622500000000002</v>
      </c>
      <c r="AN99" s="40">
        <f t="shared" si="66"/>
        <v>0.30772500000000003</v>
      </c>
      <c r="AO99" s="39">
        <f t="shared" si="59"/>
        <v>4.6738738636208661E-3</v>
      </c>
      <c r="AP99" s="37">
        <f t="shared" si="60"/>
        <v>3.0375000000000006E-2</v>
      </c>
      <c r="AQ99" s="40">
        <f t="shared" si="61"/>
        <v>5.4000000000000003E-3</v>
      </c>
      <c r="AR99" s="39">
        <f t="shared" si="67"/>
        <v>0.39088872736801089</v>
      </c>
      <c r="AS99" s="37">
        <f t="shared" si="68"/>
        <v>1.5915999999999999</v>
      </c>
      <c r="AT99" s="40">
        <f t="shared" si="69"/>
        <v>80.282928121010698</v>
      </c>
    </row>
    <row r="100" spans="17:46" x14ac:dyDescent="0.2">
      <c r="Q100">
        <v>93</v>
      </c>
      <c r="R100" s="39">
        <f t="shared" si="45"/>
        <v>173</v>
      </c>
      <c r="S100" s="37">
        <f t="shared" si="46"/>
        <v>9.2999999999999992E-3</v>
      </c>
      <c r="T100" s="37">
        <f t="shared" si="47"/>
        <v>12</v>
      </c>
      <c r="U100" s="40">
        <f t="shared" si="48"/>
        <v>0.14113157894736841</v>
      </c>
      <c r="V100" s="39">
        <f t="shared" si="49"/>
        <v>1</v>
      </c>
      <c r="W100" s="37">
        <f t="shared" si="50"/>
        <v>0.14420760497745372</v>
      </c>
      <c r="X100" s="40">
        <f t="shared" si="51"/>
        <v>8.9569940979784921E-4</v>
      </c>
      <c r="Y100" s="39">
        <f t="shared" si="52"/>
        <v>1.7304912597294448</v>
      </c>
      <c r="Z100" s="37">
        <f t="shared" si="71"/>
        <v>1.7304912597294448</v>
      </c>
      <c r="AA100" s="37">
        <f t="shared" si="72"/>
        <v>0.38058129018562459</v>
      </c>
      <c r="AB100" s="37">
        <v>0</v>
      </c>
      <c r="AC100" s="37">
        <f t="shared" si="53"/>
        <v>5.0694741453774115E-3</v>
      </c>
      <c r="AD100" s="40">
        <f t="shared" si="62"/>
        <v>5.0694741453774115E-3</v>
      </c>
      <c r="AE100" s="39">
        <f t="shared" si="70"/>
        <v>2.0352246986686428E-2</v>
      </c>
      <c r="AF100" s="37">
        <f t="shared" si="63"/>
        <v>0.379404838251299</v>
      </c>
      <c r="AG100" s="37">
        <f t="shared" si="54"/>
        <v>1.813745194235029E-2</v>
      </c>
      <c r="AH100" s="37">
        <f t="shared" si="55"/>
        <v>2.0097324936814803E-2</v>
      </c>
      <c r="AI100" s="40">
        <f t="shared" si="64"/>
        <v>3.8234776879165093E-2</v>
      </c>
      <c r="AJ100" s="39">
        <f t="shared" si="65"/>
        <v>1.2641147196699646E-4</v>
      </c>
      <c r="AK100" s="37">
        <f t="shared" si="56"/>
        <v>2.9901290120331152E-2</v>
      </c>
      <c r="AL100" s="37">
        <f t="shared" si="57"/>
        <v>1.1625E-2</v>
      </c>
      <c r="AM100" s="37">
        <f t="shared" si="58"/>
        <v>0.29622500000000002</v>
      </c>
      <c r="AN100" s="40">
        <f t="shared" si="66"/>
        <v>0.30785000000000001</v>
      </c>
      <c r="AO100" s="39">
        <f t="shared" si="59"/>
        <v>4.7502850325203145E-3</v>
      </c>
      <c r="AP100" s="37">
        <f t="shared" si="60"/>
        <v>3.0375000000000006E-2</v>
      </c>
      <c r="AQ100" s="40">
        <f t="shared" si="61"/>
        <v>5.4000000000000003E-3</v>
      </c>
      <c r="AR100" s="39">
        <f t="shared" si="67"/>
        <v>0.39167953605706285</v>
      </c>
      <c r="AS100" s="37">
        <f t="shared" si="68"/>
        <v>1.6088999999999998</v>
      </c>
      <c r="AT100" s="40">
        <f t="shared" si="69"/>
        <v>80.421696363593554</v>
      </c>
    </row>
    <row r="101" spans="17:46" x14ac:dyDescent="0.2">
      <c r="Q101">
        <v>94</v>
      </c>
      <c r="R101" s="39">
        <f t="shared" si="45"/>
        <v>173</v>
      </c>
      <c r="S101" s="37">
        <f t="shared" si="46"/>
        <v>9.3999999999999986E-3</v>
      </c>
      <c r="T101" s="37">
        <f t="shared" si="47"/>
        <v>12</v>
      </c>
      <c r="U101" s="40">
        <f t="shared" si="48"/>
        <v>0.14264912280701755</v>
      </c>
      <c r="V101" s="39">
        <f t="shared" si="49"/>
        <v>1</v>
      </c>
      <c r="W101" s="37">
        <f t="shared" si="50"/>
        <v>0.14498084164621353</v>
      </c>
      <c r="X101" s="40">
        <f t="shared" si="51"/>
        <v>9.0050212202617093E-4</v>
      </c>
      <c r="Y101" s="39">
        <f t="shared" si="52"/>
        <v>1.7397700997545626</v>
      </c>
      <c r="Z101" s="37">
        <f t="shared" si="71"/>
        <v>1.7397700997545626</v>
      </c>
      <c r="AA101" s="37">
        <f t="shared" si="72"/>
        <v>0.38364638723600147</v>
      </c>
      <c r="AB101" s="37">
        <v>0</v>
      </c>
      <c r="AC101" s="37">
        <f t="shared" si="53"/>
        <v>5.1514592653732604E-3</v>
      </c>
      <c r="AD101" s="40">
        <f t="shared" si="62"/>
        <v>5.1514592653732604E-3</v>
      </c>
      <c r="AE101" s="39">
        <f t="shared" si="70"/>
        <v>2.0681389884655479E-2</v>
      </c>
      <c r="AF101" s="37">
        <f t="shared" si="63"/>
        <v>0.38246046048132404</v>
      </c>
      <c r="AG101" s="37">
        <f t="shared" si="54"/>
        <v>1.8430776482779888E-2</v>
      </c>
      <c r="AH101" s="37">
        <f t="shared" si="55"/>
        <v>2.03134252049526E-2</v>
      </c>
      <c r="AI101" s="40">
        <f t="shared" si="64"/>
        <v>3.8744201687732488E-2</v>
      </c>
      <c r="AJ101" s="39">
        <f t="shared" si="65"/>
        <v>1.2845583779289116E-4</v>
      </c>
      <c r="AK101" s="37">
        <f t="shared" si="56"/>
        <v>3.0142106888032975E-2</v>
      </c>
      <c r="AL101" s="37">
        <f t="shared" si="57"/>
        <v>1.1749999999999998E-2</v>
      </c>
      <c r="AM101" s="37">
        <f t="shared" si="58"/>
        <v>0.29622500000000002</v>
      </c>
      <c r="AN101" s="40">
        <f t="shared" si="66"/>
        <v>0.307975</v>
      </c>
      <c r="AO101" s="39">
        <f t="shared" si="59"/>
        <v>4.8271081264423523E-3</v>
      </c>
      <c r="AP101" s="37">
        <f t="shared" si="60"/>
        <v>3.0375000000000006E-2</v>
      </c>
      <c r="AQ101" s="40">
        <f t="shared" si="61"/>
        <v>5.4000000000000003E-3</v>
      </c>
      <c r="AR101" s="39">
        <f t="shared" si="67"/>
        <v>0.39247276907954803</v>
      </c>
      <c r="AS101" s="37">
        <f t="shared" si="68"/>
        <v>1.6261999999999999</v>
      </c>
      <c r="AT101" s="40">
        <f t="shared" si="69"/>
        <v>80.557880648555852</v>
      </c>
    </row>
    <row r="102" spans="17:46" x14ac:dyDescent="0.2">
      <c r="Q102">
        <v>95</v>
      </c>
      <c r="R102" s="39">
        <f t="shared" si="45"/>
        <v>173</v>
      </c>
      <c r="S102" s="37">
        <f t="shared" si="46"/>
        <v>9.4999999999999998E-3</v>
      </c>
      <c r="T102" s="37">
        <f t="shared" si="47"/>
        <v>12</v>
      </c>
      <c r="U102" s="40">
        <f t="shared" si="48"/>
        <v>0.14416666666666669</v>
      </c>
      <c r="V102" s="39">
        <f t="shared" si="49"/>
        <v>1</v>
      </c>
      <c r="W102" s="37">
        <f t="shared" si="50"/>
        <v>0.145749976176861</v>
      </c>
      <c r="X102" s="40">
        <f t="shared" si="51"/>
        <v>9.0527935513578248E-4</v>
      </c>
      <c r="Y102" s="39">
        <f t="shared" si="52"/>
        <v>1.7489997141223321</v>
      </c>
      <c r="Z102" s="37">
        <f t="shared" si="71"/>
        <v>1.7489997141223321</v>
      </c>
      <c r="AA102" s="37">
        <f t="shared" si="72"/>
        <v>0.38670334309061688</v>
      </c>
      <c r="AB102" s="37">
        <v>0</v>
      </c>
      <c r="AC102" s="37">
        <f t="shared" si="53"/>
        <v>5.2338816445110783E-3</v>
      </c>
      <c r="AD102" s="40">
        <f t="shared" si="62"/>
        <v>5.2338816445110783E-3</v>
      </c>
      <c r="AE102" s="39">
        <f t="shared" si="70"/>
        <v>2.1012288232164132E-2</v>
      </c>
      <c r="AF102" s="37">
        <f t="shared" si="63"/>
        <v>0.38550796668163151</v>
      </c>
      <c r="AG102" s="37">
        <f t="shared" si="54"/>
        <v>1.8725665439250742E-2</v>
      </c>
      <c r="AH102" s="37">
        <f t="shared" si="55"/>
        <v>2.05295254730904E-2</v>
      </c>
      <c r="AI102" s="40">
        <f t="shared" si="64"/>
        <v>3.9255190912341142E-2</v>
      </c>
      <c r="AJ102" s="39">
        <f t="shared" si="65"/>
        <v>1.3051110703207533E-4</v>
      </c>
      <c r="AK102" s="37">
        <f t="shared" si="56"/>
        <v>3.0382284022987024E-2</v>
      </c>
      <c r="AL102" s="37">
        <f t="shared" si="57"/>
        <v>1.1875E-2</v>
      </c>
      <c r="AM102" s="37">
        <f t="shared" si="58"/>
        <v>0.29622500000000002</v>
      </c>
      <c r="AN102" s="40">
        <f t="shared" si="66"/>
        <v>0.30810000000000004</v>
      </c>
      <c r="AO102" s="39">
        <f t="shared" si="59"/>
        <v>4.9043409483751953E-3</v>
      </c>
      <c r="AP102" s="37">
        <f t="shared" si="60"/>
        <v>3.0375000000000006E-2</v>
      </c>
      <c r="AQ102" s="40">
        <f t="shared" si="61"/>
        <v>5.4000000000000003E-3</v>
      </c>
      <c r="AR102" s="39">
        <f t="shared" si="67"/>
        <v>0.39326841350522745</v>
      </c>
      <c r="AS102" s="37">
        <f t="shared" si="68"/>
        <v>1.6435</v>
      </c>
      <c r="AT102" s="40">
        <f t="shared" si="69"/>
        <v>80.691549864109376</v>
      </c>
    </row>
    <row r="103" spans="17:46" x14ac:dyDescent="0.2">
      <c r="Q103">
        <v>96</v>
      </c>
      <c r="R103" s="39">
        <f t="shared" si="45"/>
        <v>173</v>
      </c>
      <c r="S103" s="37">
        <f t="shared" ref="S103:S134" si="73">Q103*$O$12</f>
        <v>9.5999999999999992E-3</v>
      </c>
      <c r="T103" s="37">
        <f t="shared" si="47"/>
        <v>12</v>
      </c>
      <c r="U103" s="40">
        <f t="shared" ref="U103:U134" si="74">(R103*S103)/(T103*EFF_est)</f>
        <v>0.1456842105263158</v>
      </c>
      <c r="V103" s="39">
        <f t="shared" ref="V103:V134" si="75">IF((S103*R103/T103)&lt;((T103*(1-(T103/R103)))/(2*Lm*Fsw)),1,2)</f>
        <v>1</v>
      </c>
      <c r="W103" s="37">
        <f t="shared" ref="W103:W134" si="76">CHOOSE(V103,SQRT((2*S103*Lm*Fsw*(R103-T103))/((T103)^2)),1-(T103/R103))</f>
        <v>0.14651507317223939</v>
      </c>
      <c r="X103" s="40">
        <f t="shared" ref="X103:X134" si="77">CHOOSE(V103,(Lm*W103*Fsw)/(R103-T103),1-W103)</f>
        <v>9.1003151038658006E-4</v>
      </c>
      <c r="Y103" s="39">
        <f t="shared" ref="Y103:Y134" si="78">(T103*W103)/(Lm*Fsw)</f>
        <v>1.7581808780668728</v>
      </c>
      <c r="Z103" s="37">
        <f t="shared" si="71"/>
        <v>1.7581808780668728</v>
      </c>
      <c r="AA103" s="37">
        <f t="shared" si="72"/>
        <v>0.38975226473360969</v>
      </c>
      <c r="AB103" s="37">
        <v>0</v>
      </c>
      <c r="AC103" s="37">
        <f t="shared" ref="AC103:AC134" si="79">(AA103^2)*Rdcr</f>
        <v>5.316738975274223E-3</v>
      </c>
      <c r="AD103" s="40">
        <f t="shared" si="62"/>
        <v>5.316738975274223E-3</v>
      </c>
      <c r="AE103" s="39">
        <f t="shared" si="70"/>
        <v>2.1344932765303089E-2</v>
      </c>
      <c r="AF103" s="37">
        <f t="shared" si="63"/>
        <v>0.38854746350565134</v>
      </c>
      <c r="AG103" s="37">
        <f t="shared" ref="AG103:AG134" si="80">(AF103^2)*RDS_on</f>
        <v>1.9022110555981107E-2</v>
      </c>
      <c r="AH103" s="37">
        <f t="shared" ref="AH103:AH134" si="81">((R103*U103)/2)*Fsw*(tr_sw+tf_sw)</f>
        <v>2.074562574122819E-2</v>
      </c>
      <c r="AI103" s="40">
        <f t="shared" si="64"/>
        <v>3.9767736297209297E-2</v>
      </c>
      <c r="AJ103" s="39">
        <f t="shared" si="65"/>
        <v>1.3257722214473968E-4</v>
      </c>
      <c r="AK103" s="37">
        <f t="shared" ref="AK103:AK134" si="82">CHOOSE(V103,Z103*SQRT(X103/3),SQRT(X103*((Z103^2)+((Y103^2)/3)-(Y103*Z103))))</f>
        <v>3.06218299306611E-2</v>
      </c>
      <c r="AL103" s="37">
        <f t="shared" ref="AL103:AL134" si="83">S103*Vd_rect</f>
        <v>1.1999999999999999E-2</v>
      </c>
      <c r="AM103" s="37">
        <f t="shared" ref="AM103:AM134" si="84">CHOOSE(V103,(R103+Vd_rect)*Qrr*Fsw,(R103+Vd_rect)*Qrr*Fsw)</f>
        <v>0.29622500000000002</v>
      </c>
      <c r="AN103" s="40">
        <f t="shared" si="66"/>
        <v>0.30822500000000003</v>
      </c>
      <c r="AO103" s="39">
        <f t="shared" ref="AO103:AO134" si="85">(AF103^2)*R_cs</f>
        <v>4.9819813360902901E-3</v>
      </c>
      <c r="AP103" s="37">
        <f t="shared" ref="AP103:AP134" si="86">Qg_tot*Vcc*Fsw</f>
        <v>3.0375000000000006E-2</v>
      </c>
      <c r="AQ103" s="40">
        <f t="shared" ref="AQ103:AQ134" si="87">IQ*T103</f>
        <v>5.4000000000000003E-3</v>
      </c>
      <c r="AR103" s="39">
        <f t="shared" si="67"/>
        <v>0.39406645660857387</v>
      </c>
      <c r="AS103" s="37">
        <f t="shared" si="68"/>
        <v>1.6607999999999998</v>
      </c>
      <c r="AT103" s="40">
        <f t="shared" si="69"/>
        <v>80.822770485097337</v>
      </c>
    </row>
    <row r="104" spans="17:46" x14ac:dyDescent="0.2">
      <c r="Q104">
        <v>97</v>
      </c>
      <c r="R104" s="39">
        <f t="shared" si="45"/>
        <v>173</v>
      </c>
      <c r="S104" s="37">
        <f t="shared" si="73"/>
        <v>9.6999999999999986E-3</v>
      </c>
      <c r="T104" s="37">
        <f t="shared" si="47"/>
        <v>12</v>
      </c>
      <c r="U104" s="40">
        <f t="shared" si="74"/>
        <v>0.14720175438596492</v>
      </c>
      <c r="V104" s="39">
        <f t="shared" si="75"/>
        <v>1</v>
      </c>
      <c r="W104" s="37">
        <f t="shared" si="76"/>
        <v>0.14727619555711566</v>
      </c>
      <c r="X104" s="40">
        <f t="shared" si="77"/>
        <v>9.1475897861562517E-4</v>
      </c>
      <c r="Y104" s="39">
        <f t="shared" si="78"/>
        <v>1.767314346685388</v>
      </c>
      <c r="Z104" s="37">
        <f t="shared" si="71"/>
        <v>1.767314346685388</v>
      </c>
      <c r="AA104" s="37">
        <f t="shared" si="72"/>
        <v>0.39279325664480846</v>
      </c>
      <c r="AB104" s="37">
        <v>0</v>
      </c>
      <c r="AC104" s="37">
        <f t="shared" si="79"/>
        <v>5.4000289862972031E-3</v>
      </c>
      <c r="AD104" s="40">
        <f t="shared" si="62"/>
        <v>5.4000289862972031E-3</v>
      </c>
      <c r="AE104" s="39">
        <f t="shared" si="70"/>
        <v>2.1679314365297877E-2</v>
      </c>
      <c r="AF104" s="37">
        <f t="shared" si="63"/>
        <v>0.39157905511024421</v>
      </c>
      <c r="AG104" s="37">
        <f t="shared" si="80"/>
        <v>1.9320103706529992E-2</v>
      </c>
      <c r="AH104" s="37">
        <f t="shared" si="81"/>
        <v>2.096172600936598E-2</v>
      </c>
      <c r="AI104" s="40">
        <f t="shared" si="64"/>
        <v>4.0281829715895973E-2</v>
      </c>
      <c r="AJ104" s="39">
        <f t="shared" si="65"/>
        <v>1.3465412649253338E-4</v>
      </c>
      <c r="AK104" s="37">
        <f t="shared" si="82"/>
        <v>3.0860752819765774E-2</v>
      </c>
      <c r="AL104" s="37">
        <f t="shared" si="83"/>
        <v>1.2124999999999999E-2</v>
      </c>
      <c r="AM104" s="37">
        <f t="shared" si="84"/>
        <v>0.29622500000000002</v>
      </c>
      <c r="AN104" s="40">
        <f t="shared" si="66"/>
        <v>0.30835000000000001</v>
      </c>
      <c r="AO104" s="39">
        <f t="shared" si="85"/>
        <v>5.060027161234046E-3</v>
      </c>
      <c r="AP104" s="37">
        <f t="shared" si="86"/>
        <v>3.0375000000000006E-2</v>
      </c>
      <c r="AQ104" s="40">
        <f t="shared" si="87"/>
        <v>5.4000000000000003E-3</v>
      </c>
      <c r="AR104" s="39">
        <f t="shared" si="67"/>
        <v>0.39486688586342722</v>
      </c>
      <c r="AS104" s="37">
        <f t="shared" si="68"/>
        <v>1.6780999999999997</v>
      </c>
      <c r="AT104" s="40">
        <f t="shared" si="69"/>
        <v>80.951606677549108</v>
      </c>
    </row>
    <row r="105" spans="17:46" x14ac:dyDescent="0.2">
      <c r="Q105">
        <v>98</v>
      </c>
      <c r="R105" s="39">
        <f t="shared" si="45"/>
        <v>173</v>
      </c>
      <c r="S105" s="37">
        <f t="shared" si="73"/>
        <v>9.7999999999999997E-3</v>
      </c>
      <c r="T105" s="37">
        <f t="shared" si="47"/>
        <v>12</v>
      </c>
      <c r="U105" s="40">
        <f t="shared" si="74"/>
        <v>0.14871929824561406</v>
      </c>
      <c r="V105" s="39">
        <f t="shared" si="75"/>
        <v>1</v>
      </c>
      <c r="W105" s="37">
        <f t="shared" si="76"/>
        <v>0.14803340463857773</v>
      </c>
      <c r="X105" s="40">
        <f t="shared" si="77"/>
        <v>9.1946214061228398E-4</v>
      </c>
      <c r="Y105" s="39">
        <f t="shared" si="78"/>
        <v>1.7764008556629329</v>
      </c>
      <c r="Z105" s="37">
        <f t="shared" si="71"/>
        <v>1.7764008556629329</v>
      </c>
      <c r="AA105" s="37">
        <f t="shared" si="72"/>
        <v>0.39582642088353664</v>
      </c>
      <c r="AB105" s="37">
        <v>0</v>
      </c>
      <c r="AC105" s="37">
        <f t="shared" si="79"/>
        <v>5.4837494414314743E-3</v>
      </c>
      <c r="AD105" s="40">
        <f t="shared" si="62"/>
        <v>5.4837494414314743E-3</v>
      </c>
      <c r="AE105" s="39">
        <f t="shared" si="70"/>
        <v>2.2015424054758308E-2</v>
      </c>
      <c r="AF105" s="37">
        <f t="shared" si="63"/>
        <v>0.39460284323924816</v>
      </c>
      <c r="AG105" s="37">
        <f t="shared" si="80"/>
        <v>1.9619636890454831E-2</v>
      </c>
      <c r="AH105" s="37">
        <f t="shared" si="81"/>
        <v>2.1177826277503777E-2</v>
      </c>
      <c r="AI105" s="40">
        <f t="shared" si="64"/>
        <v>4.0797463167958611E-2</v>
      </c>
      <c r="AJ105" s="39">
        <f t="shared" si="65"/>
        <v>1.3674176431526899E-4</v>
      </c>
      <c r="AK105" s="37">
        <f t="shared" si="82"/>
        <v>3.1099060708838801E-2</v>
      </c>
      <c r="AL105" s="37">
        <f t="shared" si="83"/>
        <v>1.225E-2</v>
      </c>
      <c r="AM105" s="37">
        <f t="shared" si="84"/>
        <v>0.29622500000000002</v>
      </c>
      <c r="AN105" s="40">
        <f t="shared" si="66"/>
        <v>0.308475</v>
      </c>
      <c r="AO105" s="39">
        <f t="shared" si="85"/>
        <v>5.1384763284524557E-3</v>
      </c>
      <c r="AP105" s="37">
        <f t="shared" si="86"/>
        <v>3.0375000000000006E-2</v>
      </c>
      <c r="AQ105" s="40">
        <f t="shared" si="87"/>
        <v>5.4000000000000003E-3</v>
      </c>
      <c r="AR105" s="39">
        <f t="shared" si="67"/>
        <v>0.39566968893784255</v>
      </c>
      <c r="AS105" s="37">
        <f t="shared" si="68"/>
        <v>1.6954</v>
      </c>
      <c r="AT105" s="40">
        <f t="shared" si="69"/>
        <v>81.078120397851379</v>
      </c>
    </row>
    <row r="106" spans="17:46" x14ac:dyDescent="0.2">
      <c r="Q106">
        <v>99</v>
      </c>
      <c r="R106" s="39">
        <f t="shared" si="45"/>
        <v>173</v>
      </c>
      <c r="S106" s="37">
        <f t="shared" si="73"/>
        <v>9.8999999999999991E-3</v>
      </c>
      <c r="T106" s="37">
        <f t="shared" si="47"/>
        <v>12</v>
      </c>
      <c r="U106" s="40">
        <f t="shared" si="74"/>
        <v>0.15023684210526317</v>
      </c>
      <c r="V106" s="39">
        <f t="shared" si="75"/>
        <v>1</v>
      </c>
      <c r="W106" s="37">
        <f t="shared" si="76"/>
        <v>0.1487867601636651</v>
      </c>
      <c r="X106" s="40">
        <f t="shared" si="77"/>
        <v>9.2414136747618052E-4</v>
      </c>
      <c r="Y106" s="39">
        <f t="shared" si="78"/>
        <v>1.7854411219639814</v>
      </c>
      <c r="Z106" s="37">
        <f t="shared" si="71"/>
        <v>1.7854411219639814</v>
      </c>
      <c r="AA106" s="37">
        <f t="shared" si="72"/>
        <v>0.39885185716878735</v>
      </c>
      <c r="AB106" s="37">
        <v>0</v>
      </c>
      <c r="AC106" s="37">
        <f t="shared" si="79"/>
        <v>5.5678981388446762E-3</v>
      </c>
      <c r="AD106" s="40">
        <f t="shared" si="62"/>
        <v>5.5678981388446762E-3</v>
      </c>
      <c r="AE106" s="39">
        <f t="shared" si="70"/>
        <v>2.2353252994062215E-2</v>
      </c>
      <c r="AF106" s="37">
        <f t="shared" si="63"/>
        <v>0.39761892730340515</v>
      </c>
      <c r="AG106" s="37">
        <f t="shared" si="80"/>
        <v>1.9920702230088735E-2</v>
      </c>
      <c r="AH106" s="37">
        <f t="shared" si="81"/>
        <v>2.1393926545641567E-2</v>
      </c>
      <c r="AI106" s="40">
        <f t="shared" si="64"/>
        <v>4.1314628775730305E-2</v>
      </c>
      <c r="AJ106" s="39">
        <f t="shared" si="65"/>
        <v>1.3884008070846093E-4</v>
      </c>
      <c r="AK106" s="37">
        <f t="shared" si="82"/>
        <v>3.13367614325442E-2</v>
      </c>
      <c r="AL106" s="37">
        <f t="shared" si="83"/>
        <v>1.2374999999999999E-2</v>
      </c>
      <c r="AM106" s="37">
        <f t="shared" si="84"/>
        <v>0.29622500000000002</v>
      </c>
      <c r="AN106" s="40">
        <f t="shared" si="66"/>
        <v>0.30860000000000004</v>
      </c>
      <c r="AO106" s="39">
        <f t="shared" si="85"/>
        <v>5.2173267745470493E-3</v>
      </c>
      <c r="AP106" s="37">
        <f t="shared" si="86"/>
        <v>3.0375000000000006E-2</v>
      </c>
      <c r="AQ106" s="40">
        <f t="shared" si="87"/>
        <v>5.4000000000000003E-3</v>
      </c>
      <c r="AR106" s="39">
        <f t="shared" si="67"/>
        <v>0.39647485368912211</v>
      </c>
      <c r="AS106" s="37">
        <f t="shared" si="68"/>
        <v>1.7126999999999999</v>
      </c>
      <c r="AT106" s="40">
        <f t="shared" si="69"/>
        <v>81.202371486856364</v>
      </c>
    </row>
    <row r="107" spans="17:46" x14ac:dyDescent="0.2">
      <c r="Q107">
        <v>100</v>
      </c>
      <c r="R107" s="39">
        <f t="shared" si="45"/>
        <v>173</v>
      </c>
      <c r="S107" s="37">
        <f t="shared" si="73"/>
        <v>9.9999999999999985E-3</v>
      </c>
      <c r="T107" s="37">
        <f t="shared" si="47"/>
        <v>12</v>
      </c>
      <c r="U107" s="40">
        <f t="shared" si="74"/>
        <v>0.15175438596491228</v>
      </c>
      <c r="V107" s="39">
        <f t="shared" si="75"/>
        <v>1</v>
      </c>
      <c r="W107" s="37">
        <f t="shared" si="76"/>
        <v>0.14953632037438633</v>
      </c>
      <c r="X107" s="40">
        <f t="shared" si="77"/>
        <v>9.2879702095892132E-4</v>
      </c>
      <c r="Y107" s="39">
        <f t="shared" si="78"/>
        <v>1.794435844492636</v>
      </c>
      <c r="Z107" s="37">
        <f t="shared" si="71"/>
        <v>1.794435844492636</v>
      </c>
      <c r="AA107" s="37">
        <f t="shared" si="72"/>
        <v>0.40186966295596044</v>
      </c>
      <c r="AB107" s="37">
        <v>0</v>
      </c>
      <c r="AC107" s="37">
        <f t="shared" si="79"/>
        <v>5.6524729101518041E-3</v>
      </c>
      <c r="AD107" s="40">
        <f t="shared" si="62"/>
        <v>5.6524729101518041E-3</v>
      </c>
      <c r="AE107" s="39">
        <f t="shared" si="70"/>
        <v>2.2692792477867398E-2</v>
      </c>
      <c r="AF107" s="37">
        <f t="shared" si="63"/>
        <v>0.40062740445686101</v>
      </c>
      <c r="AG107" s="37">
        <f t="shared" si="80"/>
        <v>2.0223291967432003E-2</v>
      </c>
      <c r="AH107" s="37">
        <f t="shared" si="81"/>
        <v>2.1610026813779361E-2</v>
      </c>
      <c r="AI107" s="40">
        <f t="shared" si="64"/>
        <v>4.1833318781211368E-2</v>
      </c>
      <c r="AJ107" s="39">
        <f t="shared" si="65"/>
        <v>1.4094902160166086E-4</v>
      </c>
      <c r="AK107" s="37">
        <f t="shared" si="82"/>
        <v>3.1573862647701324E-2</v>
      </c>
      <c r="AL107" s="37">
        <f t="shared" si="83"/>
        <v>1.2499999999999997E-2</v>
      </c>
      <c r="AM107" s="37">
        <f t="shared" si="84"/>
        <v>0.29622500000000002</v>
      </c>
      <c r="AN107" s="40">
        <f t="shared" si="66"/>
        <v>0.30872500000000003</v>
      </c>
      <c r="AO107" s="39">
        <f t="shared" si="85"/>
        <v>5.2965764676607633E-3</v>
      </c>
      <c r="AP107" s="37">
        <f t="shared" si="86"/>
        <v>3.0375000000000006E-2</v>
      </c>
      <c r="AQ107" s="40">
        <f t="shared" si="87"/>
        <v>5.4000000000000003E-3</v>
      </c>
      <c r="AR107" s="39">
        <f t="shared" si="67"/>
        <v>0.39728236815902396</v>
      </c>
      <c r="AS107" s="37">
        <f t="shared" si="68"/>
        <v>1.7299999999999998</v>
      </c>
      <c r="AT107" s="40">
        <f t="shared" si="69"/>
        <v>81.324417759225966</v>
      </c>
    </row>
    <row r="108" spans="17:46" x14ac:dyDescent="0.2">
      <c r="Q108">
        <v>101</v>
      </c>
      <c r="R108" s="39">
        <f t="shared" si="45"/>
        <v>173</v>
      </c>
      <c r="S108" s="37">
        <f t="shared" si="73"/>
        <v>1.01E-2</v>
      </c>
      <c r="T108" s="37">
        <f t="shared" si="47"/>
        <v>12</v>
      </c>
      <c r="U108" s="40">
        <f t="shared" si="74"/>
        <v>0.15327192982456142</v>
      </c>
      <c r="V108" s="39">
        <f t="shared" si="75"/>
        <v>1</v>
      </c>
      <c r="W108" s="37">
        <f t="shared" si="76"/>
        <v>0.15028214206026683</v>
      </c>
      <c r="X108" s="40">
        <f t="shared" si="77"/>
        <v>9.3342945379047714E-4</v>
      </c>
      <c r="Y108" s="39">
        <f t="shared" si="78"/>
        <v>1.8033857047232023</v>
      </c>
      <c r="Z108" s="37">
        <f t="shared" si="71"/>
        <v>1.8033857047232023</v>
      </c>
      <c r="AA108" s="37">
        <f t="shared" si="72"/>
        <v>0.40487993351034218</v>
      </c>
      <c r="AB108" s="37">
        <v>0</v>
      </c>
      <c r="AC108" s="37">
        <f t="shared" si="79"/>
        <v>5.737471619576869E-3</v>
      </c>
      <c r="AD108" s="40">
        <f t="shared" si="62"/>
        <v>5.737471619576869E-3</v>
      </c>
      <c r="AE108" s="39">
        <f t="shared" si="70"/>
        <v>2.3034033931745988E-2</v>
      </c>
      <c r="AF108" s="37">
        <f t="shared" si="63"/>
        <v>0.40362836967041843</v>
      </c>
      <c r="AG108" s="37">
        <f t="shared" si="80"/>
        <v>2.0527398461152795E-2</v>
      </c>
      <c r="AH108" s="37">
        <f t="shared" si="81"/>
        <v>2.1826127081917161E-2</v>
      </c>
      <c r="AI108" s="40">
        <f t="shared" si="64"/>
        <v>4.2353525543069953E-2</v>
      </c>
      <c r="AJ108" s="39">
        <f t="shared" si="65"/>
        <v>1.4306853373755271E-4</v>
      </c>
      <c r="AK108" s="37">
        <f t="shared" si="82"/>
        <v>3.1810371839057938E-2</v>
      </c>
      <c r="AL108" s="37">
        <f t="shared" si="83"/>
        <v>1.2624999999999999E-2</v>
      </c>
      <c r="AM108" s="37">
        <f t="shared" si="84"/>
        <v>0.29622500000000002</v>
      </c>
      <c r="AN108" s="40">
        <f t="shared" si="66"/>
        <v>0.30885000000000001</v>
      </c>
      <c r="AO108" s="39">
        <f t="shared" si="85"/>
        <v>5.3762234064923991E-3</v>
      </c>
      <c r="AP108" s="37">
        <f t="shared" si="86"/>
        <v>3.0375000000000006E-2</v>
      </c>
      <c r="AQ108" s="40">
        <f t="shared" si="87"/>
        <v>5.4000000000000003E-3</v>
      </c>
      <c r="AR108" s="39">
        <f t="shared" si="67"/>
        <v>0.39809222056913923</v>
      </c>
      <c r="AS108" s="37">
        <f t="shared" si="68"/>
        <v>1.7472999999999999</v>
      </c>
      <c r="AT108" s="40">
        <f t="shared" si="69"/>
        <v>81.444315088290395</v>
      </c>
    </row>
    <row r="109" spans="17:46" x14ac:dyDescent="0.2">
      <c r="Q109">
        <v>102</v>
      </c>
      <c r="R109" s="39">
        <f t="shared" si="45"/>
        <v>173</v>
      </c>
      <c r="S109" s="37">
        <f t="shared" si="73"/>
        <v>1.0199999999999999E-2</v>
      </c>
      <c r="T109" s="37">
        <f t="shared" si="47"/>
        <v>12</v>
      </c>
      <c r="U109" s="40">
        <f t="shared" si="74"/>
        <v>0.15478947368421053</v>
      </c>
      <c r="V109" s="39">
        <f t="shared" si="75"/>
        <v>1</v>
      </c>
      <c r="W109" s="37">
        <f t="shared" si="76"/>
        <v>0.15102428060856085</v>
      </c>
      <c r="X109" s="40">
        <f t="shared" si="77"/>
        <v>9.3803900999106103E-4</v>
      </c>
      <c r="Y109" s="39">
        <f t="shared" si="78"/>
        <v>1.8122913673027303</v>
      </c>
      <c r="Z109" s="37">
        <f t="shared" si="71"/>
        <v>1.8122913673027303</v>
      </c>
      <c r="AA109" s="37">
        <f t="shared" si="72"/>
        <v>0.40788276197749596</v>
      </c>
      <c r="AB109" s="37">
        <v>0</v>
      </c>
      <c r="AC109" s="37">
        <f t="shared" si="79"/>
        <v>5.8228921631436718E-3</v>
      </c>
      <c r="AD109" s="40">
        <f t="shared" si="62"/>
        <v>5.8228921631436718E-3</v>
      </c>
      <c r="AE109" s="39">
        <f t="shared" si="70"/>
        <v>2.3376968908935657E-2</v>
      </c>
      <c r="AF109" s="37">
        <f t="shared" si="63"/>
        <v>0.40662191580170937</v>
      </c>
      <c r="AG109" s="37">
        <f t="shared" si="80"/>
        <v>2.0833014183691805E-2</v>
      </c>
      <c r="AH109" s="37">
        <f t="shared" si="81"/>
        <v>2.2042227350054951E-2</v>
      </c>
      <c r="AI109" s="40">
        <f t="shared" si="64"/>
        <v>4.2875241533746757E-2</v>
      </c>
      <c r="AJ109" s="39">
        <f t="shared" si="65"/>
        <v>1.4519856465177423E-4</v>
      </c>
      <c r="AK109" s="37">
        <f t="shared" si="82"/>
        <v>3.2046296324820651E-2</v>
      </c>
      <c r="AL109" s="37">
        <f t="shared" si="83"/>
        <v>1.2749999999999999E-2</v>
      </c>
      <c r="AM109" s="37">
        <f t="shared" si="84"/>
        <v>0.29622500000000002</v>
      </c>
      <c r="AN109" s="40">
        <f t="shared" si="66"/>
        <v>0.308975</v>
      </c>
      <c r="AO109" s="39">
        <f t="shared" si="85"/>
        <v>5.4562656195383304E-3</v>
      </c>
      <c r="AP109" s="37">
        <f t="shared" si="86"/>
        <v>3.0375000000000006E-2</v>
      </c>
      <c r="AQ109" s="40">
        <f t="shared" si="87"/>
        <v>5.4000000000000003E-3</v>
      </c>
      <c r="AR109" s="39">
        <f t="shared" si="67"/>
        <v>0.39890439931642879</v>
      </c>
      <c r="AS109" s="37">
        <f t="shared" si="68"/>
        <v>1.7645999999999997</v>
      </c>
      <c r="AT109" s="40">
        <f t="shared" si="69"/>
        <v>81.562117486682027</v>
      </c>
    </row>
    <row r="110" spans="17:46" x14ac:dyDescent="0.2">
      <c r="Q110">
        <v>103</v>
      </c>
      <c r="R110" s="39">
        <f t="shared" si="45"/>
        <v>173</v>
      </c>
      <c r="S110" s="37">
        <f t="shared" si="73"/>
        <v>1.0299999999999998E-2</v>
      </c>
      <c r="T110" s="37">
        <f t="shared" si="47"/>
        <v>12</v>
      </c>
      <c r="U110" s="40">
        <f t="shared" si="74"/>
        <v>0.15630701754385964</v>
      </c>
      <c r="V110" s="39">
        <f t="shared" si="75"/>
        <v>1</v>
      </c>
      <c r="W110" s="37">
        <f t="shared" si="76"/>
        <v>0.15176279005225371</v>
      </c>
      <c r="X110" s="40">
        <f t="shared" si="77"/>
        <v>9.426260251692777E-4</v>
      </c>
      <c r="Y110" s="39">
        <f t="shared" si="78"/>
        <v>1.8211534806270449</v>
      </c>
      <c r="Z110" s="37">
        <f t="shared" si="71"/>
        <v>1.8211534806270449</v>
      </c>
      <c r="AA110" s="37">
        <f t="shared" si="72"/>
        <v>0.41087823945072466</v>
      </c>
      <c r="AB110" s="37">
        <v>0</v>
      </c>
      <c r="AC110" s="37">
        <f t="shared" si="79"/>
        <v>5.908732467894447E-3</v>
      </c>
      <c r="AD110" s="40">
        <f t="shared" si="62"/>
        <v>5.908732467894447E-3</v>
      </c>
      <c r="AE110" s="39">
        <f t="shared" si="70"/>
        <v>2.3721589087202708E-2</v>
      </c>
      <c r="AF110" s="37">
        <f t="shared" si="63"/>
        <v>0.4096081336624493</v>
      </c>
      <c r="AG110" s="37">
        <f t="shared" si="80"/>
        <v>2.1140131718466799E-2</v>
      </c>
      <c r="AH110" s="37">
        <f t="shared" si="81"/>
        <v>2.2258327618192745E-2</v>
      </c>
      <c r="AI110" s="40">
        <f t="shared" si="64"/>
        <v>4.3398459336659548E-2</v>
      </c>
      <c r="AJ110" s="39">
        <f t="shared" si="65"/>
        <v>1.4733906265343297E-4</v>
      </c>
      <c r="AK110" s="37">
        <f t="shared" si="82"/>
        <v>3.2281643261955276E-2</v>
      </c>
      <c r="AL110" s="37">
        <f t="shared" si="83"/>
        <v>1.2874999999999998E-2</v>
      </c>
      <c r="AM110" s="37">
        <f t="shared" si="84"/>
        <v>0.29622500000000002</v>
      </c>
      <c r="AN110" s="40">
        <f t="shared" si="66"/>
        <v>0.30910000000000004</v>
      </c>
      <c r="AO110" s="39">
        <f t="shared" si="85"/>
        <v>5.5367011643603524E-3</v>
      </c>
      <c r="AP110" s="37">
        <f t="shared" si="86"/>
        <v>3.0375000000000006E-2</v>
      </c>
      <c r="AQ110" s="40">
        <f t="shared" si="87"/>
        <v>5.4000000000000003E-3</v>
      </c>
      <c r="AR110" s="39">
        <f t="shared" si="67"/>
        <v>0.39971889296891439</v>
      </c>
      <c r="AS110" s="37">
        <f t="shared" si="68"/>
        <v>1.7818999999999998</v>
      </c>
      <c r="AT110" s="40">
        <f t="shared" si="69"/>
        <v>81.67787718298743</v>
      </c>
    </row>
    <row r="111" spans="17:46" x14ac:dyDescent="0.2">
      <c r="Q111">
        <v>104</v>
      </c>
      <c r="R111" s="39">
        <f t="shared" si="45"/>
        <v>173</v>
      </c>
      <c r="S111" s="37">
        <f t="shared" si="73"/>
        <v>1.04E-2</v>
      </c>
      <c r="T111" s="37">
        <f t="shared" si="47"/>
        <v>12</v>
      </c>
      <c r="U111" s="40">
        <f t="shared" si="74"/>
        <v>0.15782456140350878</v>
      </c>
      <c r="V111" s="39">
        <f t="shared" si="75"/>
        <v>1</v>
      </c>
      <c r="W111" s="37">
        <f t="shared" si="76"/>
        <v>0.15249772311597165</v>
      </c>
      <c r="X111" s="40">
        <f t="shared" si="77"/>
        <v>9.4719082680727736E-4</v>
      </c>
      <c r="Y111" s="39">
        <f t="shared" si="78"/>
        <v>1.82997267739166</v>
      </c>
      <c r="Z111" s="37">
        <f t="shared" si="71"/>
        <v>1.82997267739166</v>
      </c>
      <c r="AA111" s="37">
        <f t="shared" si="72"/>
        <v>0.41386645503575109</v>
      </c>
      <c r="AB111" s="37">
        <v>0</v>
      </c>
      <c r="AC111" s="37">
        <f t="shared" si="79"/>
        <v>5.9949904911350792E-3</v>
      </c>
      <c r="AD111" s="40">
        <f t="shared" si="62"/>
        <v>5.9949904911350792E-3</v>
      </c>
      <c r="AE111" s="39">
        <f t="shared" si="70"/>
        <v>2.4067886265811949E-2</v>
      </c>
      <c r="AF111" s="37">
        <f t="shared" si="63"/>
        <v>0.41258711208291754</v>
      </c>
      <c r="AG111" s="37">
        <f t="shared" si="80"/>
        <v>2.1448743757172165E-2</v>
      </c>
      <c r="AH111" s="37">
        <f t="shared" si="81"/>
        <v>2.2474427886330538E-2</v>
      </c>
      <c r="AI111" s="40">
        <f t="shared" si="64"/>
        <v>4.3923171643502706E-2</v>
      </c>
      <c r="AJ111" s="39">
        <f t="shared" si="65"/>
        <v>1.494899768062854E-4</v>
      </c>
      <c r="AK111" s="37">
        <f t="shared" si="82"/>
        <v>3.2516419651268551E-2</v>
      </c>
      <c r="AL111" s="37">
        <f t="shared" si="83"/>
        <v>1.2999999999999999E-2</v>
      </c>
      <c r="AM111" s="37">
        <f t="shared" si="84"/>
        <v>0.29622500000000002</v>
      </c>
      <c r="AN111" s="40">
        <f t="shared" si="66"/>
        <v>0.30922500000000003</v>
      </c>
      <c r="AO111" s="39">
        <f t="shared" si="85"/>
        <v>5.6175281268784245E-3</v>
      </c>
      <c r="AP111" s="37">
        <f t="shared" si="86"/>
        <v>3.0375000000000006E-2</v>
      </c>
      <c r="AQ111" s="40">
        <f t="shared" si="87"/>
        <v>5.4000000000000003E-3</v>
      </c>
      <c r="AR111" s="39">
        <f t="shared" si="67"/>
        <v>0.40053569026151625</v>
      </c>
      <c r="AS111" s="37">
        <f t="shared" si="68"/>
        <v>1.7991999999999999</v>
      </c>
      <c r="AT111" s="40">
        <f t="shared" si="69"/>
        <v>81.7916446946452</v>
      </c>
    </row>
    <row r="112" spans="17:46" x14ac:dyDescent="0.2">
      <c r="Q112">
        <v>105</v>
      </c>
      <c r="R112" s="39">
        <f t="shared" si="45"/>
        <v>173</v>
      </c>
      <c r="S112" s="37">
        <f t="shared" si="73"/>
        <v>1.0499999999999999E-2</v>
      </c>
      <c r="T112" s="37">
        <f t="shared" si="47"/>
        <v>12</v>
      </c>
      <c r="U112" s="40">
        <f t="shared" si="74"/>
        <v>0.1593421052631579</v>
      </c>
      <c r="V112" s="39">
        <f t="shared" si="75"/>
        <v>1</v>
      </c>
      <c r="W112" s="37">
        <f t="shared" si="76"/>
        <v>0.15322913125990978</v>
      </c>
      <c r="X112" s="40">
        <f t="shared" si="77"/>
        <v>9.5173373453360112E-4</v>
      </c>
      <c r="Y112" s="39">
        <f t="shared" si="78"/>
        <v>1.8387495751189176</v>
      </c>
      <c r="Z112" s="37">
        <f t="shared" si="71"/>
        <v>1.8387495751189176</v>
      </c>
      <c r="AA112" s="37">
        <f t="shared" si="72"/>
        <v>0.4168474959127591</v>
      </c>
      <c r="AB112" s="37">
        <v>0</v>
      </c>
      <c r="AC112" s="37">
        <f t="shared" si="79"/>
        <v>6.0816642197058209E-3</v>
      </c>
      <c r="AD112" s="40">
        <f t="shared" si="62"/>
        <v>6.0816642197058209E-3</v>
      </c>
      <c r="AE112" s="39">
        <f t="shared" si="70"/>
        <v>2.4415852362598783E-2</v>
      </c>
      <c r="AF112" s="37">
        <f t="shared" si="63"/>
        <v>0.41555893797380694</v>
      </c>
      <c r="AG112" s="37">
        <f t="shared" si="80"/>
        <v>2.175884309716971E-2</v>
      </c>
      <c r="AH112" s="37">
        <f t="shared" si="81"/>
        <v>2.2690528154468328E-2</v>
      </c>
      <c r="AI112" s="40">
        <f t="shared" si="64"/>
        <v>4.4449371251638038E-2</v>
      </c>
      <c r="AJ112" s="39">
        <f t="shared" si="65"/>
        <v>1.5165125691055144E-4</v>
      </c>
      <c r="AK112" s="37">
        <f t="shared" si="82"/>
        <v>3.2750632342282621E-2</v>
      </c>
      <c r="AL112" s="37">
        <f t="shared" si="83"/>
        <v>1.3124999999999998E-2</v>
      </c>
      <c r="AM112" s="37">
        <f t="shared" si="84"/>
        <v>0.29622500000000002</v>
      </c>
      <c r="AN112" s="40">
        <f t="shared" si="66"/>
        <v>0.30935000000000001</v>
      </c>
      <c r="AO112" s="39">
        <f t="shared" si="85"/>
        <v>5.6987446206873058E-3</v>
      </c>
      <c r="AP112" s="37">
        <f t="shared" si="86"/>
        <v>3.0375000000000006E-2</v>
      </c>
      <c r="AQ112" s="40">
        <f t="shared" si="87"/>
        <v>5.4000000000000003E-3</v>
      </c>
      <c r="AR112" s="39">
        <f t="shared" si="67"/>
        <v>0.40135478009203118</v>
      </c>
      <c r="AS112" s="37">
        <f t="shared" si="68"/>
        <v>1.8164999999999998</v>
      </c>
      <c r="AT112" s="40">
        <f t="shared" si="69"/>
        <v>81.903468897301892</v>
      </c>
    </row>
    <row r="113" spans="17:46" x14ac:dyDescent="0.2">
      <c r="Q113">
        <v>106</v>
      </c>
      <c r="R113" s="39">
        <f t="shared" si="45"/>
        <v>173</v>
      </c>
      <c r="S113" s="37">
        <f t="shared" si="73"/>
        <v>1.0599999999999998E-2</v>
      </c>
      <c r="T113" s="37">
        <f t="shared" si="47"/>
        <v>12</v>
      </c>
      <c r="U113" s="40">
        <f t="shared" si="74"/>
        <v>0.16085964912280701</v>
      </c>
      <c r="V113" s="39">
        <f t="shared" si="75"/>
        <v>1</v>
      </c>
      <c r="W113" s="37">
        <f t="shared" si="76"/>
        <v>0.15395706472188203</v>
      </c>
      <c r="X113" s="40">
        <f t="shared" si="77"/>
        <v>9.5625506038436031E-4</v>
      </c>
      <c r="Y113" s="39">
        <f t="shared" si="78"/>
        <v>1.8474847766625846</v>
      </c>
      <c r="Z113" s="37">
        <f t="shared" si="71"/>
        <v>1.8474847766625846</v>
      </c>
      <c r="AA113" s="37">
        <f t="shared" si="72"/>
        <v>0.41982144739592636</v>
      </c>
      <c r="AB113" s="37">
        <v>0</v>
      </c>
      <c r="AC113" s="37">
        <f t="shared" si="79"/>
        <v>6.1687516692763705E-3</v>
      </c>
      <c r="AD113" s="40">
        <f t="shared" si="62"/>
        <v>6.1687516692763705E-3</v>
      </c>
      <c r="AE113" s="39">
        <f t="shared" si="70"/>
        <v>2.4765479411139234E-2</v>
      </c>
      <c r="AF113" s="37">
        <f t="shared" si="63"/>
        <v>0.41852369638557213</v>
      </c>
      <c r="AG113" s="37">
        <f t="shared" si="80"/>
        <v>2.2070422638966563E-2</v>
      </c>
      <c r="AH113" s="37">
        <f t="shared" si="81"/>
        <v>2.2906628422606122E-2</v>
      </c>
      <c r="AI113" s="40">
        <f t="shared" si="64"/>
        <v>4.4977051061572682E-2</v>
      </c>
      <c r="AJ113" s="39">
        <f t="shared" si="65"/>
        <v>1.5382285348533684E-4</v>
      </c>
      <c r="AK113" s="37">
        <f t="shared" si="82"/>
        <v>3.2984288037912327E-2</v>
      </c>
      <c r="AL113" s="37">
        <f t="shared" si="83"/>
        <v>1.3249999999999998E-2</v>
      </c>
      <c r="AM113" s="37">
        <f t="shared" si="84"/>
        <v>0.29622500000000002</v>
      </c>
      <c r="AN113" s="40">
        <f t="shared" si="66"/>
        <v>0.309475</v>
      </c>
      <c r="AO113" s="39">
        <f t="shared" si="85"/>
        <v>5.780348786396005E-3</v>
      </c>
      <c r="AP113" s="37">
        <f t="shared" si="86"/>
        <v>3.0375000000000006E-2</v>
      </c>
      <c r="AQ113" s="40">
        <f t="shared" si="87"/>
        <v>5.4000000000000003E-3</v>
      </c>
      <c r="AR113" s="39">
        <f t="shared" si="67"/>
        <v>0.40217615151724506</v>
      </c>
      <c r="AS113" s="37">
        <f t="shared" si="68"/>
        <v>1.8337999999999997</v>
      </c>
      <c r="AT113" s="40">
        <f t="shared" si="69"/>
        <v>82.013397090825663</v>
      </c>
    </row>
    <row r="114" spans="17:46" x14ac:dyDescent="0.2">
      <c r="Q114">
        <v>107</v>
      </c>
      <c r="R114" s="39">
        <f t="shared" si="45"/>
        <v>173</v>
      </c>
      <c r="S114" s="37">
        <f t="shared" si="73"/>
        <v>1.0699999999999999E-2</v>
      </c>
      <c r="T114" s="37">
        <f t="shared" si="47"/>
        <v>12</v>
      </c>
      <c r="U114" s="40">
        <f t="shared" si="74"/>
        <v>0.16237719298245615</v>
      </c>
      <c r="V114" s="39">
        <f t="shared" si="75"/>
        <v>1</v>
      </c>
      <c r="W114" s="37">
        <f t="shared" si="76"/>
        <v>0.15468157255758969</v>
      </c>
      <c r="X114" s="40">
        <f t="shared" si="77"/>
        <v>9.6075510905335205E-4</v>
      </c>
      <c r="Y114" s="39">
        <f t="shared" si="78"/>
        <v>1.8561788706910765</v>
      </c>
      <c r="Z114" s="37">
        <f t="shared" si="71"/>
        <v>1.8561788706910765</v>
      </c>
      <c r="AA114" s="37">
        <f t="shared" si="72"/>
        <v>0.42278839299057236</v>
      </c>
      <c r="AB114" s="37">
        <v>0</v>
      </c>
      <c r="AC114" s="37">
        <f t="shared" si="79"/>
        <v>6.2562508836642734E-3</v>
      </c>
      <c r="AD114" s="40">
        <f t="shared" si="62"/>
        <v>6.2562508836642734E-3</v>
      </c>
      <c r="AE114" s="39">
        <f t="shared" si="70"/>
        <v>2.5116759558013534E-2</v>
      </c>
      <c r="AF114" s="37">
        <f t="shared" si="63"/>
        <v>0.4214814705654012</v>
      </c>
      <c r="AG114" s="37">
        <f t="shared" si="80"/>
        <v>2.2383475383776618E-2</v>
      </c>
      <c r="AH114" s="37">
        <f t="shared" si="81"/>
        <v>2.3122728690743919E-2</v>
      </c>
      <c r="AI114" s="40">
        <f t="shared" si="64"/>
        <v>4.5506204074520537E-2</v>
      </c>
      <c r="AJ114" s="39">
        <f t="shared" si="65"/>
        <v>1.5600471775163686E-4</v>
      </c>
      <c r="AK114" s="37">
        <f t="shared" si="82"/>
        <v>3.3217393298955185E-2</v>
      </c>
      <c r="AL114" s="37">
        <f t="shared" si="83"/>
        <v>1.3375E-2</v>
      </c>
      <c r="AM114" s="37">
        <f t="shared" si="84"/>
        <v>0.29622500000000002</v>
      </c>
      <c r="AN114" s="40">
        <f t="shared" si="66"/>
        <v>0.30960000000000004</v>
      </c>
      <c r="AO114" s="39">
        <f t="shared" si="85"/>
        <v>5.8623387909891144E-3</v>
      </c>
      <c r="AP114" s="37">
        <f t="shared" si="86"/>
        <v>3.0375000000000006E-2</v>
      </c>
      <c r="AQ114" s="40">
        <f t="shared" si="87"/>
        <v>5.4000000000000003E-3</v>
      </c>
      <c r="AR114" s="39">
        <f t="shared" si="67"/>
        <v>0.402999793749174</v>
      </c>
      <c r="AS114" s="37">
        <f t="shared" si="68"/>
        <v>1.8511</v>
      </c>
      <c r="AT114" s="40">
        <f t="shared" si="69"/>
        <v>82.121475062163199</v>
      </c>
    </row>
    <row r="115" spans="17:46" x14ac:dyDescent="0.2">
      <c r="Q115">
        <v>108</v>
      </c>
      <c r="R115" s="39">
        <f t="shared" si="45"/>
        <v>173</v>
      </c>
      <c r="S115" s="37">
        <f t="shared" si="73"/>
        <v>1.0799999999999999E-2</v>
      </c>
      <c r="T115" s="37">
        <f t="shared" si="47"/>
        <v>12</v>
      </c>
      <c r="U115" s="40">
        <f t="shared" si="74"/>
        <v>0.16389473684210526</v>
      </c>
      <c r="V115" s="39">
        <f t="shared" si="75"/>
        <v>1</v>
      </c>
      <c r="W115" s="37">
        <f t="shared" si="76"/>
        <v>0.15540270267920051</v>
      </c>
      <c r="X115" s="40">
        <f t="shared" si="77"/>
        <v>9.6523417813168001E-4</v>
      </c>
      <c r="Y115" s="39">
        <f t="shared" si="78"/>
        <v>1.8648324321504062</v>
      </c>
      <c r="Z115" s="37">
        <f t="shared" si="71"/>
        <v>1.8648324321504062</v>
      </c>
      <c r="AA115" s="37">
        <f t="shared" si="72"/>
        <v>0.42574841444803929</v>
      </c>
      <c r="AB115" s="37">
        <v>0</v>
      </c>
      <c r="AC115" s="37">
        <f t="shared" si="79"/>
        <v>6.3441599341756806E-3</v>
      </c>
      <c r="AD115" s="40">
        <f t="shared" si="62"/>
        <v>6.3441599341756806E-3</v>
      </c>
      <c r="AE115" s="39">
        <f t="shared" si="70"/>
        <v>2.5469685060159494E-2</v>
      </c>
      <c r="AF115" s="37">
        <f t="shared" si="63"/>
        <v>0.42443234201192676</v>
      </c>
      <c r="AG115" s="37">
        <f t="shared" si="80"/>
        <v>2.2697994431161876E-2</v>
      </c>
      <c r="AH115" s="37">
        <f t="shared" si="81"/>
        <v>2.3338828958881713E-2</v>
      </c>
      <c r="AI115" s="40">
        <f t="shared" si="64"/>
        <v>4.6036823390043585E-2</v>
      </c>
      <c r="AJ115" s="39">
        <f t="shared" si="65"/>
        <v>1.5819680161589746E-4</v>
      </c>
      <c r="AK115" s="37">
        <f t="shared" si="82"/>
        <v>3.344995454840325E-2</v>
      </c>
      <c r="AL115" s="37">
        <f t="shared" si="83"/>
        <v>1.3499999999999998E-2</v>
      </c>
      <c r="AM115" s="37">
        <f t="shared" si="84"/>
        <v>0.29622500000000002</v>
      </c>
      <c r="AN115" s="40">
        <f t="shared" si="66"/>
        <v>0.30972500000000003</v>
      </c>
      <c r="AO115" s="39">
        <f t="shared" si="85"/>
        <v>5.944712827209063E-3</v>
      </c>
      <c r="AP115" s="37">
        <f t="shared" si="86"/>
        <v>3.0375000000000006E-2</v>
      </c>
      <c r="AQ115" s="40">
        <f t="shared" si="87"/>
        <v>5.4000000000000003E-3</v>
      </c>
      <c r="AR115" s="39">
        <f t="shared" si="67"/>
        <v>0.40382569615142838</v>
      </c>
      <c r="AS115" s="37">
        <f t="shared" si="68"/>
        <v>1.8683999999999998</v>
      </c>
      <c r="AT115" s="40">
        <f t="shared" si="69"/>
        <v>82.227747145215091</v>
      </c>
    </row>
    <row r="116" spans="17:46" x14ac:dyDescent="0.2">
      <c r="Q116">
        <v>109</v>
      </c>
      <c r="R116" s="39">
        <f t="shared" si="45"/>
        <v>173</v>
      </c>
      <c r="S116" s="37">
        <f t="shared" si="73"/>
        <v>1.0899999999999998E-2</v>
      </c>
      <c r="T116" s="37">
        <f t="shared" si="47"/>
        <v>12</v>
      </c>
      <c r="U116" s="40">
        <f t="shared" si="74"/>
        <v>0.16541228070175437</v>
      </c>
      <c r="V116" s="39">
        <f t="shared" si="75"/>
        <v>1</v>
      </c>
      <c r="W116" s="37">
        <f t="shared" si="76"/>
        <v>0.15612050189232388</v>
      </c>
      <c r="X116" s="40">
        <f t="shared" si="77"/>
        <v>9.6969255833741523E-4</v>
      </c>
      <c r="Y116" s="39">
        <f t="shared" si="78"/>
        <v>1.8734460227078868</v>
      </c>
      <c r="Z116" s="37">
        <f t="shared" si="71"/>
        <v>1.8734460227078868</v>
      </c>
      <c r="AA116" s="37">
        <f t="shared" si="72"/>
        <v>0.42870159181841588</v>
      </c>
      <c r="AB116" s="37">
        <v>0</v>
      </c>
      <c r="AC116" s="37">
        <f t="shared" si="79"/>
        <v>6.4324769189675283E-3</v>
      </c>
      <c r="AD116" s="40">
        <f t="shared" si="62"/>
        <v>6.4324769189675283E-3</v>
      </c>
      <c r="AE116" s="39">
        <f t="shared" si="70"/>
        <v>2.5824248282311852E-2</v>
      </c>
      <c r="AF116" s="37">
        <f t="shared" si="63"/>
        <v>0.42737639052778692</v>
      </c>
      <c r="AG116" s="37">
        <f t="shared" si="80"/>
        <v>2.301397297675049E-2</v>
      </c>
      <c r="AH116" s="37">
        <f t="shared" si="81"/>
        <v>2.3554929227019503E-2</v>
      </c>
      <c r="AI116" s="40">
        <f t="shared" si="64"/>
        <v>4.6568902203769996E-2</v>
      </c>
      <c r="AJ116" s="39">
        <f t="shared" si="65"/>
        <v>1.6039905765411085E-4</v>
      </c>
      <c r="AK116" s="37">
        <f t="shared" si="82"/>
        <v>3.368197807558547E-2</v>
      </c>
      <c r="AL116" s="37">
        <f t="shared" si="83"/>
        <v>1.3624999999999998E-2</v>
      </c>
      <c r="AM116" s="37">
        <f t="shared" si="84"/>
        <v>0.29622500000000002</v>
      </c>
      <c r="AN116" s="40">
        <f t="shared" si="66"/>
        <v>0.30985000000000001</v>
      </c>
      <c r="AO116" s="39">
        <f t="shared" si="85"/>
        <v>6.0274691129584617E-3</v>
      </c>
      <c r="AP116" s="37">
        <f t="shared" si="86"/>
        <v>3.0375000000000006E-2</v>
      </c>
      <c r="AQ116" s="40">
        <f t="shared" si="87"/>
        <v>5.4000000000000003E-3</v>
      </c>
      <c r="AR116" s="39">
        <f t="shared" si="67"/>
        <v>0.40465384823569606</v>
      </c>
      <c r="AS116" s="37">
        <f t="shared" si="68"/>
        <v>1.8856999999999997</v>
      </c>
      <c r="AT116" s="40">
        <f t="shared" si="69"/>
        <v>82.332256277893094</v>
      </c>
    </row>
    <row r="117" spans="17:46" x14ac:dyDescent="0.2">
      <c r="Q117">
        <v>110</v>
      </c>
      <c r="R117" s="39">
        <f t="shared" si="45"/>
        <v>173</v>
      </c>
      <c r="S117" s="37">
        <f t="shared" si="73"/>
        <v>1.0999999999999999E-2</v>
      </c>
      <c r="T117" s="37">
        <f t="shared" si="47"/>
        <v>12</v>
      </c>
      <c r="U117" s="40">
        <f t="shared" si="74"/>
        <v>0.16692982456140351</v>
      </c>
      <c r="V117" s="39">
        <f t="shared" si="75"/>
        <v>1</v>
      </c>
      <c r="W117" s="37">
        <f t="shared" si="76"/>
        <v>0.1568350159314629</v>
      </c>
      <c r="X117" s="40">
        <f t="shared" si="77"/>
        <v>9.7413053373579441E-4</v>
      </c>
      <c r="Y117" s="39">
        <f t="shared" si="78"/>
        <v>1.8820201911775551</v>
      </c>
      <c r="Z117" s="37">
        <f t="shared" si="71"/>
        <v>1.8820201911775551</v>
      </c>
      <c r="AA117" s="37">
        <f t="shared" si="72"/>
        <v>0.43164800350120697</v>
      </c>
      <c r="AB117" s="37">
        <v>0</v>
      </c>
      <c r="AC117" s="37">
        <f t="shared" si="79"/>
        <v>6.5211999624302302E-3</v>
      </c>
      <c r="AD117" s="40">
        <f t="shared" si="62"/>
        <v>6.5211999624302302E-3</v>
      </c>
      <c r="AE117" s="39">
        <f t="shared" si="70"/>
        <v>2.6180441694524027E-2</v>
      </c>
      <c r="AF117" s="37">
        <f t="shared" si="63"/>
        <v>0.43031369427013816</v>
      </c>
      <c r="AG117" s="37">
        <f t="shared" si="80"/>
        <v>2.3331404310028156E-2</v>
      </c>
      <c r="AH117" s="37">
        <f t="shared" si="81"/>
        <v>2.37710294951573E-2</v>
      </c>
      <c r="AI117" s="40">
        <f t="shared" si="64"/>
        <v>4.7102433805185459E-2</v>
      </c>
      <c r="AJ117" s="39">
        <f t="shared" si="65"/>
        <v>1.6261143909642253E-4</v>
      </c>
      <c r="AK117" s="37">
        <f t="shared" si="82"/>
        <v>3.391347004014867E-2</v>
      </c>
      <c r="AL117" s="37">
        <f t="shared" si="83"/>
        <v>1.3749999999999998E-2</v>
      </c>
      <c r="AM117" s="37">
        <f t="shared" si="84"/>
        <v>0.29622500000000002</v>
      </c>
      <c r="AN117" s="40">
        <f t="shared" si="66"/>
        <v>0.309975</v>
      </c>
      <c r="AO117" s="39">
        <f t="shared" si="85"/>
        <v>6.1106058907216603E-3</v>
      </c>
      <c r="AP117" s="37">
        <f t="shared" si="86"/>
        <v>3.0375000000000006E-2</v>
      </c>
      <c r="AQ117" s="40">
        <f t="shared" si="87"/>
        <v>5.4000000000000003E-3</v>
      </c>
      <c r="AR117" s="39">
        <f t="shared" si="67"/>
        <v>0.40548423965833735</v>
      </c>
      <c r="AS117" s="37">
        <f t="shared" si="68"/>
        <v>1.9029999999999998</v>
      </c>
      <c r="AT117" s="40">
        <f t="shared" si="69"/>
        <v>82.435044056512581</v>
      </c>
    </row>
    <row r="118" spans="17:46" x14ac:dyDescent="0.2">
      <c r="Q118">
        <v>111</v>
      </c>
      <c r="R118" s="39">
        <f t="shared" si="45"/>
        <v>173</v>
      </c>
      <c r="S118" s="37">
        <f t="shared" si="73"/>
        <v>1.1099999999999999E-2</v>
      </c>
      <c r="T118" s="37">
        <f t="shared" si="47"/>
        <v>12</v>
      </c>
      <c r="U118" s="40">
        <f t="shared" si="74"/>
        <v>0.16844736842105262</v>
      </c>
      <c r="V118" s="39">
        <f t="shared" si="75"/>
        <v>1</v>
      </c>
      <c r="W118" s="37">
        <f t="shared" si="76"/>
        <v>0.15754628949401928</v>
      </c>
      <c r="X118" s="40">
        <f t="shared" si="77"/>
        <v>9.7854838195043036E-4</v>
      </c>
      <c r="Y118" s="39">
        <f t="shared" si="78"/>
        <v>1.8905554739282315</v>
      </c>
      <c r="Z118" s="37">
        <f t="shared" si="71"/>
        <v>1.8905554739282315</v>
      </c>
      <c r="AA118" s="37">
        <f t="shared" si="72"/>
        <v>0.43458772629404796</v>
      </c>
      <c r="AB118" s="37">
        <v>0</v>
      </c>
      <c r="AC118" s="37">
        <f t="shared" si="79"/>
        <v>6.6103272145900619E-3</v>
      </c>
      <c r="AD118" s="40">
        <f t="shared" si="62"/>
        <v>6.6103272145900619E-3</v>
      </c>
      <c r="AE118" s="39">
        <f t="shared" si="70"/>
        <v>2.6538257869768878E-2</v>
      </c>
      <c r="AF118" s="37">
        <f t="shared" si="63"/>
        <v>0.43324432979921912</v>
      </c>
      <c r="AG118" s="37">
        <f t="shared" si="80"/>
        <v>2.3650281812199993E-2</v>
      </c>
      <c r="AH118" s="37">
        <f t="shared" si="81"/>
        <v>2.398712976329509E-2</v>
      </c>
      <c r="AI118" s="40">
        <f t="shared" si="64"/>
        <v>4.7637411575495087E-2</v>
      </c>
      <c r="AJ118" s="39">
        <f t="shared" si="65"/>
        <v>1.6483389981222907E-4</v>
      </c>
      <c r="AK118" s="37">
        <f t="shared" si="82"/>
        <v>3.414443647588495E-2</v>
      </c>
      <c r="AL118" s="37">
        <f t="shared" si="83"/>
        <v>1.3874999999999998E-2</v>
      </c>
      <c r="AM118" s="37">
        <f t="shared" si="84"/>
        <v>0.29622500000000002</v>
      </c>
      <c r="AN118" s="40">
        <f t="shared" si="66"/>
        <v>0.31010000000000004</v>
      </c>
      <c r="AO118" s="39">
        <f t="shared" si="85"/>
        <v>6.19412142700476E-3</v>
      </c>
      <c r="AP118" s="37">
        <f t="shared" si="86"/>
        <v>3.0375000000000006E-2</v>
      </c>
      <c r="AQ118" s="40">
        <f t="shared" si="87"/>
        <v>5.4000000000000003E-3</v>
      </c>
      <c r="AR118" s="39">
        <f t="shared" si="67"/>
        <v>0.40631686021708996</v>
      </c>
      <c r="AS118" s="37">
        <f t="shared" si="68"/>
        <v>1.9202999999999997</v>
      </c>
      <c r="AT118" s="40">
        <f t="shared" si="69"/>
        <v>82.536150787664383</v>
      </c>
    </row>
    <row r="119" spans="17:46" x14ac:dyDescent="0.2">
      <c r="Q119">
        <v>112</v>
      </c>
      <c r="R119" s="39">
        <f t="shared" si="45"/>
        <v>173</v>
      </c>
      <c r="S119" s="37">
        <f t="shared" si="73"/>
        <v>1.1199999999999998E-2</v>
      </c>
      <c r="T119" s="37">
        <f t="shared" si="47"/>
        <v>12</v>
      </c>
      <c r="U119" s="40">
        <f t="shared" si="74"/>
        <v>0.16996491228070176</v>
      </c>
      <c r="V119" s="39">
        <f t="shared" si="75"/>
        <v>1</v>
      </c>
      <c r="W119" s="37">
        <f t="shared" si="76"/>
        <v>0.15825436627292291</v>
      </c>
      <c r="X119" s="40">
        <f t="shared" si="77"/>
        <v>9.8294637436598066E-4</v>
      </c>
      <c r="Y119" s="39">
        <f t="shared" si="78"/>
        <v>1.8990523952750753</v>
      </c>
      <c r="Z119" s="37">
        <f t="shared" si="71"/>
        <v>1.8990523952750753</v>
      </c>
      <c r="AA119" s="37">
        <f t="shared" si="72"/>
        <v>0.43752083543955661</v>
      </c>
      <c r="AB119" s="37">
        <v>0</v>
      </c>
      <c r="AC119" s="37">
        <f t="shared" si="79"/>
        <v>6.6998568505304652E-3</v>
      </c>
      <c r="AD119" s="40">
        <f t="shared" si="62"/>
        <v>6.6998568505304652E-3</v>
      </c>
      <c r="AE119" s="39">
        <f t="shared" si="70"/>
        <v>2.6897689481615392E-2</v>
      </c>
      <c r="AF119" s="37">
        <f t="shared" si="63"/>
        <v>0.43616837212505805</v>
      </c>
      <c r="AG119" s="37">
        <f t="shared" si="80"/>
        <v>2.3970598954120112E-2</v>
      </c>
      <c r="AH119" s="37">
        <f t="shared" si="81"/>
        <v>2.420323003143289E-2</v>
      </c>
      <c r="AI119" s="40">
        <f t="shared" si="64"/>
        <v>4.8173828985553002E-2</v>
      </c>
      <c r="AJ119" s="39">
        <f t="shared" si="65"/>
        <v>1.6706639429574775E-4</v>
      </c>
      <c r="AK119" s="37">
        <f t="shared" si="82"/>
        <v>3.4374883294412663E-2</v>
      </c>
      <c r="AL119" s="37">
        <f t="shared" si="83"/>
        <v>1.3999999999999999E-2</v>
      </c>
      <c r="AM119" s="37">
        <f t="shared" si="84"/>
        <v>0.29622500000000002</v>
      </c>
      <c r="AN119" s="40">
        <f t="shared" si="66"/>
        <v>0.31022500000000003</v>
      </c>
      <c r="AO119" s="39">
        <f t="shared" si="85"/>
        <v>6.2780140117933633E-3</v>
      </c>
      <c r="AP119" s="37">
        <f t="shared" si="86"/>
        <v>3.0375000000000006E-2</v>
      </c>
      <c r="AQ119" s="40">
        <f t="shared" si="87"/>
        <v>5.4000000000000003E-3</v>
      </c>
      <c r="AR119" s="39">
        <f t="shared" si="67"/>
        <v>0.40715169984787686</v>
      </c>
      <c r="AS119" s="37">
        <f t="shared" si="68"/>
        <v>1.9375999999999998</v>
      </c>
      <c r="AT119" s="40">
        <f t="shared" si="69"/>
        <v>82.635615537700986</v>
      </c>
    </row>
    <row r="120" spans="17:46" x14ac:dyDescent="0.2">
      <c r="Q120">
        <v>113</v>
      </c>
      <c r="R120" s="39">
        <f t="shared" si="45"/>
        <v>173</v>
      </c>
      <c r="S120" s="37">
        <f t="shared" si="73"/>
        <v>1.1299999999999999E-2</v>
      </c>
      <c r="T120" s="37">
        <f t="shared" si="47"/>
        <v>12</v>
      </c>
      <c r="U120" s="40">
        <f t="shared" si="74"/>
        <v>0.17148245614035088</v>
      </c>
      <c r="V120" s="39">
        <f t="shared" si="75"/>
        <v>1</v>
      </c>
      <c r="W120" s="37">
        <f t="shared" si="76"/>
        <v>0.15895928898795297</v>
      </c>
      <c r="X120" s="40">
        <f t="shared" si="77"/>
        <v>9.87324776322689E-4</v>
      </c>
      <c r="Y120" s="39">
        <f t="shared" si="78"/>
        <v>1.9075114678554359</v>
      </c>
      <c r="Z120" s="37">
        <f t="shared" si="71"/>
        <v>1.9075114678554359</v>
      </c>
      <c r="AA120" s="37">
        <f t="shared" si="72"/>
        <v>0.44044740467040755</v>
      </c>
      <c r="AB120" s="37">
        <v>0</v>
      </c>
      <c r="AC120" s="37">
        <f t="shared" si="79"/>
        <v>6.7897870698314213E-3</v>
      </c>
      <c r="AD120" s="40">
        <f t="shared" si="62"/>
        <v>6.7897870698314213E-3</v>
      </c>
      <c r="AE120" s="39">
        <f t="shared" si="70"/>
        <v>2.7258729301978004E-2</v>
      </c>
      <c r="AF120" s="37">
        <f t="shared" si="63"/>
        <v>0.43908589475240706</v>
      </c>
      <c r="AG120" s="37">
        <f t="shared" si="80"/>
        <v>2.4292349294285757E-2</v>
      </c>
      <c r="AH120" s="37">
        <f t="shared" si="81"/>
        <v>2.441933029957068E-2</v>
      </c>
      <c r="AI120" s="40">
        <f t="shared" si="64"/>
        <v>4.8711679593856437E-2</v>
      </c>
      <c r="AJ120" s="39">
        <f t="shared" si="65"/>
        <v>1.6930887765203727E-4</v>
      </c>
      <c r="AK120" s="37">
        <f t="shared" si="82"/>
        <v>3.4604816288717845E-2</v>
      </c>
      <c r="AL120" s="37">
        <f t="shared" si="83"/>
        <v>1.4124999999999999E-2</v>
      </c>
      <c r="AM120" s="37">
        <f t="shared" si="84"/>
        <v>0.29622500000000002</v>
      </c>
      <c r="AN120" s="40">
        <f t="shared" si="66"/>
        <v>0.31035000000000001</v>
      </c>
      <c r="AO120" s="39">
        <f t="shared" si="85"/>
        <v>6.3622819580272227E-3</v>
      </c>
      <c r="AP120" s="37">
        <f t="shared" si="86"/>
        <v>3.0375000000000006E-2</v>
      </c>
      <c r="AQ120" s="40">
        <f t="shared" si="87"/>
        <v>5.4000000000000003E-3</v>
      </c>
      <c r="AR120" s="39">
        <f t="shared" si="67"/>
        <v>0.40798874862171508</v>
      </c>
      <c r="AS120" s="37">
        <f t="shared" si="68"/>
        <v>1.9548999999999999</v>
      </c>
      <c r="AT120" s="40">
        <f t="shared" si="69"/>
        <v>82.733476179964171</v>
      </c>
    </row>
    <row r="121" spans="17:46" x14ac:dyDescent="0.2">
      <c r="Q121">
        <v>114</v>
      </c>
      <c r="R121" s="39">
        <f t="shared" si="45"/>
        <v>173</v>
      </c>
      <c r="S121" s="37">
        <f t="shared" si="73"/>
        <v>1.1399999999999999E-2</v>
      </c>
      <c r="T121" s="37">
        <f t="shared" si="47"/>
        <v>12</v>
      </c>
      <c r="U121" s="40">
        <f t="shared" si="74"/>
        <v>0.17299999999999999</v>
      </c>
      <c r="V121" s="39">
        <f t="shared" si="75"/>
        <v>1</v>
      </c>
      <c r="W121" s="37">
        <f t="shared" si="76"/>
        <v>0.15966109941581469</v>
      </c>
      <c r="X121" s="40">
        <f t="shared" si="77"/>
        <v>9.9168384730319672E-4</v>
      </c>
      <c r="Y121" s="39">
        <f t="shared" si="78"/>
        <v>1.9159331929897765</v>
      </c>
      <c r="Z121" s="37">
        <f t="shared" si="71"/>
        <v>1.9159331929897765</v>
      </c>
      <c r="AA121" s="37">
        <f t="shared" si="72"/>
        <v>0.44336750625271476</v>
      </c>
      <c r="AB121" s="37">
        <v>0</v>
      </c>
      <c r="AC121" s="37">
        <f t="shared" si="79"/>
        <v>6.880116096026288E-3</v>
      </c>
      <c r="AD121" s="40">
        <f t="shared" si="62"/>
        <v>6.880116096026288E-3</v>
      </c>
      <c r="AE121" s="39">
        <f t="shared" si="70"/>
        <v>2.762137019893594E-2</v>
      </c>
      <c r="AF121" s="37">
        <f t="shared" si="63"/>
        <v>0.44199696972399127</v>
      </c>
      <c r="AG121" s="37">
        <f t="shared" si="80"/>
        <v>2.4615526476894047E-2</v>
      </c>
      <c r="AH121" s="37">
        <f t="shared" si="81"/>
        <v>2.4635430567708474E-2</v>
      </c>
      <c r="AI121" s="40">
        <f t="shared" si="64"/>
        <v>4.9250957044602521E-2</v>
      </c>
      <c r="AJ121" s="39">
        <f t="shared" si="65"/>
        <v>1.7156130558345303E-4</v>
      </c>
      <c r="AK121" s="37">
        <f t="shared" si="82"/>
        <v>3.4834241136562624E-2</v>
      </c>
      <c r="AL121" s="37">
        <f t="shared" si="83"/>
        <v>1.4249999999999999E-2</v>
      </c>
      <c r="AM121" s="37">
        <f t="shared" si="84"/>
        <v>0.29622500000000002</v>
      </c>
      <c r="AN121" s="40">
        <f t="shared" si="66"/>
        <v>0.310475</v>
      </c>
      <c r="AO121" s="39">
        <f t="shared" si="85"/>
        <v>6.4469236010912985E-3</v>
      </c>
      <c r="AP121" s="37">
        <f t="shared" si="86"/>
        <v>3.0375000000000006E-2</v>
      </c>
      <c r="AQ121" s="40">
        <f t="shared" si="87"/>
        <v>5.4000000000000003E-3</v>
      </c>
      <c r="AR121" s="39">
        <f t="shared" si="67"/>
        <v>0.4088279967417201</v>
      </c>
      <c r="AS121" s="37">
        <f t="shared" si="68"/>
        <v>1.9721999999999997</v>
      </c>
      <c r="AT121" s="40">
        <f t="shared" si="69"/>
        <v>82.829769439873274</v>
      </c>
    </row>
    <row r="122" spans="17:46" x14ac:dyDescent="0.2">
      <c r="Q122">
        <v>115</v>
      </c>
      <c r="R122" s="39">
        <f t="shared" si="45"/>
        <v>173</v>
      </c>
      <c r="S122" s="37">
        <f t="shared" si="73"/>
        <v>1.15E-2</v>
      </c>
      <c r="T122" s="37">
        <f t="shared" si="47"/>
        <v>12</v>
      </c>
      <c r="U122" s="40">
        <f t="shared" si="74"/>
        <v>0.17451754385964915</v>
      </c>
      <c r="V122" s="39">
        <f t="shared" si="75"/>
        <v>1</v>
      </c>
      <c r="W122" s="37">
        <f t="shared" si="76"/>
        <v>0.16035983841903115</v>
      </c>
      <c r="X122" s="40">
        <f t="shared" si="77"/>
        <v>9.9602384111199468E-4</v>
      </c>
      <c r="Y122" s="39">
        <f t="shared" si="78"/>
        <v>1.9243180610283741</v>
      </c>
      <c r="Z122" s="37">
        <f t="shared" si="71"/>
        <v>1.9243180610283741</v>
      </c>
      <c r="AA122" s="37">
        <f t="shared" si="72"/>
        <v>0.44628121102779661</v>
      </c>
      <c r="AB122" s="37">
        <v>0</v>
      </c>
      <c r="AC122" s="37">
        <f t="shared" si="79"/>
        <v>6.9708421760752868E-3</v>
      </c>
      <c r="AD122" s="40">
        <f t="shared" si="62"/>
        <v>6.9708421760752868E-3</v>
      </c>
      <c r="AE122" s="39">
        <f t="shared" si="70"/>
        <v>2.7985605134619521E-2</v>
      </c>
      <c r="AF122" s="37">
        <f t="shared" si="63"/>
        <v>0.44490166766214473</v>
      </c>
      <c r="AG122" s="37">
        <f t="shared" si="80"/>
        <v>2.4940124229958241E-2</v>
      </c>
      <c r="AH122" s="37">
        <f t="shared" si="81"/>
        <v>2.4851530835846271E-2</v>
      </c>
      <c r="AI122" s="40">
        <f t="shared" si="64"/>
        <v>4.9791655065804512E-2</v>
      </c>
      <c r="AJ122" s="39">
        <f t="shared" si="65"/>
        <v>1.7382363437651874E-4</v>
      </c>
      <c r="AK122" s="37">
        <f t="shared" si="82"/>
        <v>3.5063163403766626E-2</v>
      </c>
      <c r="AL122" s="37">
        <f t="shared" si="83"/>
        <v>1.4374999999999999E-2</v>
      </c>
      <c r="AM122" s="37">
        <f t="shared" si="84"/>
        <v>0.29622500000000002</v>
      </c>
      <c r="AN122" s="40">
        <f t="shared" si="66"/>
        <v>0.31059999999999999</v>
      </c>
      <c r="AO122" s="39">
        <f t="shared" si="85"/>
        <v>6.531937298322397E-3</v>
      </c>
      <c r="AP122" s="37">
        <f t="shared" si="86"/>
        <v>3.0375000000000006E-2</v>
      </c>
      <c r="AQ122" s="40">
        <f t="shared" si="87"/>
        <v>5.4000000000000003E-3</v>
      </c>
      <c r="AR122" s="39">
        <f t="shared" si="67"/>
        <v>0.40966943454020222</v>
      </c>
      <c r="AS122" s="37">
        <f t="shared" si="68"/>
        <v>1.9895</v>
      </c>
      <c r="AT122" s="40">
        <f t="shared" si="69"/>
        <v>82.924530937986262</v>
      </c>
    </row>
    <row r="123" spans="17:46" x14ac:dyDescent="0.2">
      <c r="Q123">
        <v>116</v>
      </c>
      <c r="R123" s="39">
        <f t="shared" si="45"/>
        <v>173</v>
      </c>
      <c r="S123" s="37">
        <f t="shared" si="73"/>
        <v>1.1599999999999999E-2</v>
      </c>
      <c r="T123" s="37">
        <f t="shared" si="47"/>
        <v>12</v>
      </c>
      <c r="U123" s="40">
        <f t="shared" si="74"/>
        <v>0.17603508771929824</v>
      </c>
      <c r="V123" s="39">
        <f t="shared" si="75"/>
        <v>1</v>
      </c>
      <c r="W123" s="37">
        <f t="shared" si="76"/>
        <v>0.16105554597370711</v>
      </c>
      <c r="X123" s="40">
        <f t="shared" si="77"/>
        <v>1.00034500604787E-3</v>
      </c>
      <c r="Y123" s="39">
        <f t="shared" si="78"/>
        <v>1.9326665516844856</v>
      </c>
      <c r="Z123" s="37">
        <f t="shared" si="71"/>
        <v>1.9326665516844856</v>
      </c>
      <c r="AA123" s="37">
        <f t="shared" si="72"/>
        <v>0.44918858845240078</v>
      </c>
      <c r="AB123" s="37">
        <v>0</v>
      </c>
      <c r="AC123" s="37">
        <f t="shared" si="79"/>
        <v>7.0619635798551102E-3</v>
      </c>
      <c r="AD123" s="40">
        <f t="shared" si="62"/>
        <v>7.0619635798551102E-3</v>
      </c>
      <c r="AE123" s="39">
        <f t="shared" si="70"/>
        <v>2.8351427163161001E-2</v>
      </c>
      <c r="AF123" s="37">
        <f t="shared" si="63"/>
        <v>0.44780005780891058</v>
      </c>
      <c r="AG123" s="37">
        <f t="shared" si="80"/>
        <v>2.5266136363481618E-2</v>
      </c>
      <c r="AH123" s="37">
        <f t="shared" si="81"/>
        <v>2.5067631103984057E-2</v>
      </c>
      <c r="AI123" s="40">
        <f t="shared" si="64"/>
        <v>5.0333767467465679E-2</v>
      </c>
      <c r="AJ123" s="39">
        <f t="shared" si="65"/>
        <v>1.7609582088919874E-4</v>
      </c>
      <c r="AK123" s="37">
        <f t="shared" si="82"/>
        <v>3.5291588547367317E-2</v>
      </c>
      <c r="AL123" s="37">
        <f t="shared" si="83"/>
        <v>1.4499999999999999E-2</v>
      </c>
      <c r="AM123" s="37">
        <f t="shared" si="84"/>
        <v>0.29622500000000002</v>
      </c>
      <c r="AN123" s="40">
        <f t="shared" si="66"/>
        <v>0.31072500000000003</v>
      </c>
      <c r="AO123" s="39">
        <f t="shared" si="85"/>
        <v>6.6173214285309007E-3</v>
      </c>
      <c r="AP123" s="37">
        <f t="shared" si="86"/>
        <v>3.0375000000000006E-2</v>
      </c>
      <c r="AQ123" s="40">
        <f t="shared" si="87"/>
        <v>5.4000000000000003E-3</v>
      </c>
      <c r="AR123" s="39">
        <f t="shared" si="67"/>
        <v>0.41051305247585168</v>
      </c>
      <c r="AS123" s="37">
        <f t="shared" si="68"/>
        <v>2.0067999999999997</v>
      </c>
      <c r="AT123" s="40">
        <f t="shared" si="69"/>
        <v>83.017795231139075</v>
      </c>
    </row>
    <row r="124" spans="17:46" x14ac:dyDescent="0.2">
      <c r="Q124">
        <v>117</v>
      </c>
      <c r="R124" s="39">
        <f t="shared" si="45"/>
        <v>173</v>
      </c>
      <c r="S124" s="37">
        <f t="shared" si="73"/>
        <v>1.1699999999999999E-2</v>
      </c>
      <c r="T124" s="37">
        <f t="shared" si="47"/>
        <v>12</v>
      </c>
      <c r="U124" s="40">
        <f t="shared" si="74"/>
        <v>0.17755263157894738</v>
      </c>
      <c r="V124" s="39">
        <f t="shared" si="75"/>
        <v>1</v>
      </c>
      <c r="W124" s="37">
        <f t="shared" si="76"/>
        <v>0.1617482611962181</v>
      </c>
      <c r="X124" s="40">
        <f t="shared" si="77"/>
        <v>1.0046475850696774E-3</v>
      </c>
      <c r="Y124" s="39">
        <f t="shared" si="78"/>
        <v>1.9409791343546174</v>
      </c>
      <c r="Z124" s="37">
        <f t="shared" si="71"/>
        <v>1.9409791343546174</v>
      </c>
      <c r="AA124" s="37">
        <f t="shared" si="72"/>
        <v>0.45208970663745618</v>
      </c>
      <c r="AB124" s="37">
        <v>0</v>
      </c>
      <c r="AC124" s="37">
        <f t="shared" si="79"/>
        <v>7.1534785996639422E-3</v>
      </c>
      <c r="AD124" s="40">
        <f t="shared" si="62"/>
        <v>7.1534785996639422E-3</v>
      </c>
      <c r="AE124" s="39">
        <f t="shared" si="70"/>
        <v>2.8718829428707463E-2</v>
      </c>
      <c r="AF124" s="37">
        <f t="shared" si="63"/>
        <v>0.45069220806467325</v>
      </c>
      <c r="AG124" s="37">
        <f t="shared" si="80"/>
        <v>2.5593556767686553E-2</v>
      </c>
      <c r="AH124" s="37">
        <f t="shared" si="81"/>
        <v>2.5283731372121854E-2</v>
      </c>
      <c r="AI124" s="40">
        <f t="shared" si="64"/>
        <v>5.0877288139808408E-2</v>
      </c>
      <c r="AJ124" s="39">
        <f t="shared" si="65"/>
        <v>1.7837782253855562E-4</v>
      </c>
      <c r="AK124" s="37">
        <f t="shared" si="82"/>
        <v>3.5519521918664684E-2</v>
      </c>
      <c r="AL124" s="37">
        <f t="shared" si="83"/>
        <v>1.4624999999999999E-2</v>
      </c>
      <c r="AM124" s="37">
        <f t="shared" si="84"/>
        <v>0.29622500000000002</v>
      </c>
      <c r="AN124" s="40">
        <f t="shared" si="66"/>
        <v>0.31085000000000002</v>
      </c>
      <c r="AO124" s="39">
        <f t="shared" si="85"/>
        <v>6.7030743915369546E-3</v>
      </c>
      <c r="AP124" s="37">
        <f t="shared" si="86"/>
        <v>3.0375000000000006E-2</v>
      </c>
      <c r="AQ124" s="40">
        <f t="shared" si="87"/>
        <v>5.4000000000000003E-3</v>
      </c>
      <c r="AR124" s="39">
        <f t="shared" si="67"/>
        <v>0.41135884113100929</v>
      </c>
      <c r="AS124" s="37">
        <f t="shared" si="68"/>
        <v>2.0240999999999998</v>
      </c>
      <c r="AT124" s="40">
        <f t="shared" si="69"/>
        <v>83.109595851762492</v>
      </c>
    </row>
    <row r="125" spans="17:46" x14ac:dyDescent="0.2">
      <c r="Q125">
        <v>118</v>
      </c>
      <c r="R125" s="39">
        <f t="shared" si="45"/>
        <v>173</v>
      </c>
      <c r="S125" s="37">
        <f t="shared" si="73"/>
        <v>1.18E-2</v>
      </c>
      <c r="T125" s="37">
        <f t="shared" si="47"/>
        <v>12</v>
      </c>
      <c r="U125" s="40">
        <f t="shared" si="74"/>
        <v>0.17907017543859649</v>
      </c>
      <c r="V125" s="39">
        <f t="shared" si="75"/>
        <v>1</v>
      </c>
      <c r="W125" s="37">
        <f t="shared" si="76"/>
        <v>0.16243802236887492</v>
      </c>
      <c r="X125" s="40">
        <f t="shared" si="77"/>
        <v>1.0089318159557446E-3</v>
      </c>
      <c r="Y125" s="39">
        <f t="shared" si="78"/>
        <v>1.9492562684264991</v>
      </c>
      <c r="Z125" s="37">
        <f t="shared" si="71"/>
        <v>1.9492562684264991</v>
      </c>
      <c r="AA125" s="37">
        <f t="shared" si="72"/>
        <v>0.45498463238541825</v>
      </c>
      <c r="AB125" s="37">
        <v>0</v>
      </c>
      <c r="AC125" s="37">
        <f t="shared" si="79"/>
        <v>7.2453855497412968E-3</v>
      </c>
      <c r="AD125" s="40">
        <f t="shared" si="62"/>
        <v>7.2453855497412968E-3</v>
      </c>
      <c r="AE125" s="39">
        <f t="shared" si="70"/>
        <v>2.9087805163493092E-2</v>
      </c>
      <c r="AF125" s="37">
        <f t="shared" si="63"/>
        <v>0.45357818502538866</v>
      </c>
      <c r="AG125" s="37">
        <f t="shared" si="80"/>
        <v>2.5922379411296641E-2</v>
      </c>
      <c r="AH125" s="37">
        <f t="shared" si="81"/>
        <v>2.5499831640259644E-2</v>
      </c>
      <c r="AI125" s="40">
        <f t="shared" si="64"/>
        <v>5.1422211051556282E-2</v>
      </c>
      <c r="AJ125" s="39">
        <f t="shared" si="65"/>
        <v>1.8066959728877692E-4</v>
      </c>
      <c r="AK125" s="37">
        <f t="shared" si="82"/>
        <v>3.5746968766155296E-2</v>
      </c>
      <c r="AL125" s="37">
        <f t="shared" si="83"/>
        <v>1.4749999999999999E-2</v>
      </c>
      <c r="AM125" s="37">
        <f t="shared" si="84"/>
        <v>0.29622500000000002</v>
      </c>
      <c r="AN125" s="40">
        <f t="shared" si="66"/>
        <v>0.310975</v>
      </c>
      <c r="AO125" s="39">
        <f t="shared" si="85"/>
        <v>6.7891946077205494E-3</v>
      </c>
      <c r="AP125" s="37">
        <f t="shared" si="86"/>
        <v>3.0375000000000006E-2</v>
      </c>
      <c r="AQ125" s="40">
        <f t="shared" si="87"/>
        <v>5.4000000000000003E-3</v>
      </c>
      <c r="AR125" s="39">
        <f t="shared" si="67"/>
        <v>0.41220679120901815</v>
      </c>
      <c r="AS125" s="37">
        <f t="shared" si="68"/>
        <v>2.0413999999999999</v>
      </c>
      <c r="AT125" s="40">
        <f t="shared" si="69"/>
        <v>83.199965345469934</v>
      </c>
    </row>
    <row r="126" spans="17:46" x14ac:dyDescent="0.2">
      <c r="Q126">
        <v>119</v>
      </c>
      <c r="R126" s="39">
        <f t="shared" si="45"/>
        <v>173</v>
      </c>
      <c r="S126" s="37">
        <f t="shared" si="73"/>
        <v>1.1899999999999999E-2</v>
      </c>
      <c r="T126" s="37">
        <f t="shared" si="47"/>
        <v>12</v>
      </c>
      <c r="U126" s="40">
        <f t="shared" si="74"/>
        <v>0.18058771929824563</v>
      </c>
      <c r="V126" s="39">
        <f t="shared" si="75"/>
        <v>1</v>
      </c>
      <c r="W126" s="37">
        <f t="shared" si="76"/>
        <v>0.16312486696461154</v>
      </c>
      <c r="X126" s="40">
        <f t="shared" si="77"/>
        <v>1.0131979314572145E-3</v>
      </c>
      <c r="Y126" s="39">
        <f t="shared" si="78"/>
        <v>1.9574984035753387</v>
      </c>
      <c r="Z126" s="37">
        <f t="shared" si="71"/>
        <v>1.9574984035753387</v>
      </c>
      <c r="AA126" s="37">
        <f t="shared" si="72"/>
        <v>0.457873431226271</v>
      </c>
      <c r="AB126" s="37">
        <v>0</v>
      </c>
      <c r="AC126" s="37">
        <f t="shared" si="79"/>
        <v>7.3376827658021559E-3</v>
      </c>
      <c r="AD126" s="40">
        <f t="shared" si="62"/>
        <v>7.3376827658021559E-3</v>
      </c>
      <c r="AE126" s="39">
        <f t="shared" si="70"/>
        <v>2.945834768596893E-2</v>
      </c>
      <c r="AF126" s="37">
        <f t="shared" si="63"/>
        <v>0.45645805401847472</v>
      </c>
      <c r="AG126" s="37">
        <f t="shared" si="80"/>
        <v>2.6252598339869933E-2</v>
      </c>
      <c r="AH126" s="37">
        <f t="shared" si="81"/>
        <v>2.5715931908397445E-2</v>
      </c>
      <c r="AI126" s="40">
        <f t="shared" si="64"/>
        <v>5.1968530248267378E-2</v>
      </c>
      <c r="AJ126" s="39">
        <f t="shared" si="65"/>
        <v>1.8297110363955856E-4</v>
      </c>
      <c r="AK126" s="37">
        <f t="shared" si="82"/>
        <v>3.5973934238360948E-2</v>
      </c>
      <c r="AL126" s="37">
        <f t="shared" si="83"/>
        <v>1.4874999999999999E-2</v>
      </c>
      <c r="AM126" s="37">
        <f t="shared" si="84"/>
        <v>0.29622500000000002</v>
      </c>
      <c r="AN126" s="40">
        <f t="shared" si="66"/>
        <v>0.31110000000000004</v>
      </c>
      <c r="AO126" s="39">
        <f t="shared" si="85"/>
        <v>6.8756805175849822E-3</v>
      </c>
      <c r="AP126" s="37">
        <f t="shared" si="86"/>
        <v>3.0375000000000006E-2</v>
      </c>
      <c r="AQ126" s="40">
        <f t="shared" si="87"/>
        <v>5.4000000000000003E-3</v>
      </c>
      <c r="AR126" s="39">
        <f t="shared" si="67"/>
        <v>0.41305689353165453</v>
      </c>
      <c r="AS126" s="37">
        <f t="shared" si="68"/>
        <v>2.0587</v>
      </c>
      <c r="AT126" s="40">
        <f t="shared" si="69"/>
        <v>83.288935307004337</v>
      </c>
    </row>
    <row r="127" spans="17:46" x14ac:dyDescent="0.2">
      <c r="Q127">
        <v>120</v>
      </c>
      <c r="R127" s="39">
        <f t="shared" si="45"/>
        <v>173</v>
      </c>
      <c r="S127" s="37">
        <f t="shared" si="73"/>
        <v>1.1999999999999999E-2</v>
      </c>
      <c r="T127" s="37">
        <f t="shared" si="47"/>
        <v>12</v>
      </c>
      <c r="U127" s="40">
        <f t="shared" si="74"/>
        <v>0.18210526315789471</v>
      </c>
      <c r="V127" s="39">
        <f t="shared" si="75"/>
        <v>1</v>
      </c>
      <c r="W127" s="37">
        <f t="shared" si="76"/>
        <v>0.16380883167074151</v>
      </c>
      <c r="X127" s="40">
        <f t="shared" si="77"/>
        <v>1.0174461594455993E-3</v>
      </c>
      <c r="Y127" s="39">
        <f t="shared" si="78"/>
        <v>1.9657059800488983</v>
      </c>
      <c r="Z127" s="37">
        <f t="shared" si="71"/>
        <v>1.9657059800488983</v>
      </c>
      <c r="AA127" s="37">
        <f t="shared" si="72"/>
        <v>0.46075616745224474</v>
      </c>
      <c r="AB127" s="37">
        <v>0</v>
      </c>
      <c r="AC127" s="37">
        <f t="shared" si="79"/>
        <v>7.430368604584835E-3</v>
      </c>
      <c r="AD127" s="40">
        <f t="shared" si="62"/>
        <v>7.430368604584835E-3</v>
      </c>
      <c r="AE127" s="39">
        <f t="shared" si="70"/>
        <v>2.983045039898766E-2</v>
      </c>
      <c r="AF127" s="37">
        <f t="shared" si="63"/>
        <v>0.45933187913742179</v>
      </c>
      <c r="AG127" s="37">
        <f t="shared" si="80"/>
        <v>2.6584207674181296E-2</v>
      </c>
      <c r="AH127" s="37">
        <f t="shared" si="81"/>
        <v>2.5932032176535232E-2</v>
      </c>
      <c r="AI127" s="40">
        <f t="shared" si="64"/>
        <v>5.2516239850716531E-2</v>
      </c>
      <c r="AJ127" s="39">
        <f t="shared" si="65"/>
        <v>1.8528230061483017E-4</v>
      </c>
      <c r="AK127" s="37">
        <f t="shared" si="82"/>
        <v>3.6200423386556296E-2</v>
      </c>
      <c r="AL127" s="37">
        <f t="shared" si="83"/>
        <v>1.4999999999999998E-2</v>
      </c>
      <c r="AM127" s="37">
        <f t="shared" si="84"/>
        <v>0.29622500000000002</v>
      </c>
      <c r="AN127" s="40">
        <f t="shared" si="66"/>
        <v>0.31122500000000003</v>
      </c>
      <c r="AO127" s="39">
        <f t="shared" si="85"/>
        <v>6.9625305813331975E-3</v>
      </c>
      <c r="AP127" s="37">
        <f t="shared" si="86"/>
        <v>3.0375000000000006E-2</v>
      </c>
      <c r="AQ127" s="40">
        <f t="shared" si="87"/>
        <v>5.4000000000000003E-3</v>
      </c>
      <c r="AR127" s="39">
        <f t="shared" si="67"/>
        <v>0.41390913903663457</v>
      </c>
      <c r="AS127" s="37">
        <f t="shared" si="68"/>
        <v>2.0759999999999996</v>
      </c>
      <c r="AT127" s="40">
        <f t="shared" si="69"/>
        <v>83.376536414626784</v>
      </c>
    </row>
    <row r="128" spans="17:46" x14ac:dyDescent="0.2">
      <c r="Q128">
        <v>121</v>
      </c>
      <c r="R128" s="39">
        <f t="shared" si="45"/>
        <v>173</v>
      </c>
      <c r="S128" s="37">
        <f t="shared" si="73"/>
        <v>1.21E-2</v>
      </c>
      <c r="T128" s="37">
        <f t="shared" si="47"/>
        <v>12</v>
      </c>
      <c r="U128" s="40">
        <f t="shared" si="74"/>
        <v>0.18362280701754391</v>
      </c>
      <c r="V128" s="39">
        <f t="shared" si="75"/>
        <v>1</v>
      </c>
      <c r="W128" s="37">
        <f t="shared" si="76"/>
        <v>0.16448995241182496</v>
      </c>
      <c r="X128" s="40">
        <f t="shared" si="77"/>
        <v>1.0216767230548133E-3</v>
      </c>
      <c r="Y128" s="39">
        <f t="shared" si="78"/>
        <v>1.9738794289418997</v>
      </c>
      <c r="Z128" s="37">
        <f t="shared" si="71"/>
        <v>1.9738794289418997</v>
      </c>
      <c r="AA128" s="37">
        <f t="shared" si="72"/>
        <v>0.46363290415130465</v>
      </c>
      <c r="AB128" s="37">
        <v>0</v>
      </c>
      <c r="AC128" s="37">
        <f t="shared" si="79"/>
        <v>7.5234414434120506E-3</v>
      </c>
      <c r="AD128" s="40">
        <f t="shared" si="62"/>
        <v>7.5234414434120506E-3</v>
      </c>
      <c r="AE128" s="39">
        <f t="shared" si="70"/>
        <v>3.0204106788041515E-2</v>
      </c>
      <c r="AF128" s="37">
        <f t="shared" si="63"/>
        <v>0.46219972327517767</v>
      </c>
      <c r="AG128" s="37">
        <f t="shared" si="80"/>
        <v>2.6917201608652002E-2</v>
      </c>
      <c r="AH128" s="37">
        <f t="shared" si="81"/>
        <v>2.6148132444673036E-2</v>
      </c>
      <c r="AI128" s="40">
        <f t="shared" si="64"/>
        <v>5.3065334053325038E-2</v>
      </c>
      <c r="AJ128" s="39">
        <f t="shared" si="65"/>
        <v>1.8760314775181065E-4</v>
      </c>
      <c r="AK128" s="37">
        <f t="shared" si="82"/>
        <v>3.6426441167400014E-2</v>
      </c>
      <c r="AL128" s="37">
        <f t="shared" si="83"/>
        <v>1.5125E-2</v>
      </c>
      <c r="AM128" s="37">
        <f t="shared" si="84"/>
        <v>0.29622500000000002</v>
      </c>
      <c r="AN128" s="40">
        <f t="shared" si="66"/>
        <v>0.31135000000000002</v>
      </c>
      <c r="AO128" s="39">
        <f t="shared" si="85"/>
        <v>7.0497432784564773E-3</v>
      </c>
      <c r="AP128" s="37">
        <f t="shared" si="86"/>
        <v>3.0375000000000006E-2</v>
      </c>
      <c r="AQ128" s="40">
        <f t="shared" si="87"/>
        <v>5.4000000000000003E-3</v>
      </c>
      <c r="AR128" s="39">
        <f t="shared" si="67"/>
        <v>0.41476351877519357</v>
      </c>
      <c r="AS128" s="37">
        <f t="shared" si="68"/>
        <v>2.0933000000000002</v>
      </c>
      <c r="AT128" s="40">
        <f t="shared" si="69"/>
        <v>83.46279846302528</v>
      </c>
    </row>
    <row r="129" spans="17:46" x14ac:dyDescent="0.2">
      <c r="Q129">
        <v>122</v>
      </c>
      <c r="R129" s="39">
        <f t="shared" si="45"/>
        <v>173</v>
      </c>
      <c r="S129" s="37">
        <f t="shared" si="73"/>
        <v>1.2199999999999999E-2</v>
      </c>
      <c r="T129" s="37">
        <f t="shared" si="47"/>
        <v>12</v>
      </c>
      <c r="U129" s="40">
        <f t="shared" si="74"/>
        <v>0.18514035087719299</v>
      </c>
      <c r="V129" s="39">
        <f t="shared" si="75"/>
        <v>1</v>
      </c>
      <c r="W129" s="37">
        <f t="shared" si="76"/>
        <v>0.16516826437168719</v>
      </c>
      <c r="X129" s="40">
        <f t="shared" si="77"/>
        <v>1.0258898408179327E-3</v>
      </c>
      <c r="Y129" s="39">
        <f t="shared" si="78"/>
        <v>1.9820191724602465</v>
      </c>
      <c r="Z129" s="37">
        <f t="shared" si="71"/>
        <v>1.9820191724602465</v>
      </c>
      <c r="AA129" s="37">
        <f t="shared" si="72"/>
        <v>0.46650370323946527</v>
      </c>
      <c r="AB129" s="37">
        <v>0</v>
      </c>
      <c r="AC129" s="37">
        <f t="shared" si="79"/>
        <v>7.6168996797647288E-3</v>
      </c>
      <c r="AD129" s="40">
        <f t="shared" si="62"/>
        <v>7.6168996797647288E-3</v>
      </c>
      <c r="AE129" s="39">
        <f t="shared" si="70"/>
        <v>3.0579310419551142E-2</v>
      </c>
      <c r="AF129" s="37">
        <f t="shared" si="63"/>
        <v>0.46506164815636214</v>
      </c>
      <c r="AG129" s="37">
        <f t="shared" si="80"/>
        <v>2.7251574409824911E-2</v>
      </c>
      <c r="AH129" s="37">
        <f t="shared" si="81"/>
        <v>2.6364232712810822E-2</v>
      </c>
      <c r="AI129" s="40">
        <f t="shared" si="64"/>
        <v>5.3615807122635736E-2</v>
      </c>
      <c r="AJ129" s="39">
        <f t="shared" si="65"/>
        <v>1.8993360509037972E-4</v>
      </c>
      <c r="AK129" s="37">
        <f t="shared" si="82"/>
        <v>3.6651992445473625E-2</v>
      </c>
      <c r="AL129" s="37">
        <f t="shared" si="83"/>
        <v>1.525E-2</v>
      </c>
      <c r="AM129" s="37">
        <f t="shared" si="84"/>
        <v>0.29622500000000002</v>
      </c>
      <c r="AN129" s="40">
        <f t="shared" si="66"/>
        <v>0.311475</v>
      </c>
      <c r="AO129" s="39">
        <f t="shared" si="85"/>
        <v>7.1373171073350955E-3</v>
      </c>
      <c r="AP129" s="37">
        <f t="shared" si="86"/>
        <v>3.0375000000000006E-2</v>
      </c>
      <c r="AQ129" s="40">
        <f t="shared" si="87"/>
        <v>5.4000000000000003E-3</v>
      </c>
      <c r="AR129" s="39">
        <f t="shared" si="67"/>
        <v>0.41562002390973563</v>
      </c>
      <c r="AS129" s="37">
        <f t="shared" si="68"/>
        <v>2.1105999999999998</v>
      </c>
      <c r="AT129" s="40">
        <f t="shared" si="69"/>
        <v>83.547750394817314</v>
      </c>
    </row>
    <row r="130" spans="17:46" x14ac:dyDescent="0.2">
      <c r="Q130">
        <v>123</v>
      </c>
      <c r="R130" s="39">
        <f t="shared" si="45"/>
        <v>173</v>
      </c>
      <c r="S130" s="37">
        <f t="shared" si="73"/>
        <v>1.2299999999999998E-2</v>
      </c>
      <c r="T130" s="37">
        <f t="shared" si="47"/>
        <v>12</v>
      </c>
      <c r="U130" s="40">
        <f t="shared" si="74"/>
        <v>0.18665789473684213</v>
      </c>
      <c r="V130" s="39">
        <f t="shared" si="75"/>
        <v>1</v>
      </c>
      <c r="W130" s="37">
        <f t="shared" si="76"/>
        <v>0.16584380201462659</v>
      </c>
      <c r="X130" s="40">
        <f t="shared" si="77"/>
        <v>1.0300857267989229E-3</v>
      </c>
      <c r="Y130" s="39">
        <f t="shared" si="78"/>
        <v>1.9901256241755194</v>
      </c>
      <c r="Z130" s="37">
        <f t="shared" si="71"/>
        <v>1.9901256241755194</v>
      </c>
      <c r="AA130" s="37">
        <f t="shared" si="72"/>
        <v>0.46936862549197939</v>
      </c>
      <c r="AB130" s="37">
        <v>0</v>
      </c>
      <c r="AC130" s="37">
        <f t="shared" si="79"/>
        <v>7.7107417308680511E-3</v>
      </c>
      <c r="AD130" s="40">
        <f t="shared" si="62"/>
        <v>7.7107417308680511E-3</v>
      </c>
      <c r="AE130" s="39">
        <f t="shared" si="70"/>
        <v>3.0956054939203857E-2</v>
      </c>
      <c r="AF130" s="37">
        <f t="shared" si="63"/>
        <v>0.46791771436835994</v>
      </c>
      <c r="AG130" s="37">
        <f t="shared" si="80"/>
        <v>2.758732041488347E-2</v>
      </c>
      <c r="AH130" s="37">
        <f t="shared" si="81"/>
        <v>2.6580332980948619E-2</v>
      </c>
      <c r="AI130" s="40">
        <f t="shared" si="64"/>
        <v>5.4167653395832085E-2</v>
      </c>
      <c r="AJ130" s="39">
        <f t="shared" si="65"/>
        <v>1.9227363316275689E-4</v>
      </c>
      <c r="AK130" s="37">
        <f t="shared" si="82"/>
        <v>3.6877081995731961E-2</v>
      </c>
      <c r="AL130" s="37">
        <f t="shared" si="83"/>
        <v>1.5374999999999998E-2</v>
      </c>
      <c r="AM130" s="37">
        <f t="shared" si="84"/>
        <v>0.29622500000000002</v>
      </c>
      <c r="AN130" s="40">
        <f t="shared" si="66"/>
        <v>0.31159999999999999</v>
      </c>
      <c r="AO130" s="39">
        <f t="shared" si="85"/>
        <v>7.2252505848504327E-3</v>
      </c>
      <c r="AP130" s="37">
        <f t="shared" si="86"/>
        <v>3.0375000000000006E-2</v>
      </c>
      <c r="AQ130" s="40">
        <f t="shared" si="87"/>
        <v>5.4000000000000003E-3</v>
      </c>
      <c r="AR130" s="39">
        <f t="shared" si="67"/>
        <v>0.41647864571155052</v>
      </c>
      <c r="AS130" s="37">
        <f t="shared" si="68"/>
        <v>2.1278999999999999</v>
      </c>
      <c r="AT130" s="40">
        <f t="shared" si="69"/>
        <v>83.631420330715756</v>
      </c>
    </row>
    <row r="131" spans="17:46" x14ac:dyDescent="0.2">
      <c r="Q131">
        <v>124</v>
      </c>
      <c r="R131" s="39">
        <f t="shared" si="45"/>
        <v>173</v>
      </c>
      <c r="S131" s="37">
        <f t="shared" si="73"/>
        <v>1.24E-2</v>
      </c>
      <c r="T131" s="37">
        <f t="shared" si="47"/>
        <v>12</v>
      </c>
      <c r="U131" s="40">
        <f t="shared" si="74"/>
        <v>0.18817543859649125</v>
      </c>
      <c r="V131" s="39">
        <f t="shared" si="75"/>
        <v>1</v>
      </c>
      <c r="W131" s="37">
        <f t="shared" si="76"/>
        <v>0.16651659910584823</v>
      </c>
      <c r="X131" s="40">
        <f t="shared" si="77"/>
        <v>1.0342645907195542E-3</v>
      </c>
      <c r="Y131" s="39">
        <f t="shared" si="78"/>
        <v>1.9981991892701789</v>
      </c>
      <c r="Z131" s="37">
        <f t="shared" si="71"/>
        <v>1.9981991892701789</v>
      </c>
      <c r="AA131" s="37">
        <f t="shared" si="72"/>
        <v>0.47222773057345113</v>
      </c>
      <c r="AB131" s="37">
        <v>0</v>
      </c>
      <c r="AC131" s="37">
        <f t="shared" si="79"/>
        <v>7.8049660332893192E-3</v>
      </c>
      <c r="AD131" s="40">
        <f t="shared" si="62"/>
        <v>7.8049660332893192E-3</v>
      </c>
      <c r="AE131" s="39">
        <f t="shared" si="70"/>
        <v>3.1334334070339094E-2</v>
      </c>
      <c r="AF131" s="37">
        <f t="shared" si="63"/>
        <v>0.47076798139133991</v>
      </c>
      <c r="AG131" s="37">
        <f t="shared" si="80"/>
        <v>2.7924434030212896E-2</v>
      </c>
      <c r="AH131" s="37">
        <f t="shared" si="81"/>
        <v>2.6796433249086416E-2</v>
      </c>
      <c r="AI131" s="40">
        <f t="shared" si="64"/>
        <v>5.4720867279299312E-2</v>
      </c>
      <c r="AJ131" s="39">
        <f t="shared" si="65"/>
        <v>1.9462319298347262E-4</v>
      </c>
      <c r="AK131" s="37">
        <f t="shared" si="82"/>
        <v>3.7101714505869028E-2</v>
      </c>
      <c r="AL131" s="37">
        <f t="shared" si="83"/>
        <v>1.55E-2</v>
      </c>
      <c r="AM131" s="37">
        <f t="shared" si="84"/>
        <v>0.29622500000000002</v>
      </c>
      <c r="AN131" s="40">
        <f t="shared" si="66"/>
        <v>0.31172500000000003</v>
      </c>
      <c r="AO131" s="39">
        <f t="shared" si="85"/>
        <v>7.3135422460081402E-3</v>
      </c>
      <c r="AP131" s="37">
        <f t="shared" si="86"/>
        <v>3.0375000000000006E-2</v>
      </c>
      <c r="AQ131" s="40">
        <f t="shared" si="87"/>
        <v>5.4000000000000003E-3</v>
      </c>
      <c r="AR131" s="39">
        <f t="shared" si="67"/>
        <v>0.41733937555859685</v>
      </c>
      <c r="AS131" s="37">
        <f t="shared" si="68"/>
        <v>2.1452</v>
      </c>
      <c r="AT131" s="40">
        <f t="shared" si="69"/>
        <v>83.713835598423813</v>
      </c>
    </row>
    <row r="132" spans="17:46" x14ac:dyDescent="0.2">
      <c r="Q132">
        <v>125</v>
      </c>
      <c r="R132" s="39">
        <f t="shared" si="45"/>
        <v>173</v>
      </c>
      <c r="S132" s="37">
        <f t="shared" si="73"/>
        <v>1.2499999999999999E-2</v>
      </c>
      <c r="T132" s="37">
        <f t="shared" si="47"/>
        <v>12</v>
      </c>
      <c r="U132" s="40">
        <f t="shared" si="74"/>
        <v>0.18969298245614033</v>
      </c>
      <c r="V132" s="39">
        <f t="shared" si="75"/>
        <v>1</v>
      </c>
      <c r="W132" s="37">
        <f t="shared" si="76"/>
        <v>0.16718668873115733</v>
      </c>
      <c r="X132" s="40">
        <f t="shared" si="77"/>
        <v>1.0384266380817223E-3</v>
      </c>
      <c r="Y132" s="39">
        <f t="shared" si="78"/>
        <v>2.0062402647738886</v>
      </c>
      <c r="Z132" s="37">
        <f t="shared" si="71"/>
        <v>2.0062402647738886</v>
      </c>
      <c r="AA132" s="37">
        <f t="shared" si="72"/>
        <v>0.47508107706691766</v>
      </c>
      <c r="AB132" s="37">
        <v>0</v>
      </c>
      <c r="AC132" s="37">
        <f t="shared" si="79"/>
        <v>7.8995710425471908E-3</v>
      </c>
      <c r="AD132" s="40">
        <f t="shared" si="62"/>
        <v>7.8995710425471908E-3</v>
      </c>
      <c r="AE132" s="39">
        <f t="shared" si="70"/>
        <v>3.171414161237962E-2</v>
      </c>
      <c r="AF132" s="37">
        <f t="shared" si="63"/>
        <v>0.47361250762724744</v>
      </c>
      <c r="AG132" s="37">
        <f t="shared" si="80"/>
        <v>2.8262909730002159E-2</v>
      </c>
      <c r="AH132" s="37">
        <f t="shared" si="81"/>
        <v>2.7012533517224196E-2</v>
      </c>
      <c r="AI132" s="40">
        <f t="shared" si="64"/>
        <v>5.5275443247226358E-2</v>
      </c>
      <c r="AJ132" s="39">
        <f t="shared" si="65"/>
        <v>1.9698224603962493E-4</v>
      </c>
      <c r="AK132" s="37">
        <f t="shared" si="82"/>
        <v>3.7325894578602914E-2</v>
      </c>
      <c r="AL132" s="37">
        <f t="shared" si="83"/>
        <v>1.5624999999999998E-2</v>
      </c>
      <c r="AM132" s="37">
        <f t="shared" si="84"/>
        <v>0.29622500000000002</v>
      </c>
      <c r="AN132" s="40">
        <f t="shared" si="66"/>
        <v>0.31185000000000002</v>
      </c>
      <c r="AO132" s="39">
        <f t="shared" si="85"/>
        <v>7.4021906435719938E-3</v>
      </c>
      <c r="AP132" s="37">
        <f t="shared" si="86"/>
        <v>3.0375000000000006E-2</v>
      </c>
      <c r="AQ132" s="40">
        <f t="shared" si="87"/>
        <v>5.4000000000000003E-3</v>
      </c>
      <c r="AR132" s="39">
        <f t="shared" si="67"/>
        <v>0.41820220493334553</v>
      </c>
      <c r="AS132" s="37">
        <f t="shared" si="68"/>
        <v>2.1624999999999996</v>
      </c>
      <c r="AT132" s="40">
        <f t="shared" si="69"/>
        <v>83.79502276032089</v>
      </c>
    </row>
    <row r="133" spans="17:46" x14ac:dyDescent="0.2">
      <c r="Q133">
        <v>126</v>
      </c>
      <c r="R133" s="39">
        <f t="shared" si="45"/>
        <v>173</v>
      </c>
      <c r="S133" s="37">
        <f t="shared" si="73"/>
        <v>1.2599999999999998E-2</v>
      </c>
      <c r="T133" s="37">
        <f t="shared" si="47"/>
        <v>12</v>
      </c>
      <c r="U133" s="40">
        <f t="shared" si="74"/>
        <v>0.19121052631578947</v>
      </c>
      <c r="V133" s="39">
        <f t="shared" si="75"/>
        <v>1</v>
      </c>
      <c r="W133" s="37">
        <f t="shared" si="76"/>
        <v>0.16785410331594516</v>
      </c>
      <c r="X133" s="40">
        <f t="shared" si="77"/>
        <v>1.0425720702853735E-3</v>
      </c>
      <c r="Y133" s="39">
        <f t="shared" si="78"/>
        <v>2.0142492397913423</v>
      </c>
      <c r="Z133" s="37">
        <f t="shared" si="71"/>
        <v>2.0142492397913423</v>
      </c>
      <c r="AA133" s="37">
        <f t="shared" si="72"/>
        <v>0.4779287225019419</v>
      </c>
      <c r="AB133" s="37">
        <v>0</v>
      </c>
      <c r="AC133" s="37">
        <f t="shared" si="79"/>
        <v>7.9945552327318377E-3</v>
      </c>
      <c r="AD133" s="40">
        <f t="shared" si="62"/>
        <v>7.9945552327318377E-3</v>
      </c>
      <c r="AE133" s="39">
        <f t="shared" si="70"/>
        <v>3.2095471439306779E-2</v>
      </c>
      <c r="AF133" s="37">
        <f t="shared" si="63"/>
        <v>0.4764513504278105</v>
      </c>
      <c r="AG133" s="37">
        <f t="shared" si="80"/>
        <v>2.8602742054885021E-2</v>
      </c>
      <c r="AH133" s="37">
        <f t="shared" si="81"/>
        <v>2.7228633785362E-2</v>
      </c>
      <c r="AI133" s="40">
        <f t="shared" si="64"/>
        <v>5.583137584024702E-2</v>
      </c>
      <c r="AJ133" s="39">
        <f t="shared" si="65"/>
        <v>1.9935075428140851E-4</v>
      </c>
      <c r="AK133" s="37">
        <f t="shared" si="82"/>
        <v>3.7549626733882985E-2</v>
      </c>
      <c r="AL133" s="37">
        <f t="shared" si="83"/>
        <v>1.5749999999999997E-2</v>
      </c>
      <c r="AM133" s="37">
        <f t="shared" si="84"/>
        <v>0.29622500000000002</v>
      </c>
      <c r="AN133" s="40">
        <f t="shared" si="66"/>
        <v>0.311975</v>
      </c>
      <c r="AO133" s="39">
        <f t="shared" si="85"/>
        <v>7.4911943477079818E-3</v>
      </c>
      <c r="AP133" s="37">
        <f t="shared" si="86"/>
        <v>3.0375000000000006E-2</v>
      </c>
      <c r="AQ133" s="40">
        <f t="shared" si="87"/>
        <v>5.4000000000000003E-3</v>
      </c>
      <c r="AR133" s="39">
        <f t="shared" si="67"/>
        <v>0.41906712542068686</v>
      </c>
      <c r="AS133" s="37">
        <f t="shared" si="68"/>
        <v>2.1797999999999997</v>
      </c>
      <c r="AT133" s="40">
        <f t="shared" si="69"/>
        <v>83.875007639998103</v>
      </c>
    </row>
    <row r="134" spans="17:46" x14ac:dyDescent="0.2">
      <c r="Q134">
        <v>127</v>
      </c>
      <c r="R134" s="39">
        <f t="shared" si="45"/>
        <v>173</v>
      </c>
      <c r="S134" s="37">
        <f t="shared" si="73"/>
        <v>1.2699999999999999E-2</v>
      </c>
      <c r="T134" s="37">
        <f t="shared" si="47"/>
        <v>12</v>
      </c>
      <c r="U134" s="40">
        <f t="shared" si="74"/>
        <v>0.19272807017543861</v>
      </c>
      <c r="V134" s="39">
        <f t="shared" si="75"/>
        <v>1</v>
      </c>
      <c r="W134" s="37">
        <f t="shared" si="76"/>
        <v>0.16851887464349835</v>
      </c>
      <c r="X134" s="40">
        <f t="shared" si="77"/>
        <v>1.0467010847422257E-3</v>
      </c>
      <c r="Y134" s="39">
        <f t="shared" si="78"/>
        <v>2.0222264957219807</v>
      </c>
      <c r="Z134" s="37">
        <f t="shared" si="71"/>
        <v>2.0222264957219807</v>
      </c>
      <c r="AA134" s="37">
        <f t="shared" si="72"/>
        <v>0.48077072338176174</v>
      </c>
      <c r="AB134" s="37">
        <v>0</v>
      </c>
      <c r="AC134" s="37">
        <f t="shared" si="79"/>
        <v>8.0899170961357871E-3</v>
      </c>
      <c r="AD134" s="40">
        <f t="shared" si="62"/>
        <v>8.0899170961357871E-3</v>
      </c>
      <c r="AE134" s="39">
        <f t="shared" si="70"/>
        <v>3.2478317498178096E-2</v>
      </c>
      <c r="AF134" s="37">
        <f t="shared" si="63"/>
        <v>0.47928456612160397</v>
      </c>
      <c r="AG134" s="37">
        <f t="shared" si="80"/>
        <v>2.8943925610619148E-2</v>
      </c>
      <c r="AH134" s="37">
        <f t="shared" si="81"/>
        <v>2.7444734053499793E-2</v>
      </c>
      <c r="AI134" s="40">
        <f t="shared" si="64"/>
        <v>5.6388659664118941E-2</v>
      </c>
      <c r="AJ134" s="39">
        <f t="shared" si="65"/>
        <v>2.017286801129074E-4</v>
      </c>
      <c r="AK134" s="37">
        <f t="shared" si="82"/>
        <v>3.7772915411022838E-2</v>
      </c>
      <c r="AL134" s="37">
        <f t="shared" si="83"/>
        <v>1.5875E-2</v>
      </c>
      <c r="AM134" s="37">
        <f t="shared" si="84"/>
        <v>0.29622500000000002</v>
      </c>
      <c r="AN134" s="40">
        <f t="shared" si="66"/>
        <v>0.31210000000000004</v>
      </c>
      <c r="AO134" s="39">
        <f t="shared" si="85"/>
        <v>7.5805519456383485E-3</v>
      </c>
      <c r="AP134" s="37">
        <f t="shared" si="86"/>
        <v>3.0375000000000006E-2</v>
      </c>
      <c r="AQ134" s="40">
        <f t="shared" si="87"/>
        <v>5.4000000000000003E-3</v>
      </c>
      <c r="AR134" s="39">
        <f t="shared" si="67"/>
        <v>0.41993412870589308</v>
      </c>
      <c r="AS134" s="37">
        <f t="shared" si="68"/>
        <v>2.1970999999999998</v>
      </c>
      <c r="AT134" s="40">
        <f t="shared" si="69"/>
        <v>83.953815347698651</v>
      </c>
    </row>
    <row r="135" spans="17:46" x14ac:dyDescent="0.2">
      <c r="Q135">
        <v>128</v>
      </c>
      <c r="R135" s="39">
        <f t="shared" ref="R135:R157" si="88">VOUT</f>
        <v>173</v>
      </c>
      <c r="S135" s="37">
        <f t="shared" ref="S135:S157" si="89">Q135*$O$12</f>
        <v>1.2799999999999999E-2</v>
      </c>
      <c r="T135" s="37">
        <f t="shared" ref="T135:T157" si="90">VIN_var</f>
        <v>12</v>
      </c>
      <c r="U135" s="40">
        <f t="shared" ref="U135:U157" si="91">(R135*S135)/(T135*EFF_est)</f>
        <v>0.19424561403508775</v>
      </c>
      <c r="V135" s="39">
        <f t="shared" ref="V135:V157" si="92">IF((S135*R135/T135)&lt;((T135*(1-(T135/R135)))/(2*Lm*Fsw)),1,2)</f>
        <v>1</v>
      </c>
      <c r="W135" s="37">
        <f t="shared" ref="W135:W157" si="93">CHOOSE(V135,SQRT((2*S135*Lm*Fsw*(R135-T135))/((T135)^2)),1-(T135/R135))</f>
        <v>0.16918103387266029</v>
      </c>
      <c r="X135" s="40">
        <f t="shared" ref="X135:X157" si="94">CHOOSE(V135,(Lm*W135*Fsw)/(R135-T135),1-W135)</f>
        <v>1.0508138749854674E-3</v>
      </c>
      <c r="Y135" s="39">
        <f t="shared" ref="Y135:Y157" si="95">(T135*W135)/(Lm*Fsw)</f>
        <v>2.030172406471924</v>
      </c>
      <c r="Z135" s="37">
        <f t="shared" si="71"/>
        <v>2.030172406471924</v>
      </c>
      <c r="AA135" s="37">
        <f t="shared" si="72"/>
        <v>0.48360713520952703</v>
      </c>
      <c r="AB135" s="37">
        <v>0</v>
      </c>
      <c r="AC135" s="37">
        <f t="shared" ref="AC135:AC157" si="96">(AA135^2)*Rdcr</f>
        <v>8.1856551428948019E-3</v>
      </c>
      <c r="AD135" s="40">
        <f t="shared" si="62"/>
        <v>8.1856551428948019E-3</v>
      </c>
      <c r="AE135" s="39">
        <f t="shared" si="70"/>
        <v>3.2862673807685878E-2</v>
      </c>
      <c r="AF135" s="37">
        <f t="shared" si="63"/>
        <v>0.48211221004020666</v>
      </c>
      <c r="AG135" s="37">
        <f t="shared" ref="AG135:AG157" si="97">(AF135^2)*RDS_on</f>
        <v>2.9286455066801394E-2</v>
      </c>
      <c r="AH135" s="37">
        <f t="shared" ref="AH135:AH157" si="98">((R135*U135)/2)*Fsw*(tr_sw+tf_sw)</f>
        <v>2.7660834321637587E-2</v>
      </c>
      <c r="AI135" s="40">
        <f t="shared" si="64"/>
        <v>5.6947289388438981E-2</v>
      </c>
      <c r="AJ135" s="39">
        <f t="shared" si="65"/>
        <v>2.0411598638314204E-4</v>
      </c>
      <c r="AK135" s="37">
        <f t="shared" ref="AK135:AK157" si="99">CHOOSE(V135,Z135*SQRT(X135/3),SQRT(X135*((Z135^2)+((Y135^2)/3)-(Y135*Z135))))</f>
        <v>3.7995764970761785E-2</v>
      </c>
      <c r="AL135" s="37">
        <f t="shared" ref="AL135:AL157" si="100">S135*Vd_rect</f>
        <v>1.6E-2</v>
      </c>
      <c r="AM135" s="37">
        <f t="shared" ref="AM135:AM157" si="101">CHOOSE(V135,(R135+Vd_rect)*Qrr*Fsw,(R135+Vd_rect)*Qrr*Fsw)</f>
        <v>0.29622500000000002</v>
      </c>
      <c r="AN135" s="40">
        <f t="shared" si="66"/>
        <v>0.31222500000000003</v>
      </c>
      <c r="AO135" s="39">
        <f t="shared" ref="AO135:AO157" si="102">(AF135^2)*R_cs</f>
        <v>7.6702620413051275E-3</v>
      </c>
      <c r="AP135" s="37">
        <f t="shared" ref="AP135:AP157" si="103">Qg_tot*Vcc*Fsw</f>
        <v>3.0375000000000006E-2</v>
      </c>
      <c r="AQ135" s="40">
        <f t="shared" ref="AQ135:AQ157" si="104">IQ*T135</f>
        <v>5.4000000000000003E-3</v>
      </c>
      <c r="AR135" s="39">
        <f t="shared" si="67"/>
        <v>0.42080320657263892</v>
      </c>
      <c r="AS135" s="37">
        <f t="shared" si="68"/>
        <v>2.2143999999999999</v>
      </c>
      <c r="AT135" s="40">
        <f t="shared" si="69"/>
        <v>84.031470304715597</v>
      </c>
    </row>
    <row r="136" spans="17:46" x14ac:dyDescent="0.2">
      <c r="Q136">
        <v>129</v>
      </c>
      <c r="R136" s="39">
        <f t="shared" si="88"/>
        <v>173</v>
      </c>
      <c r="S136" s="37">
        <f t="shared" si="89"/>
        <v>1.2899999999999998E-2</v>
      </c>
      <c r="T136" s="37">
        <f t="shared" si="90"/>
        <v>12</v>
      </c>
      <c r="U136" s="40">
        <f t="shared" si="91"/>
        <v>0.19576315789473683</v>
      </c>
      <c r="V136" s="39">
        <f t="shared" si="92"/>
        <v>1</v>
      </c>
      <c r="W136" s="37">
        <f t="shared" si="93"/>
        <v>0.16984061155487321</v>
      </c>
      <c r="X136" s="40">
        <f t="shared" si="94"/>
        <v>1.0549106307756097E-3</v>
      </c>
      <c r="Y136" s="39">
        <f t="shared" si="95"/>
        <v>2.038087338658479</v>
      </c>
      <c r="Z136" s="37">
        <f t="shared" si="71"/>
        <v>2.038087338658479</v>
      </c>
      <c r="AA136" s="37">
        <f t="shared" si="72"/>
        <v>0.48643801251367008</v>
      </c>
      <c r="AB136" s="37">
        <v>0</v>
      </c>
      <c r="AC136" s="37">
        <f t="shared" si="96"/>
        <v>8.2817679006387326E-3</v>
      </c>
      <c r="AD136" s="40">
        <f t="shared" ref="AD136:AD157" si="105">AB136+AC136</f>
        <v>8.2817679006387326E-3</v>
      </c>
      <c r="AE136" s="39">
        <f t="shared" si="70"/>
        <v>3.324853445675531E-2</v>
      </c>
      <c r="AF136" s="37">
        <f t="shared" ref="AF136:AF157" si="106">CHOOSE(V136,Z136*SQRT(W136/3),SQRT(W136*((Z136^2)+((Y136^2)/3)-(Z136*Y136))))</f>
        <v>0.48493433654349283</v>
      </c>
      <c r="AG136" s="37">
        <f t="shared" si="97"/>
        <v>2.9630325155618573E-2</v>
      </c>
      <c r="AH136" s="37">
        <f t="shared" si="98"/>
        <v>2.7876934589775377E-2</v>
      </c>
      <c r="AI136" s="40">
        <f t="shared" ref="AI136:AI157" si="107">AG136+AH136</f>
        <v>5.7507259745393946E-2</v>
      </c>
      <c r="AJ136" s="39">
        <f t="shared" ref="AJ136:AJ156" si="108">X136*U136</f>
        <v>2.0651263637736211E-4</v>
      </c>
      <c r="AK136" s="37">
        <f t="shared" si="99"/>
        <v>3.8218179697258083E-2</v>
      </c>
      <c r="AL136" s="37">
        <f t="shared" si="100"/>
        <v>1.6124999999999997E-2</v>
      </c>
      <c r="AM136" s="37">
        <f t="shared" si="101"/>
        <v>0.29622500000000002</v>
      </c>
      <c r="AN136" s="40">
        <f t="shared" ref="AN136:AN157" si="109">AL136+AM136</f>
        <v>0.31235000000000002</v>
      </c>
      <c r="AO136" s="39">
        <f t="shared" si="102"/>
        <v>7.7603232550429594E-3</v>
      </c>
      <c r="AP136" s="37">
        <f t="shared" si="103"/>
        <v>3.0375000000000006E-2</v>
      </c>
      <c r="AQ136" s="40">
        <f t="shared" si="104"/>
        <v>5.4000000000000003E-3</v>
      </c>
      <c r="AR136" s="39">
        <f t="shared" ref="AR136:AR157" si="110">AO136+AN136+AI136+AD136+AP136+AQ136</f>
        <v>0.42167435090107563</v>
      </c>
      <c r="AS136" s="37">
        <f t="shared" ref="AS136:AS157" si="111">R136*S136</f>
        <v>2.2316999999999996</v>
      </c>
      <c r="AT136" s="40">
        <f t="shared" ref="AT136:AT156" si="112">(AS136/(AS136+AR136))*100</f>
        <v>84.107996266796022</v>
      </c>
    </row>
    <row r="137" spans="17:46" x14ac:dyDescent="0.2">
      <c r="Q137">
        <v>130</v>
      </c>
      <c r="R137" s="39">
        <f t="shared" si="88"/>
        <v>173</v>
      </c>
      <c r="S137" s="37">
        <f t="shared" si="89"/>
        <v>1.2999999999999999E-2</v>
      </c>
      <c r="T137" s="37">
        <f t="shared" si="90"/>
        <v>12</v>
      </c>
      <c r="U137" s="40">
        <f t="shared" si="91"/>
        <v>0.197280701754386</v>
      </c>
      <c r="V137" s="39">
        <f t="shared" si="92"/>
        <v>1</v>
      </c>
      <c r="W137" s="37">
        <f t="shared" si="93"/>
        <v>0.17049763765062681</v>
      </c>
      <c r="X137" s="40">
        <f t="shared" si="94"/>
        <v>1.0589915382026511E-3</v>
      </c>
      <c r="Y137" s="39">
        <f t="shared" si="95"/>
        <v>2.0459716518075219</v>
      </c>
      <c r="Z137" s="37">
        <f t="shared" si="71"/>
        <v>2.0459716518075219</v>
      </c>
      <c r="AA137" s="37">
        <f t="shared" si="72"/>
        <v>0.48926340887243963</v>
      </c>
      <c r="AB137" s="37">
        <v>0</v>
      </c>
      <c r="AC137" s="37">
        <f t="shared" si="96"/>
        <v>8.3782539141518016E-3</v>
      </c>
      <c r="AD137" s="40">
        <f t="shared" si="105"/>
        <v>8.3782539141518016E-3</v>
      </c>
      <c r="AE137" s="39">
        <f t="shared" ref="AE137:AE157" si="113">U137*W137</f>
        <v>3.3635893603180679E-2</v>
      </c>
      <c r="AF137" s="37">
        <f t="shared" si="106"/>
        <v>0.48775099904409008</v>
      </c>
      <c r="AG137" s="37">
        <f t="shared" si="97"/>
        <v>2.9975530670632002E-2</v>
      </c>
      <c r="AH137" s="37">
        <f t="shared" si="98"/>
        <v>2.8093034857913181E-2</v>
      </c>
      <c r="AI137" s="40">
        <f t="shared" si="107"/>
        <v>5.8068565528545182E-2</v>
      </c>
      <c r="AJ137" s="39">
        <f t="shared" si="108"/>
        <v>2.0891859380857568E-4</v>
      </c>
      <c r="AK137" s="37">
        <f t="shared" si="99"/>
        <v>3.8440163800016504E-2</v>
      </c>
      <c r="AL137" s="37">
        <f t="shared" si="100"/>
        <v>1.6250000000000001E-2</v>
      </c>
      <c r="AM137" s="37">
        <f t="shared" si="101"/>
        <v>0.29622500000000002</v>
      </c>
      <c r="AN137" s="40">
        <f t="shared" si="109"/>
        <v>0.312475</v>
      </c>
      <c r="AO137" s="39">
        <f t="shared" si="102"/>
        <v>7.8507342232607639E-3</v>
      </c>
      <c r="AP137" s="37">
        <f t="shared" si="103"/>
        <v>3.0375000000000006E-2</v>
      </c>
      <c r="AQ137" s="40">
        <f t="shared" si="104"/>
        <v>5.4000000000000003E-3</v>
      </c>
      <c r="AR137" s="39">
        <f t="shared" si="110"/>
        <v>0.42254755366595775</v>
      </c>
      <c r="AS137" s="37">
        <f t="shared" si="111"/>
        <v>2.2490000000000001</v>
      </c>
      <c r="AT137" s="40">
        <f t="shared" si="112"/>
        <v>84.183416346599245</v>
      </c>
    </row>
    <row r="138" spans="17:46" x14ac:dyDescent="0.2">
      <c r="Q138">
        <v>131</v>
      </c>
      <c r="R138" s="39">
        <f t="shared" si="88"/>
        <v>173</v>
      </c>
      <c r="S138" s="37">
        <f t="shared" si="89"/>
        <v>1.3099999999999999E-2</v>
      </c>
      <c r="T138" s="37">
        <f t="shared" si="90"/>
        <v>12</v>
      </c>
      <c r="U138" s="40">
        <f t="shared" si="91"/>
        <v>0.19879824561403509</v>
      </c>
      <c r="V138" s="39">
        <f t="shared" si="92"/>
        <v>1</v>
      </c>
      <c r="W138" s="37">
        <f t="shared" si="93"/>
        <v>0.17115214154533839</v>
      </c>
      <c r="X138" s="40">
        <f t="shared" si="94"/>
        <v>1.0630567797847105E-3</v>
      </c>
      <c r="Y138" s="39">
        <f t="shared" si="95"/>
        <v>2.0538256985440611</v>
      </c>
      <c r="Z138" s="37">
        <f t="shared" si="71"/>
        <v>2.0538256985440611</v>
      </c>
      <c r="AA138" s="37">
        <f t="shared" si="72"/>
        <v>0.49208337693763315</v>
      </c>
      <c r="AB138" s="37">
        <v>0</v>
      </c>
      <c r="AC138" s="37">
        <f t="shared" si="96"/>
        <v>8.4751117450420667E-3</v>
      </c>
      <c r="AD138" s="40">
        <f t="shared" si="105"/>
        <v>8.4751117450420667E-3</v>
      </c>
      <c r="AE138" s="39">
        <f t="shared" si="113"/>
        <v>3.4024745472298279E-2</v>
      </c>
      <c r="AF138" s="37">
        <f t="shared" si="106"/>
        <v>0.49056225003103887</v>
      </c>
      <c r="AG138" s="37">
        <f t="shared" si="97"/>
        <v>3.0322066465594953E-2</v>
      </c>
      <c r="AH138" s="37">
        <f t="shared" si="98"/>
        <v>2.8309135126050964E-2</v>
      </c>
      <c r="AI138" s="40">
        <f t="shared" si="107"/>
        <v>5.8631201591645921E-2</v>
      </c>
      <c r="AJ138" s="39">
        <f t="shared" si="108"/>
        <v>2.1133382280930609E-4</v>
      </c>
      <c r="AK138" s="37">
        <f t="shared" si="99"/>
        <v>3.8661721415752928E-2</v>
      </c>
      <c r="AL138" s="37">
        <f t="shared" si="100"/>
        <v>1.6374999999999997E-2</v>
      </c>
      <c r="AM138" s="37">
        <f t="shared" si="101"/>
        <v>0.29622500000000002</v>
      </c>
      <c r="AN138" s="40">
        <f t="shared" si="109"/>
        <v>0.31259999999999999</v>
      </c>
      <c r="AO138" s="39">
        <f t="shared" si="102"/>
        <v>7.9414935981320118E-3</v>
      </c>
      <c r="AP138" s="37">
        <f t="shared" si="103"/>
        <v>3.0375000000000006E-2</v>
      </c>
      <c r="AQ138" s="40">
        <f t="shared" si="104"/>
        <v>5.4000000000000003E-3</v>
      </c>
      <c r="AR138" s="39">
        <f t="shared" si="110"/>
        <v>0.42342280693481998</v>
      </c>
      <c r="AS138" s="37">
        <f t="shared" si="111"/>
        <v>2.2662999999999998</v>
      </c>
      <c r="AT138" s="40">
        <f t="shared" si="112"/>
        <v>84.257753035252421</v>
      </c>
    </row>
    <row r="139" spans="17:46" x14ac:dyDescent="0.2">
      <c r="Q139">
        <v>132</v>
      </c>
      <c r="R139" s="39">
        <f t="shared" si="88"/>
        <v>173</v>
      </c>
      <c r="S139" s="37">
        <f t="shared" si="89"/>
        <v>1.3199999999999998E-2</v>
      </c>
      <c r="T139" s="37">
        <f t="shared" si="90"/>
        <v>12</v>
      </c>
      <c r="U139" s="40">
        <f t="shared" si="91"/>
        <v>0.20031578947368422</v>
      </c>
      <c r="V139" s="39">
        <f t="shared" si="92"/>
        <v>1</v>
      </c>
      <c r="W139" s="37">
        <f t="shared" si="93"/>
        <v>0.17180415206468866</v>
      </c>
      <c r="X139" s="40">
        <f t="shared" si="94"/>
        <v>1.0671065345632834E-3</v>
      </c>
      <c r="Y139" s="39">
        <f t="shared" si="95"/>
        <v>2.0616498247762642</v>
      </c>
      <c r="Z139" s="37">
        <f t="shared" si="71"/>
        <v>2.0616498247762642</v>
      </c>
      <c r="AA139" s="37">
        <f t="shared" si="72"/>
        <v>0.49489796845756023</v>
      </c>
      <c r="AB139" s="37">
        <v>0</v>
      </c>
      <c r="AC139" s="37">
        <f t="shared" si="96"/>
        <v>8.5723399714197103E-3</v>
      </c>
      <c r="AD139" s="40">
        <f t="shared" si="105"/>
        <v>8.5723399714197103E-3</v>
      </c>
      <c r="AE139" s="39">
        <f t="shared" si="113"/>
        <v>3.4415084355695007E-2</v>
      </c>
      <c r="AF139" s="37">
        <f t="shared" si="106"/>
        <v>0.49336814109268445</v>
      </c>
      <c r="AG139" s="37">
        <f t="shared" si="97"/>
        <v>3.0669927453301625E-2</v>
      </c>
      <c r="AH139" s="37">
        <f t="shared" si="98"/>
        <v>2.8525235394188764E-2</v>
      </c>
      <c r="AI139" s="40">
        <f t="shared" si="107"/>
        <v>5.9195162847490393E-2</v>
      </c>
      <c r="AJ139" s="39">
        <f t="shared" si="108"/>
        <v>2.1375828792357141E-4</v>
      </c>
      <c r="AK139" s="37">
        <f t="shared" si="99"/>
        <v>3.8882856610198538E-2</v>
      </c>
      <c r="AL139" s="37">
        <f t="shared" si="100"/>
        <v>1.6499999999999997E-2</v>
      </c>
      <c r="AM139" s="37">
        <f t="shared" si="101"/>
        <v>0.29622500000000002</v>
      </c>
      <c r="AN139" s="40">
        <f t="shared" si="109"/>
        <v>0.31272500000000003</v>
      </c>
      <c r="AO139" s="39">
        <f t="shared" si="102"/>
        <v>8.032600047293283E-3</v>
      </c>
      <c r="AP139" s="37">
        <f t="shared" si="103"/>
        <v>3.0375000000000006E-2</v>
      </c>
      <c r="AQ139" s="40">
        <f t="shared" si="104"/>
        <v>5.4000000000000003E-3</v>
      </c>
      <c r="AR139" s="39">
        <f t="shared" si="110"/>
        <v>0.4243001028662034</v>
      </c>
      <c r="AS139" s="37">
        <f t="shared" si="111"/>
        <v>2.2835999999999999</v>
      </c>
      <c r="AT139" s="40">
        <f t="shared" si="112"/>
        <v>84.331028223046388</v>
      </c>
    </row>
    <row r="140" spans="17:46" x14ac:dyDescent="0.2">
      <c r="Q140">
        <v>133</v>
      </c>
      <c r="R140" s="39">
        <f t="shared" si="88"/>
        <v>173</v>
      </c>
      <c r="S140" s="37">
        <f t="shared" si="89"/>
        <v>1.3299999999999999E-2</v>
      </c>
      <c r="T140" s="37">
        <f t="shared" si="90"/>
        <v>12</v>
      </c>
      <c r="U140" s="40">
        <f t="shared" si="91"/>
        <v>0.20183333333333336</v>
      </c>
      <c r="V140" s="39">
        <f t="shared" si="92"/>
        <v>1</v>
      </c>
      <c r="W140" s="37">
        <f t="shared" si="93"/>
        <v>0.17245369748943562</v>
      </c>
      <c r="X140" s="40">
        <f t="shared" si="94"/>
        <v>1.0711409781952524E-3</v>
      </c>
      <c r="Y140" s="39">
        <f t="shared" si="95"/>
        <v>2.0694443698732279</v>
      </c>
      <c r="Z140" s="37">
        <f t="shared" si="71"/>
        <v>2.0694443698732279</v>
      </c>
      <c r="AA140" s="37">
        <f t="shared" si="72"/>
        <v>0.49770723429926694</v>
      </c>
      <c r="AB140" s="37">
        <v>0</v>
      </c>
      <c r="AC140" s="37">
        <f t="shared" si="96"/>
        <v>8.6699371875838902E-3</v>
      </c>
      <c r="AD140" s="40">
        <f t="shared" si="105"/>
        <v>8.6699371875838902E-3</v>
      </c>
      <c r="AE140" s="39">
        <f t="shared" si="113"/>
        <v>3.4806904609951096E-2</v>
      </c>
      <c r="AF140" s="37">
        <f t="shared" si="106"/>
        <v>0.49616872293883296</v>
      </c>
      <c r="AG140" s="37">
        <f t="shared" si="97"/>
        <v>3.10191086044668E-2</v>
      </c>
      <c r="AH140" s="37">
        <f t="shared" si="98"/>
        <v>2.8741335662326558E-2</v>
      </c>
      <c r="AI140" s="40">
        <f t="shared" si="107"/>
        <v>5.9760444266793361E-2</v>
      </c>
      <c r="AJ140" s="39">
        <f t="shared" si="108"/>
        <v>2.1619195409907513E-4</v>
      </c>
      <c r="AK140" s="37">
        <f t="shared" si="99"/>
        <v>3.9103573379845942E-2</v>
      </c>
      <c r="AL140" s="37">
        <f t="shared" si="100"/>
        <v>1.6625000000000001E-2</v>
      </c>
      <c r="AM140" s="37">
        <f t="shared" si="101"/>
        <v>0.29622500000000002</v>
      </c>
      <c r="AN140" s="40">
        <f t="shared" si="109"/>
        <v>0.31285000000000002</v>
      </c>
      <c r="AO140" s="39">
        <f t="shared" si="102"/>
        <v>8.1240522535508293E-3</v>
      </c>
      <c r="AP140" s="37">
        <f t="shared" si="103"/>
        <v>3.0375000000000006E-2</v>
      </c>
      <c r="AQ140" s="40">
        <f t="shared" si="104"/>
        <v>5.4000000000000003E-3</v>
      </c>
      <c r="AR140" s="39">
        <f t="shared" si="110"/>
        <v>0.4251794337079281</v>
      </c>
      <c r="AS140" s="37">
        <f t="shared" si="111"/>
        <v>2.3008999999999999</v>
      </c>
      <c r="AT140" s="40">
        <f t="shared" si="112"/>
        <v>84.403263219310801</v>
      </c>
    </row>
    <row r="141" spans="17:46" x14ac:dyDescent="0.2">
      <c r="Q141">
        <v>134</v>
      </c>
      <c r="R141" s="39">
        <f t="shared" si="88"/>
        <v>173</v>
      </c>
      <c r="S141" s="37">
        <f t="shared" si="89"/>
        <v>1.3399999999999999E-2</v>
      </c>
      <c r="T141" s="37">
        <f t="shared" si="90"/>
        <v>12</v>
      </c>
      <c r="U141" s="40">
        <f t="shared" si="91"/>
        <v>0.20335087719298245</v>
      </c>
      <c r="V141" s="39">
        <f t="shared" si="92"/>
        <v>1</v>
      </c>
      <c r="W141" s="37">
        <f t="shared" si="93"/>
        <v>0.17310080556972832</v>
      </c>
      <c r="X141" s="40">
        <f t="shared" si="94"/>
        <v>1.0751602830417907E-3</v>
      </c>
      <c r="Y141" s="39">
        <f t="shared" si="95"/>
        <v>2.0772096668367404</v>
      </c>
      <c r="Z141" s="37">
        <f t="shared" si="71"/>
        <v>2.0772096668367404</v>
      </c>
      <c r="AA141" s="37">
        <f t="shared" si="72"/>
        <v>0.50051122447005214</v>
      </c>
      <c r="AB141" s="37">
        <v>0</v>
      </c>
      <c r="AC141" s="37">
        <f t="shared" si="96"/>
        <v>8.7679020037178829E-3</v>
      </c>
      <c r="AD141" s="40">
        <f t="shared" si="105"/>
        <v>8.7679020037178829E-3</v>
      </c>
      <c r="AE141" s="39">
        <f t="shared" si="113"/>
        <v>3.5200200655416153E-2</v>
      </c>
      <c r="AF141" s="37">
        <f t="shared" si="106"/>
        <v>0.4989640454222008</v>
      </c>
      <c r="AG141" s="37">
        <f t="shared" si="97"/>
        <v>3.1369604946635099E-2</v>
      </c>
      <c r="AH141" s="37">
        <f t="shared" si="98"/>
        <v>2.8957435930464348E-2</v>
      </c>
      <c r="AI141" s="40">
        <f t="shared" si="107"/>
        <v>6.0327040877099447E-2</v>
      </c>
      <c r="AJ141" s="39">
        <f t="shared" si="108"/>
        <v>2.1863478667960343E-4</v>
      </c>
      <c r="AK141" s="37">
        <f t="shared" si="99"/>
        <v>3.9323875653639567E-2</v>
      </c>
      <c r="AL141" s="37">
        <f t="shared" si="100"/>
        <v>1.6749999999999998E-2</v>
      </c>
      <c r="AM141" s="37">
        <f t="shared" si="101"/>
        <v>0.29622500000000002</v>
      </c>
      <c r="AN141" s="40">
        <f t="shared" si="109"/>
        <v>0.312975</v>
      </c>
      <c r="AO141" s="39">
        <f t="shared" si="102"/>
        <v>8.2158489145949063E-3</v>
      </c>
      <c r="AP141" s="37">
        <f t="shared" si="103"/>
        <v>3.0375000000000006E-2</v>
      </c>
      <c r="AQ141" s="40">
        <f t="shared" si="104"/>
        <v>5.4000000000000003E-3</v>
      </c>
      <c r="AR141" s="39">
        <f t="shared" si="110"/>
        <v>0.42606079179541229</v>
      </c>
      <c r="AS141" s="37">
        <f t="shared" si="111"/>
        <v>2.3181999999999996</v>
      </c>
      <c r="AT141" s="40">
        <f t="shared" si="112"/>
        <v>84.474478771506796</v>
      </c>
    </row>
    <row r="142" spans="17:46" x14ac:dyDescent="0.2">
      <c r="Q142">
        <v>135</v>
      </c>
      <c r="R142" s="39">
        <f t="shared" si="88"/>
        <v>173</v>
      </c>
      <c r="S142" s="37">
        <f t="shared" si="89"/>
        <v>1.3499999999999998E-2</v>
      </c>
      <c r="T142" s="37">
        <f t="shared" si="90"/>
        <v>12</v>
      </c>
      <c r="U142" s="40">
        <f t="shared" si="91"/>
        <v>0.20486842105263159</v>
      </c>
      <c r="V142" s="39">
        <f t="shared" si="92"/>
        <v>1</v>
      </c>
      <c r="W142" s="37">
        <f t="shared" si="93"/>
        <v>0.17374550353894053</v>
      </c>
      <c r="X142" s="40">
        <f t="shared" si="94"/>
        <v>1.0791646182542888E-3</v>
      </c>
      <c r="Y142" s="39">
        <f t="shared" si="95"/>
        <v>2.0849460424672865</v>
      </c>
      <c r="Z142" s="37">
        <f t="shared" si="71"/>
        <v>2.0849460424672865</v>
      </c>
      <c r="AA142" s="37">
        <f t="shared" si="72"/>
        <v>0.50330998813829964</v>
      </c>
      <c r="AB142" s="37">
        <v>0</v>
      </c>
      <c r="AC142" s="37">
        <f t="shared" si="96"/>
        <v>8.8662330455921354E-3</v>
      </c>
      <c r="AD142" s="40">
        <f t="shared" si="105"/>
        <v>8.8662330455921354E-3</v>
      </c>
      <c r="AE142" s="39">
        <f t="shared" si="113"/>
        <v>3.5594966975017163E-2</v>
      </c>
      <c r="AF142" s="37">
        <f t="shared" si="106"/>
        <v>0.5017541575591824</v>
      </c>
      <c r="AG142" s="37">
        <f t="shared" si="97"/>
        <v>3.1721411563118529E-2</v>
      </c>
      <c r="AH142" s="37">
        <f t="shared" si="98"/>
        <v>2.9173536198602142E-2</v>
      </c>
      <c r="AI142" s="40">
        <f t="shared" si="107"/>
        <v>6.0894947761720671E-2</v>
      </c>
      <c r="AJ142" s="39">
        <f t="shared" si="108"/>
        <v>2.2108675139762208E-4</v>
      </c>
      <c r="AK142" s="37">
        <f t="shared" si="99"/>
        <v>3.9543767294612488E-2</v>
      </c>
      <c r="AL142" s="37">
        <f t="shared" si="100"/>
        <v>1.6874999999999998E-2</v>
      </c>
      <c r="AM142" s="37">
        <f t="shared" si="101"/>
        <v>0.29622500000000002</v>
      </c>
      <c r="AN142" s="40">
        <f t="shared" si="109"/>
        <v>0.31309999999999999</v>
      </c>
      <c r="AO142" s="39">
        <f t="shared" si="102"/>
        <v>8.3079887427215202E-3</v>
      </c>
      <c r="AP142" s="37">
        <f t="shared" si="103"/>
        <v>3.0375000000000006E-2</v>
      </c>
      <c r="AQ142" s="40">
        <f t="shared" si="104"/>
        <v>5.4000000000000003E-3</v>
      </c>
      <c r="AR142" s="39">
        <f t="shared" si="110"/>
        <v>0.42694416955003434</v>
      </c>
      <c r="AS142" s="37">
        <f t="shared" si="111"/>
        <v>2.3354999999999997</v>
      </c>
      <c r="AT142" s="40">
        <f t="shared" si="112"/>
        <v>84.544695083572392</v>
      </c>
    </row>
    <row r="143" spans="17:46" x14ac:dyDescent="0.2">
      <c r="Q143">
        <v>136</v>
      </c>
      <c r="R143" s="39">
        <f t="shared" si="88"/>
        <v>173</v>
      </c>
      <c r="S143" s="37">
        <f t="shared" si="89"/>
        <v>1.3599999999999999E-2</v>
      </c>
      <c r="T143" s="37">
        <f t="shared" si="90"/>
        <v>12</v>
      </c>
      <c r="U143" s="40">
        <f t="shared" si="91"/>
        <v>0.2063859649122807</v>
      </c>
      <c r="V143" s="39">
        <f t="shared" si="92"/>
        <v>1</v>
      </c>
      <c r="W143" s="37">
        <f t="shared" si="93"/>
        <v>0.17438781812704438</v>
      </c>
      <c r="X143" s="40">
        <f t="shared" si="94"/>
        <v>1.0831541498574184E-3</v>
      </c>
      <c r="Y143" s="39">
        <f t="shared" si="95"/>
        <v>2.0926538175245328</v>
      </c>
      <c r="Z143" s="37">
        <f t="shared" si="71"/>
        <v>2.0926538175245328</v>
      </c>
      <c r="AA143" s="37">
        <f t="shared" si="72"/>
        <v>0.50610357365365721</v>
      </c>
      <c r="AB143" s="37">
        <v>0</v>
      </c>
      <c r="AC143" s="37">
        <f t="shared" si="96"/>
        <v>8.9649289542750987E-3</v>
      </c>
      <c r="AD143" s="40">
        <f t="shared" si="105"/>
        <v>8.9649289542750987E-3</v>
      </c>
      <c r="AE143" s="39">
        <f t="shared" si="113"/>
        <v>3.5991198113097367E-2</v>
      </c>
      <c r="AF143" s="37">
        <f t="shared" si="106"/>
        <v>0.50453910754996745</v>
      </c>
      <c r="AG143" s="37">
        <f t="shared" si="97"/>
        <v>3.2074523591962022E-2</v>
      </c>
      <c r="AH143" s="37">
        <f t="shared" si="98"/>
        <v>2.9389636466739932E-2</v>
      </c>
      <c r="AI143" s="40">
        <f t="shared" si="107"/>
        <v>6.146416005870195E-2</v>
      </c>
      <c r="AJ143" s="39">
        <f t="shared" si="108"/>
        <v>2.2354781436706439E-4</v>
      </c>
      <c r="AK143" s="37">
        <f t="shared" si="99"/>
        <v>3.9763252101471809E-2</v>
      </c>
      <c r="AL143" s="37">
        <f t="shared" si="100"/>
        <v>1.6999999999999998E-2</v>
      </c>
      <c r="AM143" s="37">
        <f t="shared" si="101"/>
        <v>0.29622500000000002</v>
      </c>
      <c r="AN143" s="40">
        <f t="shared" si="109"/>
        <v>0.31322500000000003</v>
      </c>
      <c r="AO143" s="39">
        <f t="shared" si="102"/>
        <v>8.4004704645614815E-3</v>
      </c>
      <c r="AP143" s="37">
        <f t="shared" si="103"/>
        <v>3.0375000000000006E-2</v>
      </c>
      <c r="AQ143" s="40">
        <f t="shared" si="104"/>
        <v>5.4000000000000003E-3</v>
      </c>
      <c r="AR143" s="39">
        <f t="shared" si="110"/>
        <v>0.42782955947753859</v>
      </c>
      <c r="AS143" s="37">
        <f t="shared" si="111"/>
        <v>2.3527999999999998</v>
      </c>
      <c r="AT143" s="40">
        <f t="shared" si="112"/>
        <v>84.613931833554815</v>
      </c>
    </row>
    <row r="144" spans="17:46" x14ac:dyDescent="0.2">
      <c r="Q144">
        <v>137</v>
      </c>
      <c r="R144" s="39">
        <f t="shared" si="88"/>
        <v>173</v>
      </c>
      <c r="S144" s="37">
        <f t="shared" si="89"/>
        <v>1.3699999999999999E-2</v>
      </c>
      <c r="T144" s="37">
        <f t="shared" si="90"/>
        <v>12</v>
      </c>
      <c r="U144" s="40">
        <f t="shared" si="91"/>
        <v>0.20790350877192984</v>
      </c>
      <c r="V144" s="39">
        <f t="shared" si="92"/>
        <v>1</v>
      </c>
      <c r="W144" s="37">
        <f t="shared" si="93"/>
        <v>0.17502777557354207</v>
      </c>
      <c r="X144" s="40">
        <f t="shared" si="94"/>
        <v>1.0871290408294536E-3</v>
      </c>
      <c r="Y144" s="39">
        <f t="shared" si="95"/>
        <v>2.1003333068825052</v>
      </c>
      <c r="Z144" s="37">
        <f t="shared" ref="Z144:Z157" si="114">CHOOSE(V144,Y144,U144+(0.5*Y144))</f>
        <v>2.1003333068825052</v>
      </c>
      <c r="AA144" s="37">
        <f t="shared" ref="AA144:AA157" si="115">CHOOSE(V144,Z144*SQRT((W144+X144)/3),SQRT((U144^2)+((Y144^2)/12)))</f>
        <v>0.50889202856658389</v>
      </c>
      <c r="AB144" s="37">
        <v>0</v>
      </c>
      <c r="AC144" s="37">
        <f t="shared" si="96"/>
        <v>9.06398838585145E-3</v>
      </c>
      <c r="AD144" s="40">
        <f t="shared" si="105"/>
        <v>9.06398838585145E-3</v>
      </c>
      <c r="AE144" s="39">
        <f t="shared" si="113"/>
        <v>3.6388888674285275E-2</v>
      </c>
      <c r="AF144" s="37">
        <f t="shared" si="106"/>
        <v>0.50731894279802703</v>
      </c>
      <c r="AG144" s="37">
        <f t="shared" si="97"/>
        <v>3.2428936224935187E-2</v>
      </c>
      <c r="AH144" s="37">
        <f t="shared" si="98"/>
        <v>2.9605736734877729E-2</v>
      </c>
      <c r="AI144" s="40">
        <f t="shared" si="107"/>
        <v>6.2034672959812916E-2</v>
      </c>
      <c r="AJ144" s="39">
        <f t="shared" si="108"/>
        <v>2.2601794207630598E-4</v>
      </c>
      <c r="AK144" s="37">
        <f t="shared" si="99"/>
        <v>3.9982333810134413E-2</v>
      </c>
      <c r="AL144" s="37">
        <f t="shared" si="100"/>
        <v>1.7124999999999998E-2</v>
      </c>
      <c r="AM144" s="37">
        <f t="shared" si="101"/>
        <v>0.29622500000000002</v>
      </c>
      <c r="AN144" s="40">
        <f t="shared" si="109"/>
        <v>0.31335000000000002</v>
      </c>
      <c r="AO144" s="39">
        <f t="shared" si="102"/>
        <v>8.4932928208163588E-3</v>
      </c>
      <c r="AP144" s="37">
        <f t="shared" si="103"/>
        <v>3.0375000000000006E-2</v>
      </c>
      <c r="AQ144" s="40">
        <f t="shared" si="104"/>
        <v>5.4000000000000003E-3</v>
      </c>
      <c r="AR144" s="39">
        <f t="shared" si="110"/>
        <v>0.4287169541664807</v>
      </c>
      <c r="AS144" s="37">
        <f t="shared" si="111"/>
        <v>2.3700999999999999</v>
      </c>
      <c r="AT144" s="40">
        <f t="shared" si="112"/>
        <v>84.682208190561809</v>
      </c>
    </row>
    <row r="145" spans="17:46" x14ac:dyDescent="0.2">
      <c r="Q145">
        <v>138</v>
      </c>
      <c r="R145" s="39">
        <f t="shared" si="88"/>
        <v>173</v>
      </c>
      <c r="S145" s="37">
        <f t="shared" si="89"/>
        <v>1.3799999999999998E-2</v>
      </c>
      <c r="T145" s="37">
        <f t="shared" si="90"/>
        <v>12</v>
      </c>
      <c r="U145" s="40">
        <f t="shared" si="91"/>
        <v>0.20942105263157892</v>
      </c>
      <c r="V145" s="39">
        <f t="shared" si="92"/>
        <v>1</v>
      </c>
      <c r="W145" s="37">
        <f t="shared" si="93"/>
        <v>0.17566540163997385</v>
      </c>
      <c r="X145" s="40">
        <f t="shared" si="94"/>
        <v>1.0910894511799616E-3</v>
      </c>
      <c r="Y145" s="39">
        <f t="shared" si="95"/>
        <v>2.1079848196796864</v>
      </c>
      <c r="Z145" s="37">
        <f t="shared" si="114"/>
        <v>2.1079848196796864</v>
      </c>
      <c r="AA145" s="37">
        <f t="shared" si="115"/>
        <v>0.51167539964729303</v>
      </c>
      <c r="AB145" s="37">
        <v>0</v>
      </c>
      <c r="AC145" s="37">
        <f t="shared" si="96"/>
        <v>9.163410011147597E-3</v>
      </c>
      <c r="AD145" s="40">
        <f t="shared" si="105"/>
        <v>9.163410011147597E-3</v>
      </c>
      <c r="AE145" s="39">
        <f t="shared" si="113"/>
        <v>3.6788033322392416E-2</v>
      </c>
      <c r="AF145" s="37">
        <f t="shared" si="106"/>
        <v>0.5100937099289985</v>
      </c>
      <c r="AG145" s="37">
        <f t="shared" si="97"/>
        <v>3.2784644706550285E-2</v>
      </c>
      <c r="AH145" s="37">
        <f t="shared" si="98"/>
        <v>2.9821837003015515E-2</v>
      </c>
      <c r="AI145" s="40">
        <f t="shared" si="107"/>
        <v>6.26064817095658E-2</v>
      </c>
      <c r="AJ145" s="39">
        <f t="shared" si="108"/>
        <v>2.2849710138131931E-4</v>
      </c>
      <c r="AK145" s="37">
        <f t="shared" si="99"/>
        <v>4.0201016095215293E-2</v>
      </c>
      <c r="AL145" s="37">
        <f t="shared" si="100"/>
        <v>1.7249999999999998E-2</v>
      </c>
      <c r="AM145" s="37">
        <f t="shared" si="101"/>
        <v>0.29622500000000002</v>
      </c>
      <c r="AN145" s="40">
        <f t="shared" si="109"/>
        <v>0.313475</v>
      </c>
      <c r="AO145" s="39">
        <f t="shared" si="102"/>
        <v>8.5864545660012653E-3</v>
      </c>
      <c r="AP145" s="37">
        <f t="shared" si="103"/>
        <v>3.0375000000000006E-2</v>
      </c>
      <c r="AQ145" s="40">
        <f t="shared" si="104"/>
        <v>5.4000000000000003E-3</v>
      </c>
      <c r="AR145" s="39">
        <f t="shared" si="110"/>
        <v>0.42960634628671468</v>
      </c>
      <c r="AS145" s="37">
        <f t="shared" si="111"/>
        <v>2.3873999999999995</v>
      </c>
      <c r="AT145" s="40">
        <f t="shared" si="112"/>
        <v>84.749542831062215</v>
      </c>
    </row>
    <row r="146" spans="17:46" x14ac:dyDescent="0.2">
      <c r="Q146">
        <v>139</v>
      </c>
      <c r="R146" s="39">
        <f t="shared" si="88"/>
        <v>173</v>
      </c>
      <c r="S146" s="37">
        <f t="shared" si="89"/>
        <v>1.3899999999999999E-2</v>
      </c>
      <c r="T146" s="37">
        <f t="shared" si="90"/>
        <v>12</v>
      </c>
      <c r="U146" s="40">
        <f t="shared" si="91"/>
        <v>0.21093859649122809</v>
      </c>
      <c r="V146" s="39">
        <f t="shared" si="92"/>
        <v>1</v>
      </c>
      <c r="W146" s="37">
        <f t="shared" si="93"/>
        <v>0.17630072162201843</v>
      </c>
      <c r="X146" s="40">
        <f t="shared" si="94"/>
        <v>1.0950355380249591E-3</v>
      </c>
      <c r="Y146" s="39">
        <f t="shared" si="95"/>
        <v>2.1156086594642214</v>
      </c>
      <c r="Z146" s="37">
        <f t="shared" si="114"/>
        <v>2.1156086594642214</v>
      </c>
      <c r="AA146" s="37">
        <f t="shared" si="115"/>
        <v>0.51445373290411067</v>
      </c>
      <c r="AB146" s="37">
        <v>0</v>
      </c>
      <c r="AC146" s="37">
        <f t="shared" si="96"/>
        <v>9.2631925154640932E-3</v>
      </c>
      <c r="AD146" s="40">
        <f t="shared" si="105"/>
        <v>9.2631925154640932E-3</v>
      </c>
      <c r="AE146" s="39">
        <f t="shared" si="113"/>
        <v>3.7188626779339276E-2</v>
      </c>
      <c r="AF146" s="37">
        <f t="shared" si="106"/>
        <v>0.51286345480898721</v>
      </c>
      <c r="AG146" s="37">
        <f t="shared" si="97"/>
        <v>3.3141644333104868E-2</v>
      </c>
      <c r="AH146" s="37">
        <f t="shared" si="98"/>
        <v>3.0037937271153316E-2</v>
      </c>
      <c r="AI146" s="40">
        <f t="shared" si="107"/>
        <v>6.3179581604258184E-2</v>
      </c>
      <c r="AJ146" s="39">
        <f t="shared" si="108"/>
        <v>2.309852594990017E-4</v>
      </c>
      <c r="AK146" s="37">
        <f t="shared" si="99"/>
        <v>4.0419302571469952E-2</v>
      </c>
      <c r="AL146" s="37">
        <f t="shared" si="100"/>
        <v>1.7374999999999998E-2</v>
      </c>
      <c r="AM146" s="37">
        <f t="shared" si="101"/>
        <v>0.29622500000000002</v>
      </c>
      <c r="AN146" s="40">
        <f t="shared" si="109"/>
        <v>0.31359999999999999</v>
      </c>
      <c r="AO146" s="39">
        <f t="shared" si="102"/>
        <v>8.6799544681941312E-3</v>
      </c>
      <c r="AP146" s="37">
        <f t="shared" si="103"/>
        <v>3.0375000000000006E-2</v>
      </c>
      <c r="AQ146" s="40">
        <f t="shared" si="104"/>
        <v>5.4000000000000003E-3</v>
      </c>
      <c r="AR146" s="39">
        <f t="shared" si="110"/>
        <v>0.43049772858791641</v>
      </c>
      <c r="AS146" s="37">
        <f t="shared" si="111"/>
        <v>2.4047000000000001</v>
      </c>
      <c r="AT146" s="40">
        <f t="shared" si="112"/>
        <v>84.815953954564989</v>
      </c>
    </row>
    <row r="147" spans="17:46" x14ac:dyDescent="0.2">
      <c r="Q147">
        <v>140</v>
      </c>
      <c r="R147" s="39">
        <f t="shared" si="88"/>
        <v>173</v>
      </c>
      <c r="S147" s="37">
        <f t="shared" si="89"/>
        <v>1.3999999999999999E-2</v>
      </c>
      <c r="T147" s="37">
        <f t="shared" si="90"/>
        <v>12</v>
      </c>
      <c r="U147" s="40">
        <f t="shared" si="91"/>
        <v>0.2124561403508772</v>
      </c>
      <c r="V147" s="39">
        <f t="shared" si="92"/>
        <v>1</v>
      </c>
      <c r="W147" s="37">
        <f t="shared" si="93"/>
        <v>0.17693376036120284</v>
      </c>
      <c r="X147" s="40">
        <f t="shared" si="94"/>
        <v>1.0989674556596447E-3</v>
      </c>
      <c r="Y147" s="39">
        <f t="shared" si="95"/>
        <v>2.1232051243344343</v>
      </c>
      <c r="Z147" s="37">
        <f t="shared" si="114"/>
        <v>2.1232051243344343</v>
      </c>
      <c r="AA147" s="37">
        <f t="shared" si="115"/>
        <v>0.51722707360127496</v>
      </c>
      <c r="AB147" s="37">
        <v>0</v>
      </c>
      <c r="AC147" s="37">
        <f t="shared" si="96"/>
        <v>9.3633345983148552E-3</v>
      </c>
      <c r="AD147" s="40">
        <f t="shared" si="105"/>
        <v>9.3633345983148552E-3</v>
      </c>
      <c r="AE147" s="39">
        <f t="shared" si="113"/>
        <v>3.7590663824108188E-2</v>
      </c>
      <c r="AF147" s="37">
        <f t="shared" si="106"/>
        <v>0.51562822256231045</v>
      </c>
      <c r="AG147" s="37">
        <f t="shared" si="97"/>
        <v>3.3499930451748712E-2</v>
      </c>
      <c r="AH147" s="37">
        <f t="shared" si="98"/>
        <v>3.0254037539291109E-2</v>
      </c>
      <c r="AI147" s="40">
        <f t="shared" si="107"/>
        <v>6.3753967991039828E-2</v>
      </c>
      <c r="AJ147" s="39">
        <f t="shared" si="108"/>
        <v>2.3348238400067192E-4</v>
      </c>
      <c r="AK147" s="37">
        <f t="shared" si="99"/>
        <v>4.063719679519278E-2</v>
      </c>
      <c r="AL147" s="37">
        <f t="shared" si="100"/>
        <v>1.7499999999999998E-2</v>
      </c>
      <c r="AM147" s="37">
        <f t="shared" si="101"/>
        <v>0.29622500000000002</v>
      </c>
      <c r="AN147" s="40">
        <f t="shared" si="109"/>
        <v>0.31372500000000003</v>
      </c>
      <c r="AO147" s="39">
        <f t="shared" si="102"/>
        <v>8.7737913087913288E-3</v>
      </c>
      <c r="AP147" s="37">
        <f t="shared" si="103"/>
        <v>3.0375000000000006E-2</v>
      </c>
      <c r="AQ147" s="40">
        <f t="shared" si="104"/>
        <v>5.4000000000000003E-3</v>
      </c>
      <c r="AR147" s="39">
        <f t="shared" si="110"/>
        <v>0.43139109389814601</v>
      </c>
      <c r="AS147" s="37">
        <f t="shared" si="111"/>
        <v>2.4219999999999997</v>
      </c>
      <c r="AT147" s="40">
        <f t="shared" si="112"/>
        <v>84.881459298704016</v>
      </c>
    </row>
    <row r="148" spans="17:46" x14ac:dyDescent="0.2">
      <c r="Q148">
        <v>141</v>
      </c>
      <c r="R148" s="39">
        <f t="shared" si="88"/>
        <v>173</v>
      </c>
      <c r="S148" s="37">
        <f t="shared" si="89"/>
        <v>1.4099999999999998E-2</v>
      </c>
      <c r="T148" s="37">
        <f t="shared" si="90"/>
        <v>12</v>
      </c>
      <c r="U148" s="40">
        <f t="shared" si="91"/>
        <v>0.21397368421052632</v>
      </c>
      <c r="V148" s="39">
        <f t="shared" si="92"/>
        <v>1</v>
      </c>
      <c r="W148" s="37">
        <f t="shared" si="93"/>
        <v>0.17756454225623614</v>
      </c>
      <c r="X148" s="40">
        <f t="shared" si="94"/>
        <v>1.1028853556287958E-3</v>
      </c>
      <c r="Y148" s="39">
        <f t="shared" si="95"/>
        <v>2.1307745070748338</v>
      </c>
      <c r="Z148" s="37">
        <f t="shared" si="114"/>
        <v>2.1307745070748338</v>
      </c>
      <c r="AA148" s="37">
        <f t="shared" si="115"/>
        <v>0.51999546627619408</v>
      </c>
      <c r="AB148" s="37">
        <v>0</v>
      </c>
      <c r="AC148" s="37">
        <f t="shared" si="96"/>
        <v>9.4638349731728799E-3</v>
      </c>
      <c r="AD148" s="40">
        <f t="shared" si="105"/>
        <v>9.4638349731728799E-3</v>
      </c>
      <c r="AE148" s="39">
        <f t="shared" si="113"/>
        <v>3.7994139291722524E-2</v>
      </c>
      <c r="AF148" s="37">
        <f t="shared" si="106"/>
        <v>0.51838805758870243</v>
      </c>
      <c r="AG148" s="37">
        <f t="shared" si="97"/>
        <v>3.3859498459574068E-2</v>
      </c>
      <c r="AH148" s="37">
        <f t="shared" si="98"/>
        <v>3.0470137807428899E-2</v>
      </c>
      <c r="AI148" s="40">
        <f t="shared" si="107"/>
        <v>6.4329636267002971E-2</v>
      </c>
      <c r="AJ148" s="39">
        <f t="shared" si="108"/>
        <v>2.3598844280572995E-4</v>
      </c>
      <c r="AK148" s="37">
        <f t="shared" si="99"/>
        <v>4.0854702265573049E-2</v>
      </c>
      <c r="AL148" s="37">
        <f t="shared" si="100"/>
        <v>1.7624999999999998E-2</v>
      </c>
      <c r="AM148" s="37">
        <f t="shared" si="101"/>
        <v>0.29622500000000002</v>
      </c>
      <c r="AN148" s="40">
        <f t="shared" si="109"/>
        <v>0.31385000000000002</v>
      </c>
      <c r="AO148" s="39">
        <f t="shared" si="102"/>
        <v>8.8679638822693994E-3</v>
      </c>
      <c r="AP148" s="37">
        <f t="shared" si="103"/>
        <v>3.0375000000000006E-2</v>
      </c>
      <c r="AQ148" s="40">
        <f t="shared" si="104"/>
        <v>5.4000000000000003E-3</v>
      </c>
      <c r="AR148" s="39">
        <f t="shared" si="110"/>
        <v>0.4322864351224453</v>
      </c>
      <c r="AS148" s="37">
        <f t="shared" si="111"/>
        <v>2.4392999999999998</v>
      </c>
      <c r="AT148" s="40">
        <f t="shared" si="112"/>
        <v>84.946076153754618</v>
      </c>
    </row>
    <row r="149" spans="17:46" x14ac:dyDescent="0.2">
      <c r="Q149">
        <v>142</v>
      </c>
      <c r="R149" s="39">
        <f t="shared" si="88"/>
        <v>173</v>
      </c>
      <c r="S149" s="37">
        <f t="shared" si="89"/>
        <v>1.4199999999999999E-2</v>
      </c>
      <c r="T149" s="37">
        <f t="shared" si="90"/>
        <v>12</v>
      </c>
      <c r="U149" s="40">
        <f t="shared" si="91"/>
        <v>0.21549122807017546</v>
      </c>
      <c r="V149" s="39">
        <f t="shared" si="92"/>
        <v>1</v>
      </c>
      <c r="W149" s="37">
        <f t="shared" si="93"/>
        <v>0.17819309127398225</v>
      </c>
      <c r="X149" s="40">
        <f t="shared" si="94"/>
        <v>1.1067893867949209E-3</v>
      </c>
      <c r="Y149" s="39">
        <f t="shared" si="95"/>
        <v>2.1383170952877877</v>
      </c>
      <c r="Z149" s="37">
        <f t="shared" si="114"/>
        <v>2.1383170952877877</v>
      </c>
      <c r="AA149" s="37">
        <f t="shared" si="115"/>
        <v>0.52275895475618517</v>
      </c>
      <c r="AB149" s="37">
        <v>0</v>
      </c>
      <c r="AC149" s="37">
        <f t="shared" si="96"/>
        <v>9.5646923672222748E-3</v>
      </c>
      <c r="AD149" s="40">
        <f t="shared" si="105"/>
        <v>9.5646923672222748E-3</v>
      </c>
      <c r="AE149" s="39">
        <f t="shared" si="113"/>
        <v>3.83990480722513E-2</v>
      </c>
      <c r="AF149" s="37">
        <f t="shared" si="106"/>
        <v>0.52114300358000154</v>
      </c>
      <c r="AG149" s="37">
        <f t="shared" si="97"/>
        <v>3.4220343802728578E-2</v>
      </c>
      <c r="AH149" s="37">
        <f t="shared" si="98"/>
        <v>3.0686238075566693E-2</v>
      </c>
      <c r="AI149" s="40">
        <f t="shared" si="107"/>
        <v>6.4906581878295275E-2</v>
      </c>
      <c r="AJ149" s="39">
        <f t="shared" si="108"/>
        <v>2.3850340417547395E-4</v>
      </c>
      <c r="AK149" s="37">
        <f t="shared" si="99"/>
        <v>4.1071822426010013E-2</v>
      </c>
      <c r="AL149" s="37">
        <f t="shared" si="100"/>
        <v>1.7749999999999998E-2</v>
      </c>
      <c r="AM149" s="37">
        <f t="shared" si="101"/>
        <v>0.29622500000000002</v>
      </c>
      <c r="AN149" s="40">
        <f t="shared" si="109"/>
        <v>0.313975</v>
      </c>
      <c r="AO149" s="39">
        <f t="shared" si="102"/>
        <v>8.9624709959527232E-3</v>
      </c>
      <c r="AP149" s="37">
        <f t="shared" si="103"/>
        <v>3.0375000000000006E-2</v>
      </c>
      <c r="AQ149" s="40">
        <f t="shared" si="104"/>
        <v>5.4000000000000003E-3</v>
      </c>
      <c r="AR149" s="39">
        <f t="shared" si="110"/>
        <v>0.4331837452414703</v>
      </c>
      <c r="AS149" s="37">
        <f t="shared" si="111"/>
        <v>2.4565999999999999</v>
      </c>
      <c r="AT149" s="40">
        <f t="shared" si="112"/>
        <v>85.009821376607078</v>
      </c>
    </row>
    <row r="150" spans="17:46" x14ac:dyDescent="0.2">
      <c r="Q150">
        <v>143</v>
      </c>
      <c r="R150" s="39">
        <f t="shared" si="88"/>
        <v>173</v>
      </c>
      <c r="S150" s="37">
        <f t="shared" si="89"/>
        <v>1.4299999999999998E-2</v>
      </c>
      <c r="T150" s="37">
        <f t="shared" si="90"/>
        <v>12</v>
      </c>
      <c r="U150" s="40">
        <f t="shared" si="91"/>
        <v>0.21700877192982454</v>
      </c>
      <c r="V150" s="39">
        <f t="shared" si="92"/>
        <v>1</v>
      </c>
      <c r="W150" s="37">
        <f t="shared" si="93"/>
        <v>0.17881943096008576</v>
      </c>
      <c r="X150" s="40">
        <f t="shared" si="94"/>
        <v>1.1106796954042594E-3</v>
      </c>
      <c r="Y150" s="39">
        <f t="shared" si="95"/>
        <v>2.1458331715210295</v>
      </c>
      <c r="Z150" s="37">
        <f t="shared" si="114"/>
        <v>2.1458331715210295</v>
      </c>
      <c r="AA150" s="37">
        <f t="shared" si="115"/>
        <v>0.52551758217471323</v>
      </c>
      <c r="AB150" s="37">
        <v>0</v>
      </c>
      <c r="AC150" s="37">
        <f t="shared" si="96"/>
        <v>9.6659055211164788E-3</v>
      </c>
      <c r="AD150" s="40">
        <f t="shared" si="105"/>
        <v>9.6659055211164788E-3</v>
      </c>
      <c r="AE150" s="39">
        <f t="shared" si="113"/>
        <v>3.8805385109838254E-2</v>
      </c>
      <c r="AF150" s="37">
        <f t="shared" si="106"/>
        <v>0.52389310353633878</v>
      </c>
      <c r="AG150" s="37">
        <f t="shared" si="97"/>
        <v>3.4582461975550059E-2</v>
      </c>
      <c r="AH150" s="37">
        <f t="shared" si="98"/>
        <v>3.0902338343704483E-2</v>
      </c>
      <c r="AI150" s="40">
        <f t="shared" si="107"/>
        <v>6.5484800319254549E-2</v>
      </c>
      <c r="AJ150" s="39">
        <f t="shared" si="108"/>
        <v>2.4102723670706993E-4</v>
      </c>
      <c r="AK150" s="37">
        <f t="shared" si="99"/>
        <v>4.1288560665388711E-2</v>
      </c>
      <c r="AL150" s="37">
        <f t="shared" si="100"/>
        <v>1.7874999999999999E-2</v>
      </c>
      <c r="AM150" s="37">
        <f t="shared" si="101"/>
        <v>0.29622500000000002</v>
      </c>
      <c r="AN150" s="40">
        <f t="shared" si="109"/>
        <v>0.31409999999999999</v>
      </c>
      <c r="AO150" s="39">
        <f t="shared" si="102"/>
        <v>9.0573114697869214E-3</v>
      </c>
      <c r="AP150" s="37">
        <f t="shared" si="103"/>
        <v>3.0375000000000006E-2</v>
      </c>
      <c r="AQ150" s="40">
        <f t="shared" si="104"/>
        <v>5.4000000000000003E-3</v>
      </c>
      <c r="AR150" s="39">
        <f t="shared" si="110"/>
        <v>0.43408301731015797</v>
      </c>
      <c r="AS150" s="37">
        <f t="shared" si="111"/>
        <v>2.4738999999999995</v>
      </c>
      <c r="AT150" s="40">
        <f t="shared" si="112"/>
        <v>85.072711404220016</v>
      </c>
    </row>
    <row r="151" spans="17:46" x14ac:dyDescent="0.2">
      <c r="Q151">
        <v>144</v>
      </c>
      <c r="R151" s="39">
        <f t="shared" si="88"/>
        <v>173</v>
      </c>
      <c r="S151" s="37">
        <f t="shared" si="89"/>
        <v>1.44E-2</v>
      </c>
      <c r="T151" s="37">
        <f t="shared" si="90"/>
        <v>12</v>
      </c>
      <c r="U151" s="40">
        <f t="shared" si="91"/>
        <v>0.21852631578947371</v>
      </c>
      <c r="V151" s="39">
        <f t="shared" si="92"/>
        <v>1</v>
      </c>
      <c r="W151" s="37">
        <f t="shared" si="93"/>
        <v>0.17944358444926362</v>
      </c>
      <c r="X151" s="40">
        <f t="shared" si="94"/>
        <v>1.1145564251507055E-3</v>
      </c>
      <c r="Y151" s="39">
        <f t="shared" si="95"/>
        <v>2.1533230133911636</v>
      </c>
      <c r="Z151" s="37">
        <f t="shared" si="114"/>
        <v>2.1533230133911636</v>
      </c>
      <c r="AA151" s="37">
        <f t="shared" si="115"/>
        <v>0.52827139098714671</v>
      </c>
      <c r="AB151" s="37">
        <v>0</v>
      </c>
      <c r="AC151" s="37">
        <f t="shared" si="96"/>
        <v>9.7674731887423209E-3</v>
      </c>
      <c r="AD151" s="40">
        <f t="shared" si="105"/>
        <v>9.7674731887423209E-3</v>
      </c>
      <c r="AE151" s="39">
        <f t="shared" si="113"/>
        <v>3.9213145401754877E-2</v>
      </c>
      <c r="AF151" s="37">
        <f t="shared" si="106"/>
        <v>0.52663839978184457</v>
      </c>
      <c r="AG151" s="37">
        <f t="shared" si="97"/>
        <v>3.4945848519722524E-2</v>
      </c>
      <c r="AH151" s="37">
        <f t="shared" si="98"/>
        <v>3.1118438611842287E-2</v>
      </c>
      <c r="AI151" s="40">
        <f t="shared" si="107"/>
        <v>6.6064287131564814E-2</v>
      </c>
      <c r="AJ151" s="39">
        <f t="shared" si="108"/>
        <v>2.4355990932766998E-4</v>
      </c>
      <c r="AK151" s="37">
        <f t="shared" si="99"/>
        <v>4.1504920319317934E-2</v>
      </c>
      <c r="AL151" s="37">
        <f t="shared" si="100"/>
        <v>1.7999999999999999E-2</v>
      </c>
      <c r="AM151" s="37">
        <f t="shared" si="101"/>
        <v>0.29622500000000002</v>
      </c>
      <c r="AN151" s="40">
        <f t="shared" si="109"/>
        <v>0.31422500000000003</v>
      </c>
      <c r="AO151" s="39">
        <f t="shared" si="102"/>
        <v>9.1524841361178052E-3</v>
      </c>
      <c r="AP151" s="37">
        <f t="shared" si="103"/>
        <v>3.0375000000000006E-2</v>
      </c>
      <c r="AQ151" s="40">
        <f t="shared" si="104"/>
        <v>5.4000000000000003E-3</v>
      </c>
      <c r="AR151" s="39">
        <f t="shared" si="110"/>
        <v>0.43498424445642497</v>
      </c>
      <c r="AS151" s="37">
        <f t="shared" si="111"/>
        <v>2.4912000000000001</v>
      </c>
      <c r="AT151" s="40">
        <f t="shared" si="112"/>
        <v>85.134762266576672</v>
      </c>
    </row>
    <row r="152" spans="17:46" x14ac:dyDescent="0.2">
      <c r="Q152">
        <v>145</v>
      </c>
      <c r="R152" s="39">
        <f t="shared" si="88"/>
        <v>173</v>
      </c>
      <c r="S152" s="37">
        <f t="shared" si="89"/>
        <v>1.4499999999999999E-2</v>
      </c>
      <c r="T152" s="37">
        <f t="shared" si="90"/>
        <v>12</v>
      </c>
      <c r="U152" s="40">
        <f t="shared" si="91"/>
        <v>0.22004385964912282</v>
      </c>
      <c r="V152" s="39">
        <f t="shared" si="92"/>
        <v>1</v>
      </c>
      <c r="W152" s="37">
        <f t="shared" si="93"/>
        <v>0.18006557447527585</v>
      </c>
      <c r="X152" s="40">
        <f t="shared" si="94"/>
        <v>1.118419717237738E-3</v>
      </c>
      <c r="Y152" s="39">
        <f t="shared" si="95"/>
        <v>2.1607868937033108</v>
      </c>
      <c r="Z152" s="37">
        <f t="shared" si="114"/>
        <v>2.1607868937033108</v>
      </c>
      <c r="AA152" s="37">
        <f t="shared" si="115"/>
        <v>0.53102042298604879</v>
      </c>
      <c r="AB152" s="37">
        <v>0</v>
      </c>
      <c r="AC152" s="37">
        <f t="shared" si="96"/>
        <v>9.8693941369898761E-3</v>
      </c>
      <c r="AD152" s="40">
        <f t="shared" si="105"/>
        <v>9.8693941369898761E-3</v>
      </c>
      <c r="AE152" s="39">
        <f t="shared" si="113"/>
        <v>3.9622323997476269E-2</v>
      </c>
      <c r="AF152" s="37">
        <f t="shared" si="106"/>
        <v>0.52937893397989289</v>
      </c>
      <c r="AG152" s="37">
        <f t="shared" si="97"/>
        <v>3.5310499023452666E-2</v>
      </c>
      <c r="AH152" s="37">
        <f t="shared" si="98"/>
        <v>3.1334538879980077E-2</v>
      </c>
      <c r="AI152" s="40">
        <f t="shared" si="107"/>
        <v>6.6645037903432736E-2</v>
      </c>
      <c r="AJ152" s="39">
        <f t="shared" si="108"/>
        <v>2.4610139128867245E-4</v>
      </c>
      <c r="AK152" s="37">
        <f t="shared" si="99"/>
        <v>4.1720904671331542E-2</v>
      </c>
      <c r="AL152" s="37">
        <f t="shared" si="100"/>
        <v>1.8124999999999999E-2</v>
      </c>
      <c r="AM152" s="37">
        <f t="shared" si="101"/>
        <v>0.29622500000000002</v>
      </c>
      <c r="AN152" s="40">
        <f t="shared" si="109"/>
        <v>0.31435000000000002</v>
      </c>
      <c r="AO152" s="39">
        <f t="shared" si="102"/>
        <v>9.2479878394756982E-3</v>
      </c>
      <c r="AP152" s="37">
        <f t="shared" si="103"/>
        <v>3.0375000000000006E-2</v>
      </c>
      <c r="AQ152" s="40">
        <f t="shared" si="104"/>
        <v>5.4000000000000003E-3</v>
      </c>
      <c r="AR152" s="39">
        <f t="shared" si="110"/>
        <v>0.43588741987989837</v>
      </c>
      <c r="AS152" s="37">
        <f t="shared" si="111"/>
        <v>2.5084999999999997</v>
      </c>
      <c r="AT152" s="40">
        <f t="shared" si="112"/>
        <v>85.19598959916496</v>
      </c>
    </row>
    <row r="153" spans="17:46" x14ac:dyDescent="0.2">
      <c r="Q153">
        <v>146</v>
      </c>
      <c r="R153" s="39">
        <f t="shared" si="88"/>
        <v>173</v>
      </c>
      <c r="S153" s="37">
        <f t="shared" si="89"/>
        <v>1.4599999999999998E-2</v>
      </c>
      <c r="T153" s="37">
        <f t="shared" si="90"/>
        <v>12</v>
      </c>
      <c r="U153" s="40">
        <f t="shared" si="91"/>
        <v>0.22156140350877193</v>
      </c>
      <c r="V153" s="39">
        <f t="shared" si="92"/>
        <v>1</v>
      </c>
      <c r="W153" s="37">
        <f t="shared" si="93"/>
        <v>0.18068542338058766</v>
      </c>
      <c r="X153" s="40">
        <f t="shared" si="94"/>
        <v>1.1222697104384324E-3</v>
      </c>
      <c r="Y153" s="39">
        <f t="shared" si="95"/>
        <v>2.1682250805670522</v>
      </c>
      <c r="Z153" s="37">
        <f t="shared" si="114"/>
        <v>2.1682250805670522</v>
      </c>
      <c r="AA153" s="37">
        <f t="shared" si="115"/>
        <v>0.53376471931602099</v>
      </c>
      <c r="AB153" s="37">
        <v>0</v>
      </c>
      <c r="AC153" s="37">
        <f t="shared" si="96"/>
        <v>9.9716671455278745E-3</v>
      </c>
      <c r="AD153" s="40">
        <f t="shared" si="105"/>
        <v>9.9716671455278745E-3</v>
      </c>
      <c r="AE153" s="39">
        <f t="shared" si="113"/>
        <v>4.0032915997779674E-2</v>
      </c>
      <c r="AF153" s="37">
        <f t="shared" si="106"/>
        <v>0.53211474714789941</v>
      </c>
      <c r="AG153" s="37">
        <f t="shared" si="97"/>
        <v>3.5676409120666386E-2</v>
      </c>
      <c r="AH153" s="37">
        <f t="shared" si="98"/>
        <v>3.1550639148117871E-2</v>
      </c>
      <c r="AI153" s="40">
        <f t="shared" si="107"/>
        <v>6.7227048268784256E-2</v>
      </c>
      <c r="AJ153" s="39">
        <f t="shared" si="108"/>
        <v>2.4865165216012214E-4</v>
      </c>
      <c r="AK153" s="37">
        <f t="shared" si="99"/>
        <v>4.1936516954054724E-2</v>
      </c>
      <c r="AL153" s="37">
        <f t="shared" si="100"/>
        <v>1.8249999999999999E-2</v>
      </c>
      <c r="AM153" s="37">
        <f t="shared" si="101"/>
        <v>0.29622500000000002</v>
      </c>
      <c r="AN153" s="40">
        <f t="shared" si="109"/>
        <v>0.314475</v>
      </c>
      <c r="AO153" s="39">
        <f t="shared" si="102"/>
        <v>9.343821436365007E-3</v>
      </c>
      <c r="AP153" s="37">
        <f t="shared" si="103"/>
        <v>3.0375000000000006E-2</v>
      </c>
      <c r="AQ153" s="40">
        <f t="shared" si="104"/>
        <v>5.4000000000000003E-3</v>
      </c>
      <c r="AR153" s="39">
        <f t="shared" si="110"/>
        <v>0.4367925368506772</v>
      </c>
      <c r="AS153" s="37">
        <f t="shared" si="111"/>
        <v>2.5257999999999998</v>
      </c>
      <c r="AT153" s="40">
        <f t="shared" si="112"/>
        <v>85.256408655001863</v>
      </c>
    </row>
    <row r="154" spans="17:46" x14ac:dyDescent="0.2">
      <c r="Q154">
        <v>147</v>
      </c>
      <c r="R154" s="39">
        <f t="shared" si="88"/>
        <v>173</v>
      </c>
      <c r="S154" s="37">
        <f t="shared" si="89"/>
        <v>1.47E-2</v>
      </c>
      <c r="T154" s="37">
        <f t="shared" si="90"/>
        <v>12</v>
      </c>
      <c r="U154" s="40">
        <f t="shared" si="91"/>
        <v>0.22307894736842107</v>
      </c>
      <c r="V154" s="39">
        <f t="shared" si="92"/>
        <v>1</v>
      </c>
      <c r="W154" s="37">
        <f t="shared" si="93"/>
        <v>0.18130315312573395</v>
      </c>
      <c r="X154" s="40">
        <f t="shared" si="94"/>
        <v>1.1261065411536271E-3</v>
      </c>
      <c r="Y154" s="39">
        <f t="shared" si="95"/>
        <v>2.1756378375088077</v>
      </c>
      <c r="Z154" s="37">
        <f t="shared" si="114"/>
        <v>2.1756378375088077</v>
      </c>
      <c r="AA154" s="37">
        <f t="shared" si="115"/>
        <v>0.53650432048811625</v>
      </c>
      <c r="AB154" s="37">
        <v>0</v>
      </c>
      <c r="AC154" s="37">
        <f t="shared" si="96"/>
        <v>1.0074291006584538E-2</v>
      </c>
      <c r="AD154" s="40">
        <f t="shared" si="105"/>
        <v>1.0074291006584538E-2</v>
      </c>
      <c r="AE154" s="39">
        <f t="shared" si="113"/>
        <v>4.0444916553864389E-2</v>
      </c>
      <c r="AF154" s="37">
        <f t="shared" si="106"/>
        <v>0.53484587967168928</v>
      </c>
      <c r="AG154" s="37">
        <f t="shared" si="97"/>
        <v>3.6043574490224675E-2</v>
      </c>
      <c r="AH154" s="37">
        <f t="shared" si="98"/>
        <v>3.1766739416255664E-2</v>
      </c>
      <c r="AI154" s="40">
        <f t="shared" si="107"/>
        <v>6.7810313906480346E-2</v>
      </c>
      <c r="AJ154" s="39">
        <f t="shared" si="108"/>
        <v>2.512106618252447E-4</v>
      </c>
      <c r="AK154" s="37">
        <f t="shared" si="99"/>
        <v>4.2151760350336416E-2</v>
      </c>
      <c r="AL154" s="37">
        <f t="shared" si="100"/>
        <v>1.8374999999999999E-2</v>
      </c>
      <c r="AM154" s="37">
        <f t="shared" si="101"/>
        <v>0.29622500000000002</v>
      </c>
      <c r="AN154" s="40">
        <f t="shared" si="109"/>
        <v>0.31459999999999999</v>
      </c>
      <c r="AO154" s="39">
        <f t="shared" si="102"/>
        <v>9.4399837950588442E-3</v>
      </c>
      <c r="AP154" s="37">
        <f t="shared" si="103"/>
        <v>3.0375000000000006E-2</v>
      </c>
      <c r="AQ154" s="40">
        <f t="shared" si="104"/>
        <v>5.4000000000000003E-3</v>
      </c>
      <c r="AR154" s="39">
        <f t="shared" si="110"/>
        <v>0.4376995887081237</v>
      </c>
      <c r="AS154" s="37">
        <f t="shared" si="111"/>
        <v>2.5430999999999999</v>
      </c>
      <c r="AT154" s="40">
        <f t="shared" si="112"/>
        <v>85.316034316221092</v>
      </c>
    </row>
    <row r="155" spans="17:46" x14ac:dyDescent="0.2">
      <c r="Q155">
        <v>148</v>
      </c>
      <c r="R155" s="39">
        <f t="shared" si="88"/>
        <v>173</v>
      </c>
      <c r="S155" s="37">
        <f t="shared" si="89"/>
        <v>1.4799999999999999E-2</v>
      </c>
      <c r="T155" s="37">
        <f t="shared" si="90"/>
        <v>12</v>
      </c>
      <c r="U155" s="40">
        <f t="shared" si="91"/>
        <v>0.22459649122807021</v>
      </c>
      <c r="V155" s="39">
        <f t="shared" si="92"/>
        <v>1</v>
      </c>
      <c r="W155" s="37">
        <f t="shared" si="93"/>
        <v>0.18191878529839747</v>
      </c>
      <c r="X155" s="40">
        <f t="shared" si="94"/>
        <v>1.1299303434683071E-3</v>
      </c>
      <c r="Y155" s="39">
        <f t="shared" si="95"/>
        <v>2.1830254235807702</v>
      </c>
      <c r="Z155" s="37">
        <f t="shared" si="114"/>
        <v>2.1830254235807702</v>
      </c>
      <c r="AA155" s="37">
        <f t="shared" si="115"/>
        <v>0.53923926639383246</v>
      </c>
      <c r="AB155" s="37">
        <v>0</v>
      </c>
      <c r="AC155" s="37">
        <f t="shared" si="96"/>
        <v>1.0177264524733552E-2</v>
      </c>
      <c r="AD155" s="40">
        <f t="shared" si="105"/>
        <v>1.0177264524733552E-2</v>
      </c>
      <c r="AE155" s="39">
        <f t="shared" si="113"/>
        <v>4.0858320866492714E-2</v>
      </c>
      <c r="AF155" s="37">
        <f t="shared" si="106"/>
        <v>0.53757237131944791</v>
      </c>
      <c r="AG155" s="37">
        <f t="shared" si="97"/>
        <v>3.6411990855157811E-2</v>
      </c>
      <c r="AH155" s="37">
        <f t="shared" si="98"/>
        <v>3.1982839684393458E-2</v>
      </c>
      <c r="AI155" s="40">
        <f t="shared" si="107"/>
        <v>6.8394830539551268E-2</v>
      </c>
      <c r="AJ155" s="39">
        <f t="shared" si="108"/>
        <v>2.5377839047511E-4</v>
      </c>
      <c r="AK155" s="37">
        <f t="shared" si="99"/>
        <v>4.2366637994348672E-2</v>
      </c>
      <c r="AL155" s="37">
        <f t="shared" si="100"/>
        <v>1.8499999999999999E-2</v>
      </c>
      <c r="AM155" s="37">
        <f t="shared" si="101"/>
        <v>0.29622500000000002</v>
      </c>
      <c r="AN155" s="40">
        <f t="shared" si="109"/>
        <v>0.31472500000000003</v>
      </c>
      <c r="AO155" s="39">
        <f t="shared" si="102"/>
        <v>9.5364737953984747E-3</v>
      </c>
      <c r="AP155" s="37">
        <f t="shared" si="103"/>
        <v>3.0375000000000006E-2</v>
      </c>
      <c r="AQ155" s="40">
        <f t="shared" si="104"/>
        <v>5.4000000000000003E-3</v>
      </c>
      <c r="AR155" s="39">
        <f t="shared" si="110"/>
        <v>0.4386085688596833</v>
      </c>
      <c r="AS155" s="37">
        <f t="shared" si="111"/>
        <v>2.5604</v>
      </c>
      <c r="AT155" s="40">
        <f t="shared" si="112"/>
        <v>85.374881105242864</v>
      </c>
    </row>
    <row r="156" spans="17:46" x14ac:dyDescent="0.2">
      <c r="Q156">
        <v>149</v>
      </c>
      <c r="R156" s="39">
        <f t="shared" si="88"/>
        <v>173</v>
      </c>
      <c r="S156" s="37">
        <f t="shared" si="89"/>
        <v>1.4899999999999998E-2</v>
      </c>
      <c r="T156" s="37">
        <f t="shared" si="90"/>
        <v>12</v>
      </c>
      <c r="U156" s="40">
        <f t="shared" si="91"/>
        <v>0.2261140350877193</v>
      </c>
      <c r="V156" s="39">
        <f t="shared" si="92"/>
        <v>1</v>
      </c>
      <c r="W156" s="37">
        <f t="shared" si="93"/>
        <v>0.18253234112221195</v>
      </c>
      <c r="X156" s="40">
        <f t="shared" si="94"/>
        <v>1.1337412492062853E-3</v>
      </c>
      <c r="Y156" s="39">
        <f t="shared" si="95"/>
        <v>2.1903880934665438</v>
      </c>
      <c r="Z156" s="37">
        <f t="shared" si="114"/>
        <v>2.1903880934665438</v>
      </c>
      <c r="AA156" s="37">
        <f t="shared" si="115"/>
        <v>0.54196959631870822</v>
      </c>
      <c r="AB156" s="37">
        <v>0</v>
      </c>
      <c r="AC156" s="37">
        <f t="shared" si="96"/>
        <v>1.0280586516685225E-2</v>
      </c>
      <c r="AD156" s="40">
        <f t="shared" si="105"/>
        <v>1.0280586516685225E-2</v>
      </c>
      <c r="AE156" s="39">
        <f t="shared" si="113"/>
        <v>4.1273124185151382E-2</v>
      </c>
      <c r="AF156" s="37">
        <f t="shared" si="106"/>
        <v>0.54029426125527458</v>
      </c>
      <c r="AG156" s="37">
        <f t="shared" si="97"/>
        <v>3.6781653981918246E-2</v>
      </c>
      <c r="AH156" s="37">
        <f t="shared" si="98"/>
        <v>3.2198939952531251E-2</v>
      </c>
      <c r="AI156" s="40">
        <f t="shared" si="107"/>
        <v>6.8980593934449497E-2</v>
      </c>
      <c r="AJ156" s="39">
        <f t="shared" si="108"/>
        <v>2.563548086034247E-4</v>
      </c>
      <c r="AK156" s="37">
        <f t="shared" si="99"/>
        <v>4.2581152972654919E-2</v>
      </c>
      <c r="AL156" s="37">
        <f t="shared" si="100"/>
        <v>1.8624999999999999E-2</v>
      </c>
      <c r="AM156" s="37">
        <f t="shared" si="101"/>
        <v>0.29622500000000002</v>
      </c>
      <c r="AN156" s="40">
        <f t="shared" si="109"/>
        <v>0.31485000000000002</v>
      </c>
      <c r="AO156" s="39">
        <f t="shared" si="102"/>
        <v>9.6332903285976362E-3</v>
      </c>
      <c r="AP156" s="37">
        <f t="shared" si="103"/>
        <v>3.0375000000000006E-2</v>
      </c>
      <c r="AQ156" s="40">
        <f t="shared" si="104"/>
        <v>5.4000000000000003E-3</v>
      </c>
      <c r="AR156" s="39">
        <f t="shared" si="110"/>
        <v>0.43951947077973236</v>
      </c>
      <c r="AS156" s="37">
        <f t="shared" si="111"/>
        <v>2.5776999999999997</v>
      </c>
      <c r="AT156" s="40">
        <f t="shared" si="112"/>
        <v>85.432963195542797</v>
      </c>
    </row>
    <row r="157" spans="17:46" ht="16" thickBot="1" x14ac:dyDescent="0.25">
      <c r="Q157">
        <v>150</v>
      </c>
      <c r="R157" s="41">
        <f t="shared" si="88"/>
        <v>173</v>
      </c>
      <c r="S157" s="42">
        <f t="shared" si="89"/>
        <v>1.4999999999999999E-2</v>
      </c>
      <c r="T157" s="42">
        <f t="shared" si="90"/>
        <v>12</v>
      </c>
      <c r="U157" s="43">
        <f t="shared" si="91"/>
        <v>0.22763157894736843</v>
      </c>
      <c r="V157" s="41">
        <f t="shared" si="92"/>
        <v>1</v>
      </c>
      <c r="W157" s="42">
        <f t="shared" si="93"/>
        <v>0.18314384146529925</v>
      </c>
      <c r="X157" s="43">
        <f t="shared" si="94"/>
        <v>1.1375393879832249E-3</v>
      </c>
      <c r="Y157" s="41">
        <f t="shared" si="95"/>
        <v>2.1977260975835913</v>
      </c>
      <c r="Z157" s="42">
        <f t="shared" si="114"/>
        <v>2.1977260975835913</v>
      </c>
      <c r="AA157" s="42">
        <f t="shared" si="115"/>
        <v>0.5446953489555284</v>
      </c>
      <c r="AB157" s="42">
        <v>0</v>
      </c>
      <c r="AC157" s="42">
        <f t="shared" si="96"/>
        <v>1.0384255811082472E-2</v>
      </c>
      <c r="AD157" s="43">
        <f t="shared" si="105"/>
        <v>1.0384255811082472E-2</v>
      </c>
      <c r="AE157" s="41">
        <f t="shared" si="113"/>
        <v>4.1689321807232595E-2</v>
      </c>
      <c r="AF157" s="37">
        <f t="shared" si="106"/>
        <v>0.54301158805234706</v>
      </c>
      <c r="AG157" s="42">
        <f t="shared" si="97"/>
        <v>3.7152559679650615E-2</v>
      </c>
      <c r="AH157" s="42">
        <f t="shared" si="98"/>
        <v>3.2415040220669045E-2</v>
      </c>
      <c r="AI157" s="43">
        <f t="shared" si="107"/>
        <v>6.956759990031966E-2</v>
      </c>
      <c r="AJ157" s="41">
        <f>X157*U157</f>
        <v>2.5893988700144465E-4</v>
      </c>
      <c r="AK157" s="42">
        <f t="shared" si="99"/>
        <v>4.2795308325247437E-2</v>
      </c>
      <c r="AL157" s="42">
        <f t="shared" si="100"/>
        <v>1.8749999999999999E-2</v>
      </c>
      <c r="AM157" s="42">
        <f t="shared" si="101"/>
        <v>0.29622500000000002</v>
      </c>
      <c r="AN157" s="43">
        <f t="shared" si="109"/>
        <v>0.314975</v>
      </c>
      <c r="AO157" s="41">
        <f t="shared" si="102"/>
        <v>9.7304322970513529E-3</v>
      </c>
      <c r="AP157" s="42">
        <f t="shared" si="103"/>
        <v>3.0375000000000006E-2</v>
      </c>
      <c r="AQ157" s="43">
        <f t="shared" si="104"/>
        <v>5.4000000000000003E-3</v>
      </c>
      <c r="AR157" s="41">
        <f t="shared" si="110"/>
        <v>0.44043228800845347</v>
      </c>
      <c r="AS157" s="42">
        <f t="shared" si="111"/>
        <v>2.5949999999999998</v>
      </c>
      <c r="AT157" s="43">
        <f>(AS157/(AS157+AR157))*100</f>
        <v>85.490294422036968</v>
      </c>
    </row>
  </sheetData>
  <mergeCells count="7">
    <mergeCell ref="AO5:AQ5"/>
    <mergeCell ref="A1:M1"/>
    <mergeCell ref="R5:U5"/>
    <mergeCell ref="V5:X5"/>
    <mergeCell ref="Y5:AD5"/>
    <mergeCell ref="AE5:AI5"/>
    <mergeCell ref="AJ5:AN5"/>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Y708"/>
  <sheetViews>
    <sheetView topLeftCell="R1" zoomScale="80" zoomScaleNormal="80" workbookViewId="0">
      <selection activeCell="AY19" sqref="AY19:AY559"/>
    </sheetView>
  </sheetViews>
  <sheetFormatPr baseColWidth="10" defaultColWidth="9.1640625" defaultRowHeight="15" x14ac:dyDescent="0.2"/>
  <cols>
    <col min="1" max="1" width="13.1640625" style="98" customWidth="1"/>
    <col min="2" max="2" width="25" style="98" customWidth="1"/>
    <col min="3" max="7" width="9.1640625" style="98"/>
    <col min="8" max="10" width="8.83203125" style="98"/>
    <col min="11" max="11" width="12" style="98" bestFit="1" customWidth="1"/>
    <col min="12" max="14" width="9.1640625" style="98"/>
    <col min="15" max="15" width="16.6640625" style="199" bestFit="1" customWidth="1"/>
    <col min="16" max="16" width="16.6640625" style="98" customWidth="1"/>
    <col min="17" max="25" width="9.1640625" style="98"/>
    <col min="26" max="26" width="8.5" style="98" customWidth="1"/>
    <col min="27" max="28" width="9.1640625" style="98"/>
    <col min="29" max="29" width="8.83203125" style="98"/>
    <col min="30" max="32" width="9.1640625" style="98"/>
    <col min="33" max="33" width="10.1640625" style="98" customWidth="1"/>
    <col min="34" max="34" width="12" style="98" bestFit="1" customWidth="1"/>
    <col min="35" max="41" width="9.1640625" style="98"/>
    <col min="42" max="42" width="8.83203125" style="98"/>
    <col min="43" max="44" width="9.1640625" style="98"/>
    <col min="45" max="45" width="8.83203125" style="98" customWidth="1"/>
    <col min="46" max="47" width="9.1640625" style="98"/>
    <col min="48" max="48" width="11.83203125" style="98" bestFit="1" customWidth="1"/>
    <col min="49" max="16384" width="9.1640625" style="98"/>
  </cols>
  <sheetData>
    <row r="1" spans="1:51" ht="28" x14ac:dyDescent="0.3">
      <c r="A1" s="237" t="s">
        <v>15</v>
      </c>
      <c r="B1" s="237"/>
      <c r="C1" s="237"/>
      <c r="D1" s="237"/>
      <c r="E1" s="237"/>
      <c r="F1" s="237"/>
      <c r="G1" s="237"/>
      <c r="H1" s="237"/>
      <c r="I1" s="237"/>
      <c r="J1" s="237"/>
      <c r="K1" s="237"/>
      <c r="L1" s="237"/>
      <c r="M1" s="237"/>
      <c r="N1" s="237" t="s">
        <v>229</v>
      </c>
      <c r="O1" s="237"/>
      <c r="P1" s="237"/>
      <c r="Q1" s="237"/>
      <c r="R1" s="237"/>
      <c r="S1" s="237"/>
      <c r="T1" s="237"/>
      <c r="U1" s="237"/>
      <c r="V1" s="237"/>
      <c r="W1" s="237"/>
      <c r="X1" s="237"/>
    </row>
    <row r="2" spans="1:51" x14ac:dyDescent="0.2">
      <c r="A2" s="158"/>
      <c r="B2" s="158" t="s">
        <v>16</v>
      </c>
      <c r="C2" s="159"/>
      <c r="D2" s="160"/>
      <c r="E2" s="158"/>
      <c r="F2" s="158"/>
      <c r="G2" s="158"/>
      <c r="H2" s="158"/>
      <c r="I2" s="158"/>
      <c r="J2" s="158"/>
      <c r="K2" s="158"/>
      <c r="L2" s="158"/>
      <c r="M2" s="158"/>
      <c r="O2" s="98"/>
    </row>
    <row r="3" spans="1:51" ht="16" thickBot="1" x14ac:dyDescent="0.25">
      <c r="A3" s="158"/>
      <c r="B3" s="158" t="s">
        <v>17</v>
      </c>
      <c r="C3" s="161"/>
      <c r="D3" s="160"/>
      <c r="E3" s="158"/>
      <c r="F3" s="162"/>
      <c r="G3" s="163"/>
      <c r="H3" s="163"/>
      <c r="I3" s="163"/>
      <c r="J3" s="163"/>
      <c r="K3" s="164"/>
      <c r="L3" s="158"/>
      <c r="M3" s="158"/>
      <c r="O3" s="98"/>
    </row>
    <row r="4" spans="1:51" ht="16" thickBot="1" x14ac:dyDescent="0.25">
      <c r="A4" s="158"/>
      <c r="B4" s="158" t="s">
        <v>18</v>
      </c>
      <c r="C4" s="165"/>
      <c r="D4" s="160"/>
      <c r="E4" s="158"/>
      <c r="F4" s="162"/>
      <c r="G4" s="163"/>
      <c r="H4" s="163"/>
      <c r="I4" s="163"/>
      <c r="J4" s="163"/>
      <c r="K4" s="164"/>
      <c r="L4" s="158"/>
      <c r="M4" s="158"/>
      <c r="N4" s="166"/>
      <c r="O4" s="167"/>
      <c r="P4" s="241" t="s">
        <v>260</v>
      </c>
      <c r="Q4" s="241"/>
      <c r="R4" s="241"/>
      <c r="S4" s="241"/>
      <c r="T4" s="241"/>
      <c r="U4" s="241"/>
      <c r="V4" s="241"/>
      <c r="W4" s="241"/>
      <c r="X4" s="241"/>
      <c r="Y4" s="241"/>
      <c r="Z4" s="241"/>
      <c r="AA4" s="241"/>
      <c r="AB4" s="241"/>
      <c r="AC4" s="241"/>
      <c r="AD4" s="241"/>
      <c r="AE4" s="242"/>
      <c r="AF4" s="243" t="s">
        <v>261</v>
      </c>
      <c r="AG4" s="241"/>
      <c r="AH4" s="241"/>
      <c r="AI4" s="241"/>
      <c r="AJ4" s="241"/>
      <c r="AK4" s="241"/>
      <c r="AL4" s="241"/>
      <c r="AM4" s="241"/>
      <c r="AN4" s="241"/>
      <c r="AO4" s="241"/>
      <c r="AP4" s="241"/>
      <c r="AQ4" s="241"/>
      <c r="AR4" s="242"/>
      <c r="AS4" s="243" t="s">
        <v>272</v>
      </c>
      <c r="AT4" s="241"/>
      <c r="AU4" s="242"/>
    </row>
    <row r="5" spans="1:51" x14ac:dyDescent="0.2">
      <c r="A5" s="158"/>
      <c r="D5" s="160"/>
      <c r="E5" s="158"/>
      <c r="F5" s="158"/>
      <c r="G5" s="158"/>
      <c r="H5" s="158"/>
      <c r="I5" s="158"/>
      <c r="J5" s="158"/>
      <c r="K5" s="158"/>
      <c r="L5" s="158"/>
      <c r="M5" s="158"/>
      <c r="N5" s="168"/>
      <c r="O5" s="169"/>
      <c r="Q5" s="239" t="s">
        <v>252</v>
      </c>
      <c r="R5" s="239"/>
      <c r="S5" s="239"/>
      <c r="T5" s="240" t="s">
        <v>254</v>
      </c>
      <c r="U5" s="240"/>
      <c r="V5" s="240"/>
      <c r="W5" s="240" t="s">
        <v>253</v>
      </c>
      <c r="X5" s="240"/>
      <c r="Y5" s="240"/>
      <c r="Z5" s="240" t="s">
        <v>257</v>
      </c>
      <c r="AA5" s="240"/>
      <c r="AB5" s="240"/>
      <c r="AC5" s="244" t="s">
        <v>259</v>
      </c>
      <c r="AD5" s="240"/>
      <c r="AE5" s="245"/>
      <c r="AG5" s="240" t="s">
        <v>268</v>
      </c>
      <c r="AH5" s="240"/>
      <c r="AI5" s="240"/>
      <c r="AJ5" s="240" t="s">
        <v>269</v>
      </c>
      <c r="AK5" s="240"/>
      <c r="AL5" s="240"/>
      <c r="AM5" s="240" t="s">
        <v>263</v>
      </c>
      <c r="AN5" s="240"/>
      <c r="AO5" s="240"/>
      <c r="AP5" s="244" t="s">
        <v>259</v>
      </c>
      <c r="AQ5" s="240"/>
      <c r="AR5" s="245"/>
      <c r="AS5" s="244" t="s">
        <v>259</v>
      </c>
      <c r="AT5" s="240"/>
      <c r="AU5" s="245"/>
      <c r="AV5" s="223"/>
    </row>
    <row r="6" spans="1:51" ht="16" thickBot="1" x14ac:dyDescent="0.25">
      <c r="A6" s="170" t="s">
        <v>19</v>
      </c>
      <c r="B6" s="170" t="s">
        <v>20</v>
      </c>
      <c r="C6" s="170" t="s">
        <v>21</v>
      </c>
      <c r="D6" s="160"/>
      <c r="E6" s="238" t="s">
        <v>22</v>
      </c>
      <c r="F6" s="238"/>
      <c r="G6" s="238"/>
      <c r="H6" s="238"/>
      <c r="I6" s="238"/>
      <c r="J6" s="238"/>
      <c r="K6" s="238"/>
      <c r="L6" s="158"/>
      <c r="M6" s="170"/>
      <c r="N6" s="168"/>
      <c r="O6" s="169"/>
      <c r="P6" s="160" t="s">
        <v>235</v>
      </c>
      <c r="Q6" s="98" t="s">
        <v>258</v>
      </c>
      <c r="R6" s="160" t="s">
        <v>255</v>
      </c>
      <c r="S6" s="160" t="s">
        <v>256</v>
      </c>
      <c r="T6" s="160" t="s">
        <v>258</v>
      </c>
      <c r="U6" s="160" t="s">
        <v>255</v>
      </c>
      <c r="V6" s="160" t="s">
        <v>256</v>
      </c>
      <c r="W6" s="160" t="s">
        <v>258</v>
      </c>
      <c r="X6" s="160" t="s">
        <v>255</v>
      </c>
      <c r="Y6" s="160" t="s">
        <v>256</v>
      </c>
      <c r="Z6" s="160" t="s">
        <v>258</v>
      </c>
      <c r="AA6" s="160" t="s">
        <v>255</v>
      </c>
      <c r="AB6" s="160" t="s">
        <v>256</v>
      </c>
      <c r="AC6" s="171" t="s">
        <v>273</v>
      </c>
      <c r="AD6" s="160" t="s">
        <v>255</v>
      </c>
      <c r="AE6" s="172" t="s">
        <v>256</v>
      </c>
      <c r="AF6" s="160" t="s">
        <v>270</v>
      </c>
      <c r="AG6" s="160" t="s">
        <v>258</v>
      </c>
      <c r="AH6" s="160" t="s">
        <v>271</v>
      </c>
      <c r="AI6" s="160" t="s">
        <v>256</v>
      </c>
      <c r="AJ6" s="160" t="s">
        <v>258</v>
      </c>
      <c r="AK6" s="160" t="s">
        <v>271</v>
      </c>
      <c r="AL6" s="160" t="s">
        <v>256</v>
      </c>
      <c r="AM6" s="160" t="s">
        <v>258</v>
      </c>
      <c r="AN6" s="160" t="s">
        <v>271</v>
      </c>
      <c r="AO6" s="160" t="s">
        <v>256</v>
      </c>
      <c r="AP6" s="171" t="s">
        <v>273</v>
      </c>
      <c r="AQ6" s="160" t="s">
        <v>255</v>
      </c>
      <c r="AR6" s="172" t="s">
        <v>256</v>
      </c>
      <c r="AS6" s="171" t="s">
        <v>273</v>
      </c>
      <c r="AT6" s="160" t="s">
        <v>255</v>
      </c>
      <c r="AU6" s="172" t="s">
        <v>256</v>
      </c>
      <c r="AV6" s="224"/>
    </row>
    <row r="7" spans="1:51" ht="16" thickBot="1" x14ac:dyDescent="0.25">
      <c r="A7" s="170"/>
      <c r="B7" s="170"/>
      <c r="C7" s="170"/>
      <c r="D7" s="160"/>
      <c r="E7" s="158"/>
      <c r="F7" s="158"/>
      <c r="G7" s="158"/>
      <c r="H7" s="158"/>
      <c r="I7" s="158"/>
      <c r="J7" s="158"/>
      <c r="K7" s="158"/>
      <c r="L7" s="158"/>
      <c r="M7" s="170"/>
      <c r="N7" s="98" t="s">
        <v>469</v>
      </c>
      <c r="O7" s="167">
        <f>fcross</f>
        <v>1000</v>
      </c>
      <c r="P7" s="173" t="str">
        <f>COMPLEX(ADC_VINmin,0)</f>
        <v>703.030303030303</v>
      </c>
      <c r="Q7" s="174" t="str">
        <f>IMSUM(COMPLEX(1,0),IMDIV(COMPLEX(0,2*PI()*O7),COMPLEX(wp_lf_VINmin,0)))</f>
        <v>1+362.330352714024i</v>
      </c>
      <c r="R7" s="174">
        <f t="shared" ref="R7:R13" si="0">IMABS(Q7)</f>
        <v>362.33173266755017</v>
      </c>
      <c r="S7" s="174">
        <f t="shared" ref="S7:S13" si="1">IMARGUMENT(Q7)</f>
        <v>1.5680364214944367</v>
      </c>
      <c r="T7" s="174" t="str">
        <f>IMSUM(COMPLEX(1,0),IMDIV(COMPLEX(0,2*PI()*O7),COMPLEX(wz_esr_VINmin,0)))</f>
        <v>1+1.75929188601029i</v>
      </c>
      <c r="U7" s="174">
        <f t="shared" ref="U7:U13" si="2">IMABS(T7)</f>
        <v>2.0236373045043528</v>
      </c>
      <c r="V7" s="174">
        <f t="shared" ref="V7:V13" si="3">IMARGUMENT(T7)</f>
        <v>1.0539283235704253</v>
      </c>
      <c r="W7" s="175" t="str">
        <f>IMSUB(COMPLEX(1,0),IMDIV(COMPLEX(0,2*PI()*O7),COMPLEX(wz_RHP_VINmin,0)))</f>
        <v>1-0.00707676470144576i</v>
      </c>
      <c r="X7" s="174">
        <f t="shared" ref="X7:X13" si="4">IMABS(W7)</f>
        <v>1.0000250399858195</v>
      </c>
      <c r="Y7" s="174">
        <f t="shared" ref="Y7:Y13" si="5">IMARGUMENT(W7)</f>
        <v>-7.0766465687912058E-3</v>
      </c>
      <c r="Z7" s="175" t="str">
        <f t="shared" ref="Z7:Z13" si="6">IF(Dc_Mode_Loop="CCM",IMSUM(COMPLEX(1,0),IMDIV(COMPLEX(0,2*PI()*O7),COMPLEX(Q*(wsl/2),0)),IMDIV(IMPOWER(COMPLEX(0,2*PI()*O7),2),IMPOWER(COMPLEX(wsl/2,0),2))),COMPLEX(1,0))</f>
        <v>0.9996-0.0266175275832316i</v>
      </c>
      <c r="AA7" s="174">
        <f t="shared" ref="AA7:AA13" si="7">IMABS(Z7)</f>
        <v>0.9999543253442349</v>
      </c>
      <c r="AB7" s="174">
        <f t="shared" ref="AB7:AB13" si="8">IMARGUMENT(Z7)</f>
        <v>-2.6621887872940224E-2</v>
      </c>
      <c r="AC7" s="176" t="str">
        <f t="shared" ref="AC7:AC13" si="9">(IMDIV(IMPRODUCT(P7,T7,W7),IMPRODUCT(Q7,Z7)))</f>
        <v>3.45621478841108-1.86381044654929i</v>
      </c>
      <c r="AD7" s="177">
        <f t="shared" ref="AD7:AD13" si="10">20*LOG(IMABS(AC7))</f>
        <v>11.88062124545648</v>
      </c>
      <c r="AE7" s="167">
        <f t="shared" ref="AE7:AE13" si="11">(180/PI())*IMARGUMENT(AC7)</f>
        <v>-28.33636438825171</v>
      </c>
      <c r="AF7" s="175" t="str">
        <f t="shared" ref="AF7:AF13" si="12">COMPLEX(Adc_ea,0)</f>
        <v>-0.0000114342530449913</v>
      </c>
      <c r="AG7" s="175" t="str">
        <f t="shared" ref="AG7:AG13" si="13">COMPLEX(0,2*PI()*O7*wp0_ea)</f>
        <v>0.000754296396126909i</v>
      </c>
      <c r="AH7" s="175">
        <f t="shared" ref="AH7:AH13" si="14">IMABS(AG7)</f>
        <v>7.5429639612690895E-4</v>
      </c>
      <c r="AI7" s="175">
        <f t="shared" ref="AI7:AI13" si="15">IMARGUMENT(AG7)</f>
        <v>1.5707963267948966</v>
      </c>
      <c r="AJ7" s="175" t="str">
        <f t="shared" ref="AJ7:AJ13" si="16">IMSUM(COMPLEX(1,0),IMDIV(COMPLEX(0,2*PI()*O7),COMPLEX(wp1_ea,0)))</f>
        <v>1+0.00690862524404586i</v>
      </c>
      <c r="AK7" s="175">
        <f t="shared" ref="AK7:AK13" si="17">IMABS(AJ7)</f>
        <v>1.0000238642666297</v>
      </c>
      <c r="AL7" s="175">
        <f t="shared" ref="AL7:AL13" si="18">IMARGUMENT(AJ7)</f>
        <v>6.9085153330320078E-3</v>
      </c>
      <c r="AM7" s="175" t="str">
        <f t="shared" ref="AM7:AM13" si="19">IMSUM(COMPLEX(1,0),IMDIV(COMPLEX(0,2*PI()*O7),COMPLEX(wz_ea,0)))</f>
        <v>1+16.5876092109541i</v>
      </c>
      <c r="AN7" s="175">
        <f t="shared" ref="AN7:AN13" si="20">IMABS(AM7)</f>
        <v>16.617724854363466</v>
      </c>
      <c r="AO7" s="175">
        <f t="shared" ref="AO7:AO13" si="21">IMARGUMENT(AM7)</f>
        <v>1.5105832390353573</v>
      </c>
      <c r="AP7" s="166" t="str">
        <f t="shared" ref="AP7:AP13" si="22">IMPRODUCT(AF7,IMDIV(AM7,IMPRODUCT(AG7,AJ7)))</f>
        <v>-0.251332074107658+0.0168951920370491i</v>
      </c>
      <c r="AQ7" s="175">
        <f t="shared" ref="AQ7:AQ13" si="23">20*LOG(IMABS(AP7))</f>
        <v>-11.975460674275896</v>
      </c>
      <c r="AR7" s="167">
        <f t="shared" ref="AR7:AR13" si="24">(180/PI())*IMARGUMENT(AP7)</f>
        <v>176.15421542864343</v>
      </c>
      <c r="AS7" s="166" t="str">
        <f t="shared" ref="AS7:AS13" si="25">IMPRODUCT(AC7,AP7)</f>
        <v>-0.837168195917809+0.526828757846248i</v>
      </c>
      <c r="AT7" s="177">
        <f t="shared" ref="AT7:AT13" si="26">20*LOG(IMABS(AS7))</f>
        <v>-9.4839428819411056E-2</v>
      </c>
      <c r="AU7" s="167">
        <f t="shared" ref="AU7:AU13" si="27">(180/PI())*IMARGUMENT(AS7)</f>
        <v>147.8178510403917</v>
      </c>
      <c r="AV7" s="225"/>
    </row>
    <row r="8" spans="1:51" ht="16" thickBot="1" x14ac:dyDescent="0.25">
      <c r="A8" s="170"/>
      <c r="B8" s="170"/>
      <c r="C8" s="170"/>
      <c r="D8" s="160"/>
      <c r="E8" s="158"/>
      <c r="F8" s="158"/>
      <c r="G8" s="158"/>
      <c r="H8" s="158"/>
      <c r="I8" s="158"/>
      <c r="J8" s="158"/>
      <c r="K8" s="158"/>
      <c r="L8" s="158"/>
      <c r="M8" s="170"/>
      <c r="N8" s="166" t="s">
        <v>302</v>
      </c>
      <c r="O8" s="167">
        <f>fcross</f>
        <v>1000</v>
      </c>
      <c r="P8" s="173" t="str">
        <f t="shared" ref="P8:P13" si="28">COMPLEX(Adc,0)</f>
        <v>1757.57575757576</v>
      </c>
      <c r="Q8" s="174" t="str">
        <f t="shared" ref="Q8:Q13" si="29">IMSUM(COMPLEX(1,0),IMDIV(COMPLEX(0,2*PI()*O8),COMPLEX(wp_lf,0)))</f>
        <v>1+362.330352714024i</v>
      </c>
      <c r="R8" s="174">
        <f t="shared" si="0"/>
        <v>362.33173266755017</v>
      </c>
      <c r="S8" s="174">
        <f t="shared" si="1"/>
        <v>1.5680364214944367</v>
      </c>
      <c r="T8" s="174" t="str">
        <f t="shared" ref="T8:T13" si="30">IMSUM(COMPLEX(1,0),IMDIV(COMPLEX(0,2*PI()*O8),COMPLEX(wz_esr,0)))</f>
        <v>1+1.75929188601029i</v>
      </c>
      <c r="U8" s="174">
        <f t="shared" si="2"/>
        <v>2.0236373045043528</v>
      </c>
      <c r="V8" s="174">
        <f t="shared" si="3"/>
        <v>1.0539283235704253</v>
      </c>
      <c r="W8" s="175" t="str">
        <f t="shared" ref="W8:W13" si="31">IMSUB(COMPLEX(1,0),IMDIV(COMPLEX(0,2*PI()*O8),COMPLEX(wz_rhp,0)))</f>
        <v>1-0.00113228235223132i</v>
      </c>
      <c r="X8" s="174">
        <f t="shared" si="4"/>
        <v>1.0000006410314572</v>
      </c>
      <c r="Y8" s="174">
        <f t="shared" si="5"/>
        <v>-1.1322818683457997E-3</v>
      </c>
      <c r="Z8" s="175" t="str">
        <f t="shared" si="6"/>
        <v>0.9996-0.0266175275832316i</v>
      </c>
      <c r="AA8" s="174">
        <f t="shared" si="7"/>
        <v>0.9999543253442349</v>
      </c>
      <c r="AB8" s="174">
        <f t="shared" si="8"/>
        <v>-2.6621887872940224E-2</v>
      </c>
      <c r="AC8" s="176" t="str">
        <f t="shared" si="9"/>
        <v>8.66787058535659-4.60796916330418i</v>
      </c>
      <c r="AD8" s="177">
        <f t="shared" si="10"/>
        <v>19.839209494993561</v>
      </c>
      <c r="AE8" s="167">
        <f t="shared" si="11"/>
        <v>-27.995777379029697</v>
      </c>
      <c r="AF8" s="175" t="str">
        <f t="shared" si="12"/>
        <v>-0.0000114342530449913</v>
      </c>
      <c r="AG8" s="175" t="str">
        <f t="shared" si="13"/>
        <v>0.000754296396126909i</v>
      </c>
      <c r="AH8" s="175">
        <f t="shared" si="14"/>
        <v>7.5429639612690895E-4</v>
      </c>
      <c r="AI8" s="175">
        <f t="shared" si="15"/>
        <v>1.5707963267948966</v>
      </c>
      <c r="AJ8" s="175" t="str">
        <f t="shared" si="16"/>
        <v>1+0.00690862524404586i</v>
      </c>
      <c r="AK8" s="175">
        <f t="shared" si="17"/>
        <v>1.0000238642666297</v>
      </c>
      <c r="AL8" s="175">
        <f t="shared" si="18"/>
        <v>6.9085153330320078E-3</v>
      </c>
      <c r="AM8" s="175" t="str">
        <f t="shared" si="19"/>
        <v>1+16.5876092109541i</v>
      </c>
      <c r="AN8" s="175">
        <f t="shared" si="20"/>
        <v>16.617724854363466</v>
      </c>
      <c r="AO8" s="175">
        <f t="shared" si="21"/>
        <v>1.5105832390353573</v>
      </c>
      <c r="AP8" s="166" t="str">
        <f t="shared" si="22"/>
        <v>-0.251332074107658+0.0168951920370491i</v>
      </c>
      <c r="AQ8" s="175">
        <f t="shared" si="23"/>
        <v>-11.975460674275896</v>
      </c>
      <c r="AR8" s="167">
        <f t="shared" si="24"/>
        <v>176.15421542864343</v>
      </c>
      <c r="AS8" s="166" t="str">
        <f t="shared" si="25"/>
        <v>-2.10066136839961+1.30457578532926i</v>
      </c>
      <c r="AT8" s="177">
        <f t="shared" si="26"/>
        <v>7.863748820717678</v>
      </c>
      <c r="AU8" s="167">
        <f t="shared" si="27"/>
        <v>148.15843804961369</v>
      </c>
      <c r="AV8" s="225"/>
    </row>
    <row r="9" spans="1:51" x14ac:dyDescent="0.2">
      <c r="A9" s="178" t="s">
        <v>205</v>
      </c>
      <c r="B9" s="170"/>
      <c r="C9" s="170"/>
      <c r="D9" s="160"/>
      <c r="E9" s="158"/>
      <c r="F9" s="158"/>
      <c r="G9" s="158"/>
      <c r="H9" s="158"/>
      <c r="I9" s="158"/>
      <c r="J9" s="158"/>
      <c r="K9" s="158"/>
      <c r="L9" s="158"/>
      <c r="M9" s="170"/>
      <c r="N9" s="179" t="s">
        <v>303</v>
      </c>
      <c r="O9" s="180">
        <f>wz_rhp/(2*PI())</f>
        <v>883171.93854462146</v>
      </c>
      <c r="P9" s="181" t="str">
        <f t="shared" si="28"/>
        <v>1757.57575757576</v>
      </c>
      <c r="Q9" s="182" t="str">
        <f t="shared" si="29"/>
        <v>1+320000.000000001i</v>
      </c>
      <c r="R9" s="182">
        <f t="shared" si="0"/>
        <v>320000.00000156346</v>
      </c>
      <c r="S9" s="182">
        <f t="shared" si="1"/>
        <v>1.5707932017948967</v>
      </c>
      <c r="T9" s="182" t="str">
        <f t="shared" si="30"/>
        <v>1+1553.75722543353i</v>
      </c>
      <c r="U9" s="182">
        <f t="shared" si="2"/>
        <v>1553.7575472340918</v>
      </c>
      <c r="V9" s="182">
        <f t="shared" si="3"/>
        <v>1.570152725693285</v>
      </c>
      <c r="W9" s="183" t="str">
        <f t="shared" si="31"/>
        <v>1-i</v>
      </c>
      <c r="X9" s="182">
        <f t="shared" si="4"/>
        <v>1.4142135623730951</v>
      </c>
      <c r="Y9" s="182">
        <f t="shared" si="5"/>
        <v>-0.78539816339744828</v>
      </c>
      <c r="Z9" s="183" t="str">
        <f t="shared" si="6"/>
        <v>-310.997069213067-23.5078534349476i</v>
      </c>
      <c r="AA9" s="182">
        <f t="shared" si="7"/>
        <v>311.88426736890102</v>
      </c>
      <c r="AB9" s="182">
        <f t="shared" si="8"/>
        <v>-3.0661474588703146</v>
      </c>
      <c r="AC9" s="184" t="str">
        <f t="shared" si="9"/>
        <v>-0.0252033398028303+0.029363093568632i</v>
      </c>
      <c r="AD9" s="185">
        <f t="shared" si="10"/>
        <v>-28.246622868911302</v>
      </c>
      <c r="AE9" s="186">
        <f t="shared" si="11"/>
        <v>130.64061218052981</v>
      </c>
      <c r="AF9" s="183" t="str">
        <f t="shared" si="12"/>
        <v>-0.0000114342530449913</v>
      </c>
      <c r="AG9" s="183" t="str">
        <f t="shared" si="13"/>
        <v>0.666173410404624i</v>
      </c>
      <c r="AH9" s="183">
        <f t="shared" si="14"/>
        <v>0.66617341040462397</v>
      </c>
      <c r="AI9" s="183">
        <f t="shared" si="15"/>
        <v>1.5707963267948966</v>
      </c>
      <c r="AJ9" s="183" t="str">
        <f t="shared" si="16"/>
        <v>1+6.10150394946229i</v>
      </c>
      <c r="AK9" s="183">
        <f t="shared" si="17"/>
        <v>6.1829079279335808</v>
      </c>
      <c r="AL9" s="183">
        <f t="shared" si="18"/>
        <v>1.408346568230795</v>
      </c>
      <c r="AM9" s="183" t="str">
        <f t="shared" si="19"/>
        <v>1+14649.710982659i</v>
      </c>
      <c r="AN9" s="183">
        <f t="shared" si="20"/>
        <v>14649.711016789366</v>
      </c>
      <c r="AO9" s="183">
        <f t="shared" si="21"/>
        <v>1.5707280660626795</v>
      </c>
      <c r="AP9" s="179" t="str">
        <f t="shared" si="22"/>
        <v>-0.00657480814720653+0.0401333819561392i</v>
      </c>
      <c r="AQ9" s="183">
        <f t="shared" si="23"/>
        <v>-27.814864334030162</v>
      </c>
      <c r="AR9" s="186">
        <f t="shared" si="24"/>
        <v>99.303774496779695</v>
      </c>
      <c r="AS9" s="179" t="str">
        <f t="shared" si="25"/>
        <v>-0.0010127331257313-0.00120455196969958i</v>
      </c>
      <c r="AT9" s="185">
        <f t="shared" si="26"/>
        <v>-56.061487202941478</v>
      </c>
      <c r="AU9" s="186">
        <f t="shared" si="27"/>
        <v>-130.05561332269059</v>
      </c>
      <c r="AV9" s="225"/>
    </row>
    <row r="10" spans="1:51" x14ac:dyDescent="0.2">
      <c r="A10" s="98" t="s">
        <v>25</v>
      </c>
      <c r="B10" s="187">
        <f>VIN_min</f>
        <v>4.8</v>
      </c>
      <c r="C10" s="98" t="s">
        <v>10</v>
      </c>
      <c r="E10" s="98" t="s">
        <v>28</v>
      </c>
      <c r="N10" s="168" t="s">
        <v>254</v>
      </c>
      <c r="O10" s="188">
        <f>wz_esr/(2*PI())</f>
        <v>568.41051104248334</v>
      </c>
      <c r="P10" s="189" t="str">
        <f t="shared" si="28"/>
        <v>1757.57575757576</v>
      </c>
      <c r="Q10" s="160" t="str">
        <f t="shared" si="29"/>
        <v>1+205.952380952381i</v>
      </c>
      <c r="R10" s="160">
        <f t="shared" si="0"/>
        <v>205.95480868373687</v>
      </c>
      <c r="S10" s="160">
        <f t="shared" si="1"/>
        <v>1.5659408736222349</v>
      </c>
      <c r="T10" s="160" t="str">
        <f t="shared" si="30"/>
        <v>1+i</v>
      </c>
      <c r="U10" s="160">
        <f t="shared" si="2"/>
        <v>1.4142135623730951</v>
      </c>
      <c r="V10" s="160">
        <f t="shared" si="3"/>
        <v>0.78539816339744828</v>
      </c>
      <c r="W10" s="98" t="str">
        <f t="shared" si="31"/>
        <v>1-0.00064360119047619i</v>
      </c>
      <c r="X10" s="160">
        <f t="shared" si="4"/>
        <v>1.0000002071112246</v>
      </c>
      <c r="Y10" s="160">
        <f t="shared" si="5"/>
        <v>-6.4360110161151569E-4</v>
      </c>
      <c r="Z10" s="98" t="str">
        <f t="shared" si="6"/>
        <v>0.999870763796375-0.0151296824562721i</v>
      </c>
      <c r="AA10" s="160">
        <f t="shared" si="7"/>
        <v>0.99998522568384673</v>
      </c>
      <c r="AB10" s="160">
        <f t="shared" si="8"/>
        <v>-1.5130483291113097E-2</v>
      </c>
      <c r="AC10" s="171" t="str">
        <f t="shared" si="9"/>
        <v>8.69738044799369-8.36726910474152i</v>
      </c>
      <c r="AD10" s="190">
        <f t="shared" si="10"/>
        <v>21.63327242980078</v>
      </c>
      <c r="AE10" s="169">
        <f t="shared" si="11"/>
        <v>-43.891765817821472</v>
      </c>
      <c r="AF10" s="98" t="str">
        <f t="shared" si="12"/>
        <v>-0.0000114342530449913</v>
      </c>
      <c r="AG10" s="98" t="str">
        <f t="shared" si="13"/>
        <v>0.00042875i</v>
      </c>
      <c r="AH10" s="98">
        <f t="shared" si="14"/>
        <v>4.2874999999999999E-4</v>
      </c>
      <c r="AI10" s="98">
        <f t="shared" si="15"/>
        <v>1.5707963267948966</v>
      </c>
      <c r="AJ10" s="98" t="str">
        <f t="shared" si="16"/>
        <v>1+0.00392693520556911i</v>
      </c>
      <c r="AK10" s="98">
        <f t="shared" si="17"/>
        <v>1.0000077103803293</v>
      </c>
      <c r="AL10" s="98">
        <f t="shared" si="18"/>
        <v>3.9269150202354127E-3</v>
      </c>
      <c r="AM10" s="98" t="str">
        <f t="shared" si="19"/>
        <v>1+9.42857142857142i</v>
      </c>
      <c r="AN10" s="98">
        <f t="shared" si="20"/>
        <v>9.4814534320257717</v>
      </c>
      <c r="AO10" s="98">
        <f t="shared" si="21"/>
        <v>1.4651307446950408</v>
      </c>
      <c r="AP10" s="168" t="str">
        <f t="shared" si="22"/>
        <v>-0.251340194090131+0.0276558084234907i</v>
      </c>
      <c r="AQ10" s="98">
        <f t="shared" si="23"/>
        <v>-11.942495322869179</v>
      </c>
      <c r="AR10" s="169">
        <f t="shared" si="24"/>
        <v>173.72081244871913</v>
      </c>
      <c r="AS10" s="168" t="str">
        <f t="shared" si="25"/>
        <v>-1.95459769848592+2.34356412824602i</v>
      </c>
      <c r="AT10" s="190">
        <f t="shared" si="26"/>
        <v>9.6907771069316055</v>
      </c>
      <c r="AU10" s="169">
        <f t="shared" si="27"/>
        <v>129.82904663089764</v>
      </c>
      <c r="AV10" s="225"/>
    </row>
    <row r="11" spans="1:51" ht="16" thickBot="1" x14ac:dyDescent="0.25">
      <c r="A11" s="98" t="s">
        <v>26</v>
      </c>
      <c r="B11" s="187">
        <f>VIN_nom</f>
        <v>12</v>
      </c>
      <c r="C11" s="98" t="s">
        <v>10</v>
      </c>
      <c r="E11" s="98" t="s">
        <v>29</v>
      </c>
      <c r="N11" s="191" t="s">
        <v>252</v>
      </c>
      <c r="O11" s="192">
        <f>wp_lf/(2*PI())</f>
        <v>2.7599123079519421</v>
      </c>
      <c r="P11" s="193" t="str">
        <f t="shared" si="28"/>
        <v>1757.57575757576</v>
      </c>
      <c r="Q11" s="194" t="str">
        <f t="shared" si="29"/>
        <v>1+i</v>
      </c>
      <c r="R11" s="194">
        <f t="shared" si="0"/>
        <v>1.4142135623730951</v>
      </c>
      <c r="S11" s="194">
        <f t="shared" si="1"/>
        <v>0.78539816339744828</v>
      </c>
      <c r="T11" s="194" t="str">
        <f t="shared" si="30"/>
        <v>1+0.00485549132947976i</v>
      </c>
      <c r="U11" s="194">
        <f t="shared" si="2"/>
        <v>1.0000117878285488</v>
      </c>
      <c r="V11" s="194">
        <f t="shared" si="3"/>
        <v>4.8554531726617356E-3</v>
      </c>
      <c r="W11" s="195" t="str">
        <f t="shared" si="31"/>
        <v>1-3.12499999999999E-06i</v>
      </c>
      <c r="X11" s="194">
        <f t="shared" si="4"/>
        <v>1.0000000000048828</v>
      </c>
      <c r="Y11" s="194">
        <f t="shared" si="5"/>
        <v>-3.1249999999898175E-6</v>
      </c>
      <c r="Z11" s="195" t="str">
        <f t="shared" si="6"/>
        <v>0.999999996953154-0.000073462041984211i</v>
      </c>
      <c r="AA11" s="194">
        <f t="shared" si="7"/>
        <v>0.99999999965148978</v>
      </c>
      <c r="AB11" s="194">
        <f t="shared" si="8"/>
        <v>-7.3462042075888356E-5</v>
      </c>
      <c r="AC11" s="196" t="str">
        <f t="shared" si="9"/>
        <v>883.116335057036-874.458818543362i</v>
      </c>
      <c r="AD11" s="197">
        <f t="shared" si="10"/>
        <v>61.888083507305119</v>
      </c>
      <c r="AE11" s="198">
        <f t="shared" si="11"/>
        <v>-44.717773009928656</v>
      </c>
      <c r="AF11" s="195" t="str">
        <f t="shared" si="12"/>
        <v>-0.0000114342530449913</v>
      </c>
      <c r="AG11" s="195" t="str">
        <f t="shared" si="13"/>
        <v>2.08179190751445E-06i</v>
      </c>
      <c r="AH11" s="195">
        <f t="shared" si="14"/>
        <v>2.0817919075144498E-6</v>
      </c>
      <c r="AI11" s="195">
        <f t="shared" si="15"/>
        <v>1.5707963267948966</v>
      </c>
      <c r="AJ11" s="195" t="str">
        <f t="shared" si="16"/>
        <v>1+0.0000190671998420696i</v>
      </c>
      <c r="AK11" s="195">
        <f t="shared" si="17"/>
        <v>1.000000000181779</v>
      </c>
      <c r="AL11" s="195">
        <f t="shared" si="18"/>
        <v>1.906719983975892E-5</v>
      </c>
      <c r="AM11" s="195" t="str">
        <f t="shared" si="19"/>
        <v>1+0.0457803468208091i</v>
      </c>
      <c r="AN11" s="195">
        <f t="shared" si="20"/>
        <v>1.0010473715838994</v>
      </c>
      <c r="AO11" s="195">
        <f t="shared" si="21"/>
        <v>4.5748404216094878E-2</v>
      </c>
      <c r="AP11" s="191" t="str">
        <f t="shared" si="22"/>
        <v>-0.251344069870671+5.49251007295932i</v>
      </c>
      <c r="AQ11" s="195">
        <f t="shared" si="23"/>
        <v>14.804502254105799</v>
      </c>
      <c r="AR11" s="198">
        <f t="shared" si="24"/>
        <v>92.620098010962778</v>
      </c>
      <c r="AS11" s="191" t="str">
        <f t="shared" si="25"/>
        <v>4581.00781541502+5070.31540428268i</v>
      </c>
      <c r="AT11" s="197">
        <f t="shared" si="26"/>
        <v>76.692585761410925</v>
      </c>
      <c r="AU11" s="198">
        <f t="shared" si="27"/>
        <v>47.902325001034129</v>
      </c>
      <c r="AV11" s="225"/>
      <c r="AX11" s="213" t="s">
        <v>537</v>
      </c>
      <c r="AY11" s="213"/>
    </row>
    <row r="12" spans="1:51" x14ac:dyDescent="0.2">
      <c r="A12" s="98" t="s">
        <v>27</v>
      </c>
      <c r="B12" s="187">
        <f>VIN_max</f>
        <v>18</v>
      </c>
      <c r="C12" s="98" t="s">
        <v>10</v>
      </c>
      <c r="E12" s="98" t="s">
        <v>30</v>
      </c>
      <c r="N12" s="179" t="s">
        <v>263</v>
      </c>
      <c r="O12" s="186">
        <f>wz_ea/(2*PI())</f>
        <v>60.285963292384594</v>
      </c>
      <c r="P12" s="181" t="str">
        <f t="shared" si="28"/>
        <v>1757.57575757576</v>
      </c>
      <c r="Q12" s="182" t="str">
        <f t="shared" si="29"/>
        <v>1+21.8434343434344i</v>
      </c>
      <c r="R12" s="182">
        <f t="shared" si="0"/>
        <v>21.866312535860487</v>
      </c>
      <c r="S12" s="182">
        <f t="shared" si="1"/>
        <v>1.5250479225788016</v>
      </c>
      <c r="T12" s="182" t="str">
        <f t="shared" si="30"/>
        <v>1+0.106060606060606i</v>
      </c>
      <c r="U12" s="182">
        <f t="shared" si="2"/>
        <v>1.0056086973360676</v>
      </c>
      <c r="V12" s="182">
        <f t="shared" si="3"/>
        <v>0.1056655820998557</v>
      </c>
      <c r="W12" s="183" t="str">
        <f t="shared" si="31"/>
        <v>1-0.0000682607323232323i</v>
      </c>
      <c r="X12" s="182">
        <f t="shared" si="4"/>
        <v>1.0000000023297637</v>
      </c>
      <c r="Y12" s="182">
        <f t="shared" si="5"/>
        <v>-6.8260732217211383E-5</v>
      </c>
      <c r="Z12" s="183" t="str">
        <f t="shared" si="6"/>
        <v>0.999998546241052-0.00160466329081674i</v>
      </c>
      <c r="AA12" s="182">
        <f t="shared" si="7"/>
        <v>0.99999983371423329</v>
      </c>
      <c r="AB12" s="182">
        <f t="shared" si="8"/>
        <v>-1.6046642463036843E-3</v>
      </c>
      <c r="AC12" s="184" t="str">
        <f t="shared" si="9"/>
        <v>12.3146921936645-79.8854639644928i</v>
      </c>
      <c r="AD12" s="185">
        <f t="shared" si="10"/>
        <v>38.151351930977526</v>
      </c>
      <c r="AE12" s="186">
        <f t="shared" si="11"/>
        <v>-81.236588187858203</v>
      </c>
      <c r="AF12" s="183" t="str">
        <f t="shared" si="12"/>
        <v>-0.0000114342530449913</v>
      </c>
      <c r="AG12" s="183" t="str">
        <f t="shared" si="13"/>
        <v>0.0000454734848484849i</v>
      </c>
      <c r="AH12" s="183">
        <f t="shared" si="14"/>
        <v>4.5473484848484898E-5</v>
      </c>
      <c r="AI12" s="183">
        <f t="shared" si="15"/>
        <v>1.5707963267948966</v>
      </c>
      <c r="AJ12" s="183" t="str">
        <f t="shared" si="16"/>
        <v>1+0.00041649312786339i</v>
      </c>
      <c r="AK12" s="183">
        <f t="shared" si="17"/>
        <v>1.000000086733259</v>
      </c>
      <c r="AL12" s="183">
        <f t="shared" si="18"/>
        <v>4.164931037808539E-4</v>
      </c>
      <c r="AM12" s="183" t="str">
        <f t="shared" si="19"/>
        <v>1+i</v>
      </c>
      <c r="AN12" s="183">
        <f t="shared" si="20"/>
        <v>1.4142135623730951</v>
      </c>
      <c r="AO12" s="183">
        <f t="shared" si="21"/>
        <v>0.78539816339744828</v>
      </c>
      <c r="AP12" s="179" t="str">
        <f t="shared" si="22"/>
        <v>-0.251344026362275+0.251553479717577i</v>
      </c>
      <c r="AQ12" s="183">
        <f t="shared" si="23"/>
        <v>-8.9807095649737274</v>
      </c>
      <c r="AR12" s="186">
        <f t="shared" si="24"/>
        <v>134.97613670295704</v>
      </c>
      <c r="AS12" s="179" t="str">
        <f t="shared" si="25"/>
        <v>17.0002421197536+23.1765378336212i</v>
      </c>
      <c r="AT12" s="185">
        <f t="shared" si="26"/>
        <v>29.170642366003797</v>
      </c>
      <c r="AU12" s="186">
        <f t="shared" si="27"/>
        <v>53.739548515098726</v>
      </c>
      <c r="AV12" s="225"/>
      <c r="AX12" t="s">
        <v>538</v>
      </c>
      <c r="AY12">
        <f>SUM(AX19:AX559)/1000</f>
        <v>66.069344800759737</v>
      </c>
    </row>
    <row r="13" spans="1:51" ht="16" thickBot="1" x14ac:dyDescent="0.25">
      <c r="A13" s="98" t="s">
        <v>68</v>
      </c>
      <c r="B13" s="187">
        <f>Fsw</f>
        <v>100000</v>
      </c>
      <c r="C13" s="98" t="s">
        <v>69</v>
      </c>
      <c r="E13" s="98" t="s">
        <v>70</v>
      </c>
      <c r="N13" s="191" t="s">
        <v>269</v>
      </c>
      <c r="O13" s="198">
        <f>wp1_ea/(2*PI())</f>
        <v>144746.59786501544</v>
      </c>
      <c r="P13" s="193" t="str">
        <f t="shared" si="28"/>
        <v>1757.57575757576</v>
      </c>
      <c r="Q13" s="194" t="str">
        <f t="shared" si="29"/>
        <v>1+52446.085858586i</v>
      </c>
      <c r="R13" s="194">
        <f t="shared" si="0"/>
        <v>52446.085868119597</v>
      </c>
      <c r="S13" s="194">
        <f t="shared" si="1"/>
        <v>1.5707772595950569</v>
      </c>
      <c r="T13" s="194" t="str">
        <f t="shared" si="30"/>
        <v>1+254.651515151515i</v>
      </c>
      <c r="U13" s="194">
        <f t="shared" si="2"/>
        <v>254.65347861154828</v>
      </c>
      <c r="V13" s="194">
        <f t="shared" si="3"/>
        <v>1.5668694117746611</v>
      </c>
      <c r="W13" s="195" t="str">
        <f t="shared" si="31"/>
        <v>1-0.163894018308081i</v>
      </c>
      <c r="X13" s="194">
        <f t="shared" si="4"/>
        <v>1.0133416251379244</v>
      </c>
      <c r="Y13" s="194">
        <f t="shared" si="5"/>
        <v>-0.16244975856410193</v>
      </c>
      <c r="Z13" s="195" t="str">
        <f t="shared" si="6"/>
        <v>-7.38063103739861-3.85279656125098i</v>
      </c>
      <c r="AA13" s="194">
        <f t="shared" si="7"/>
        <v>8.3257285478568814</v>
      </c>
      <c r="AB13" s="194">
        <f t="shared" si="8"/>
        <v>-2.6604889333906296</v>
      </c>
      <c r="AC13" s="196" t="str">
        <f t="shared" si="9"/>
        <v>-0.828474127365009+0.626497359874478i</v>
      </c>
      <c r="AD13" s="197">
        <f t="shared" si="10"/>
        <v>0.32968441278235638</v>
      </c>
      <c r="AE13" s="198">
        <f t="shared" si="11"/>
        <v>142.9031985888148</v>
      </c>
      <c r="AF13" s="195" t="str">
        <f t="shared" si="12"/>
        <v>-0.0000114342530449913</v>
      </c>
      <c r="AG13" s="195" t="str">
        <f t="shared" si="13"/>
        <v>0.109181837121212i</v>
      </c>
      <c r="AH13" s="195">
        <f t="shared" si="14"/>
        <v>0.109181837121212</v>
      </c>
      <c r="AI13" s="195">
        <f t="shared" si="15"/>
        <v>1.5707963267948966</v>
      </c>
      <c r="AJ13" s="195" t="str">
        <f t="shared" si="16"/>
        <v>1+i</v>
      </c>
      <c r="AK13" s="195">
        <f t="shared" si="17"/>
        <v>1.4142135623730951</v>
      </c>
      <c r="AL13" s="195">
        <f t="shared" si="18"/>
        <v>0.78539816339744828</v>
      </c>
      <c r="AM13" s="195" t="str">
        <f t="shared" si="19"/>
        <v>1+2401i</v>
      </c>
      <c r="AN13" s="195">
        <f t="shared" si="20"/>
        <v>2401.0002082465548</v>
      </c>
      <c r="AO13" s="195">
        <f t="shared" si="21"/>
        <v>1.5703798336911157</v>
      </c>
      <c r="AP13" s="191" t="str">
        <f t="shared" si="22"/>
        <v>-0.125672034981025+0.125776761676842i</v>
      </c>
      <c r="AQ13" s="195">
        <f t="shared" si="23"/>
        <v>-15.001307971542403</v>
      </c>
      <c r="AR13" s="198">
        <f t="shared" si="24"/>
        <v>134.97613670295718</v>
      </c>
      <c r="AS13" s="191" t="str">
        <f t="shared" si="25"/>
        <v>0.0253172203909866-0.182935990998684i</v>
      </c>
      <c r="AT13" s="197">
        <f t="shared" si="26"/>
        <v>-14.671623558760029</v>
      </c>
      <c r="AU13" s="198">
        <f t="shared" si="27"/>
        <v>-82.120664708228048</v>
      </c>
      <c r="AV13" s="225"/>
      <c r="AX13"/>
      <c r="AY13"/>
    </row>
    <row r="14" spans="1:51" x14ac:dyDescent="0.2">
      <c r="A14" s="98" t="s">
        <v>563</v>
      </c>
      <c r="B14" s="98" t="s">
        <v>495</v>
      </c>
      <c r="E14" s="98" t="s">
        <v>564</v>
      </c>
      <c r="AX14" t="s">
        <v>539</v>
      </c>
      <c r="AY14" s="23">
        <f>SUM(AY19:AY559)</f>
        <v>-96.366905456734472</v>
      </c>
    </row>
    <row r="15" spans="1:51" ht="16" thickBot="1" x14ac:dyDescent="0.25">
      <c r="O15" s="199" t="s">
        <v>231</v>
      </c>
      <c r="P15" s="98">
        <f>B17</f>
        <v>12</v>
      </c>
      <c r="Q15" s="98" t="s">
        <v>10</v>
      </c>
    </row>
    <row r="16" spans="1:51" ht="16" thickBot="1" x14ac:dyDescent="0.25">
      <c r="A16" s="200" t="s">
        <v>262</v>
      </c>
      <c r="O16" s="201"/>
      <c r="P16" s="241" t="s">
        <v>260</v>
      </c>
      <c r="Q16" s="241"/>
      <c r="R16" s="241"/>
      <c r="S16" s="241"/>
      <c r="T16" s="241"/>
      <c r="U16" s="241"/>
      <c r="V16" s="241"/>
      <c r="W16" s="241"/>
      <c r="X16" s="241"/>
      <c r="Y16" s="241"/>
      <c r="Z16" s="241"/>
      <c r="AA16" s="241"/>
      <c r="AB16" s="241"/>
      <c r="AC16" s="241"/>
      <c r="AD16" s="241"/>
      <c r="AE16" s="242"/>
      <c r="AF16" s="243" t="s">
        <v>261</v>
      </c>
      <c r="AG16" s="241"/>
      <c r="AH16" s="241"/>
      <c r="AI16" s="241"/>
      <c r="AJ16" s="241"/>
      <c r="AK16" s="241"/>
      <c r="AL16" s="241"/>
      <c r="AM16" s="241"/>
      <c r="AN16" s="241"/>
      <c r="AO16" s="241"/>
      <c r="AP16" s="241"/>
      <c r="AQ16" s="241"/>
      <c r="AR16" s="242"/>
      <c r="AS16" s="243" t="s">
        <v>272</v>
      </c>
      <c r="AT16" s="241"/>
      <c r="AU16" s="242"/>
    </row>
    <row r="17" spans="1:51" x14ac:dyDescent="0.2">
      <c r="A17" s="98" t="s">
        <v>233</v>
      </c>
      <c r="B17" s="98">
        <f>VIN_var</f>
        <v>12</v>
      </c>
      <c r="C17" s="98" t="s">
        <v>10</v>
      </c>
      <c r="E17" s="98" t="s">
        <v>234</v>
      </c>
      <c r="O17" s="202"/>
      <c r="Q17" s="239" t="s">
        <v>252</v>
      </c>
      <c r="R17" s="239"/>
      <c r="S17" s="239"/>
      <c r="T17" s="240" t="s">
        <v>254</v>
      </c>
      <c r="U17" s="240"/>
      <c r="V17" s="240"/>
      <c r="W17" s="240" t="s">
        <v>253</v>
      </c>
      <c r="X17" s="240"/>
      <c r="Y17" s="240"/>
      <c r="Z17" s="240" t="s">
        <v>257</v>
      </c>
      <c r="AA17" s="240"/>
      <c r="AB17" s="240"/>
      <c r="AC17" s="244" t="s">
        <v>259</v>
      </c>
      <c r="AD17" s="240"/>
      <c r="AE17" s="245"/>
      <c r="AG17" s="240" t="s">
        <v>268</v>
      </c>
      <c r="AH17" s="240"/>
      <c r="AI17" s="240"/>
      <c r="AJ17" s="240" t="s">
        <v>269</v>
      </c>
      <c r="AK17" s="240"/>
      <c r="AL17" s="240"/>
      <c r="AM17" s="240" t="s">
        <v>263</v>
      </c>
      <c r="AN17" s="240"/>
      <c r="AO17" s="240"/>
      <c r="AP17" s="244" t="s">
        <v>259</v>
      </c>
      <c r="AQ17" s="240"/>
      <c r="AR17" s="245"/>
      <c r="AS17" s="244" t="s">
        <v>259</v>
      </c>
      <c r="AT17" s="240"/>
      <c r="AU17" s="245"/>
      <c r="AV17" s="223"/>
    </row>
    <row r="18" spans="1:51" ht="16" thickBot="1" x14ac:dyDescent="0.25">
      <c r="A18" s="98" t="s">
        <v>450</v>
      </c>
      <c r="C18" s="98" t="s">
        <v>11</v>
      </c>
      <c r="E18" s="98" t="s">
        <v>451</v>
      </c>
      <c r="N18" s="170"/>
      <c r="O18" s="203" t="s">
        <v>230</v>
      </c>
      <c r="P18" s="194" t="s">
        <v>235</v>
      </c>
      <c r="Q18" s="195" t="s">
        <v>258</v>
      </c>
      <c r="R18" s="194" t="s">
        <v>255</v>
      </c>
      <c r="S18" s="194" t="s">
        <v>256</v>
      </c>
      <c r="T18" s="194" t="s">
        <v>258</v>
      </c>
      <c r="U18" s="194" t="s">
        <v>255</v>
      </c>
      <c r="V18" s="194" t="s">
        <v>256</v>
      </c>
      <c r="W18" s="194" t="s">
        <v>258</v>
      </c>
      <c r="X18" s="194" t="s">
        <v>255</v>
      </c>
      <c r="Y18" s="194" t="s">
        <v>256</v>
      </c>
      <c r="Z18" s="194" t="s">
        <v>258</v>
      </c>
      <c r="AA18" s="194" t="s">
        <v>255</v>
      </c>
      <c r="AB18" s="194" t="s">
        <v>256</v>
      </c>
      <c r="AC18" s="196" t="s">
        <v>273</v>
      </c>
      <c r="AD18" s="194" t="s">
        <v>255</v>
      </c>
      <c r="AE18" s="204" t="s">
        <v>256</v>
      </c>
      <c r="AF18" s="194" t="s">
        <v>270</v>
      </c>
      <c r="AG18" s="194" t="s">
        <v>258</v>
      </c>
      <c r="AH18" s="194" t="s">
        <v>271</v>
      </c>
      <c r="AI18" s="194" t="s">
        <v>256</v>
      </c>
      <c r="AJ18" s="194" t="s">
        <v>258</v>
      </c>
      <c r="AK18" s="194" t="s">
        <v>271</v>
      </c>
      <c r="AL18" s="194" t="s">
        <v>256</v>
      </c>
      <c r="AM18" s="194" t="s">
        <v>258</v>
      </c>
      <c r="AN18" s="194" t="s">
        <v>271</v>
      </c>
      <c r="AO18" s="194" t="s">
        <v>256</v>
      </c>
      <c r="AP18" s="196" t="s">
        <v>273</v>
      </c>
      <c r="AQ18" s="194" t="s">
        <v>255</v>
      </c>
      <c r="AR18" s="204" t="s">
        <v>256</v>
      </c>
      <c r="AS18" s="196" t="s">
        <v>273</v>
      </c>
      <c r="AT18" s="194" t="s">
        <v>255</v>
      </c>
      <c r="AU18" s="204" t="s">
        <v>256</v>
      </c>
      <c r="AV18" s="225"/>
      <c r="AX18" s="98" t="s">
        <v>535</v>
      </c>
      <c r="AY18" s="98" t="s">
        <v>536</v>
      </c>
    </row>
    <row r="19" spans="1:51" x14ac:dyDescent="0.2">
      <c r="N19" s="170">
        <v>1</v>
      </c>
      <c r="O19" s="199">
        <f>10^(1+(N19/100))</f>
        <v>10.232929922807543</v>
      </c>
      <c r="P19" s="189" t="str">
        <f t="shared" ref="P19:P82" si="32">COMPLEX(Adc,0)</f>
        <v>1757.57575757576</v>
      </c>
      <c r="Q19" s="160" t="str">
        <f t="shared" ref="Q19:Q82" si="33">IMSUM(COMPLEX(1,0),IMDIV(COMPLEX(0,2*PI()*O19),COMPLEX(wp_lf,0)))</f>
        <v>1+3.70770110822875i</v>
      </c>
      <c r="R19" s="160">
        <f>IMABS(Q19)</f>
        <v>3.840188472973781</v>
      </c>
      <c r="S19" s="160">
        <f>IMARGUMENT(Q19)</f>
        <v>1.3073558297624444</v>
      </c>
      <c r="T19" s="160" t="str">
        <f t="shared" ref="T19:T82" si="34">IMSUM(COMPLEX(1,0),IMDIV(COMPLEX(0,2*PI()*O19),COMPLEX(wz_esr,0)))</f>
        <v>1+0.0180027105833072i</v>
      </c>
      <c r="U19" s="160">
        <f>IMABS(T19)</f>
        <v>1.0001620356663945</v>
      </c>
      <c r="V19" s="160">
        <f>IMARGUMENT(T19)</f>
        <v>1.8000766083056653E-2</v>
      </c>
      <c r="W19" s="98" t="str">
        <f t="shared" ref="W19:W82" si="35">IMSUB(COMPLEX(1,0),IMDIV(COMPLEX(0,2*PI()*O19),COMPLEX(wz_rhp,0)))</f>
        <v>1-0.0000115865659632148i</v>
      </c>
      <c r="X19" s="160">
        <f>IMABS(W19)</f>
        <v>1.0000000000671243</v>
      </c>
      <c r="Y19" s="160">
        <f>IMARGUMENT(W19)</f>
        <v>-1.1586565962696307E-5</v>
      </c>
      <c r="Z19" s="98" t="str">
        <f t="shared" ref="Z19:Z82" si="36">IF(Dc_Mode_Loop="CCM",IMSUM(COMPLEX(1,0),IMDIV(COMPLEX(0,2*PI()*O19),COMPLEX(Q*(wsl/2),0)),IMDIV(IMPOWER(COMPLEX(0,2*PI()*O19),2),IMPOWER(COMPLEX(wsl/2,0),2))),COMPLEX(1,0))</f>
        <v>0.999999958114858-0.000272375294477606i</v>
      </c>
      <c r="AA19" s="160">
        <f>IMABS(Z19)</f>
        <v>0.99999999520900928</v>
      </c>
      <c r="AB19" s="160">
        <f>IMARGUMENT(Z19)</f>
        <v>-2.7237529915039705E-4</v>
      </c>
      <c r="AC19" s="171" t="str">
        <f>(IMDIV(IMPRODUCT(P19,T19,W19),IMPRODUCT(Q19,Z19)))</f>
        <v>127.25142041798-439.710749785474i</v>
      </c>
      <c r="AD19" s="190">
        <f>20*LOG(IMABS(AC19))</f>
        <v>53.212637632387398</v>
      </c>
      <c r="AE19" s="169">
        <f>(180/PI())*IMARGUMENT(AC19)</f>
        <v>-73.859661348894164</v>
      </c>
      <c r="AF19" s="98" t="str">
        <f t="shared" ref="AF19:AF82" si="37">COMPLEX(Adc_ea,0)</f>
        <v>-0.0000114342530449913</v>
      </c>
      <c r="AG19" s="98" t="str">
        <f t="shared" ref="AG19:AG82" si="38">COMPLEX(0,2*PI()*O19*wp0_ea)</f>
        <v>7.71866216259294E-06i</v>
      </c>
      <c r="AH19" s="98">
        <f>IMABS(AG19)</f>
        <v>7.7186621625929401E-6</v>
      </c>
      <c r="AI19" s="98">
        <f>IMARGUMENT(AG19)</f>
        <v>1.5707963267948966</v>
      </c>
      <c r="AJ19" s="98" t="str">
        <f t="shared" ref="AJ19:AJ82" si="39">IMSUM(COMPLEX(1,0),IMDIV(COMPLEX(0,2*PI()*O19),COMPLEX(wp1_ea,0)))</f>
        <v>1+0.0000706954779852604i</v>
      </c>
      <c r="AK19" s="98">
        <f>IMABS(AJ19)</f>
        <v>1.0000000024989253</v>
      </c>
      <c r="AL19" s="98">
        <f>IMARGUMENT(AJ19)</f>
        <v>7.0695477867485247E-5</v>
      </c>
      <c r="AM19" s="98" t="str">
        <f t="shared" ref="AM19:AM82" si="40">IMSUM(COMPLEX(1,0),IMDIV(COMPLEX(0,2*PI()*O19),COMPLEX(wz_ea,0)))</f>
        <v>1+0.16973984264261i</v>
      </c>
      <c r="AN19" s="98">
        <f>IMABS(AM19)</f>
        <v>1.0143035118643424</v>
      </c>
      <c r="AO19" s="98">
        <f>IMARGUMENT(AM19)</f>
        <v>0.16813729629121793</v>
      </c>
      <c r="AP19" s="168" t="str">
        <f>IMPRODUCT(AF19,IMDIV(AM19,IMPRODUCT(AG19,AJ19)))</f>
        <v>-0.25134406870587+1.48139534496765i</v>
      </c>
      <c r="AQ19" s="98">
        <f>20*LOG(IMABS(AP19))</f>
        <v>3.5366738887476634</v>
      </c>
      <c r="AR19" s="169">
        <f>(180/PI())*IMARGUMENT(AP19)</f>
        <v>99.629506903714926</v>
      </c>
      <c r="AS19" s="168" t="str">
        <f>IMPRODUCT(AC19,AP19)</f>
        <v>619.40156810798+299.028350752507i</v>
      </c>
      <c r="AT19" s="190">
        <f>20*LOG(IMABS(AS19))</f>
        <v>56.749311521135056</v>
      </c>
      <c r="AU19" s="169">
        <f>(180/PI())*IMARGUMENT(AS19)</f>
        <v>25.769845554820787</v>
      </c>
      <c r="AV19" s="225"/>
      <c r="AX19">
        <f>SUM((AT20&lt;0)*(AT19&gt;0))*O19</f>
        <v>0</v>
      </c>
      <c r="AY19">
        <f>IF(AX19&gt;0,AU19,0)</f>
        <v>0</v>
      </c>
    </row>
    <row r="20" spans="1:51" x14ac:dyDescent="0.2">
      <c r="A20" s="98" t="s">
        <v>31</v>
      </c>
      <c r="B20" s="205">
        <f>VOUT</f>
        <v>173</v>
      </c>
      <c r="C20" s="98" t="s">
        <v>10</v>
      </c>
      <c r="E20" s="98" t="s">
        <v>206</v>
      </c>
      <c r="N20" s="170">
        <v>2</v>
      </c>
      <c r="O20" s="199">
        <f t="shared" ref="O20:O83" si="41">10^(1+(N20/100))</f>
        <v>10.471285480509</v>
      </c>
      <c r="P20" s="189" t="str">
        <f t="shared" si="32"/>
        <v>1757.57575757576</v>
      </c>
      <c r="Q20" s="160" t="str">
        <f t="shared" si="33"/>
        <v>1+3.79406456152206i</v>
      </c>
      <c r="R20" s="160">
        <f t="shared" ref="R20:R83" si="42">IMABS(Q20)</f>
        <v>3.9236368202214615</v>
      </c>
      <c r="S20" s="160">
        <f t="shared" ref="S20:S83" si="43">IMARGUMENT(Q20)</f>
        <v>1.3130876298727645</v>
      </c>
      <c r="T20" s="160" t="str">
        <f t="shared" si="34"/>
        <v>1+0.0184220475819568i</v>
      </c>
      <c r="U20" s="160">
        <f t="shared" ref="U20:U83" si="44">IMABS(T20)</f>
        <v>1.0001696715243429</v>
      </c>
      <c r="V20" s="160">
        <f t="shared" ref="V20:V83" si="45">IMARGUMENT(T20)</f>
        <v>1.841996403148894E-2</v>
      </c>
      <c r="W20" s="98" t="str">
        <f t="shared" si="35"/>
        <v>1-0.0000118564517547564i</v>
      </c>
      <c r="X20" s="160">
        <f t="shared" ref="X20:X83" si="46">IMABS(W20)</f>
        <v>1.0000000000702878</v>
      </c>
      <c r="Y20" s="160">
        <f t="shared" ref="Y20:Y83" si="47">IMARGUMENT(W20)</f>
        <v>-1.1856451754200825E-5</v>
      </c>
      <c r="Z20" s="98" t="str">
        <f t="shared" si="36"/>
        <v>0.999999956140872-0.000278719730109341i</v>
      </c>
      <c r="AA20" s="160">
        <f t="shared" ref="AA20:AA83" si="48">IMABS(Z20)</f>
        <v>0.99999999498321701</v>
      </c>
      <c r="AB20" s="160">
        <f t="shared" ref="AB20:AB83" si="49">IMARGUMENT(Z20)</f>
        <v>-2.7871973511632683E-4</v>
      </c>
      <c r="AC20" s="171" t="str">
        <f t="shared" ref="AC20:AC83" si="50">(IMDIV(IMPRODUCT(P20,T20,W20),IMPRODUCT(Q20,Z20)))</f>
        <v>122.260502011216-431.017062273665i</v>
      </c>
      <c r="AD20" s="190">
        <f t="shared" ref="AD20:AD83" si="51">20*LOG(IMABS(AC20))</f>
        <v>53.025978713198327</v>
      </c>
      <c r="AE20" s="169">
        <f t="shared" ref="AE20:AE83" si="52">(180/PI())*IMARGUMENT(AC20)</f>
        <v>-74.16370298491502</v>
      </c>
      <c r="AF20" s="98" t="str">
        <f t="shared" si="37"/>
        <v>-0.0000114342530449913</v>
      </c>
      <c r="AG20" s="98" t="str">
        <f t="shared" si="38"/>
        <v>7.89845290076397E-06i</v>
      </c>
      <c r="AH20" s="98">
        <f t="shared" ref="AH20:AH83" si="53">IMABS(AG20)</f>
        <v>7.89845290076397E-6</v>
      </c>
      <c r="AI20" s="98">
        <f t="shared" ref="AI20:AI83" si="54">IMARGUMENT(AG20)</f>
        <v>1.5707963267948966</v>
      </c>
      <c r="AJ20" s="98" t="str">
        <f t="shared" si="39"/>
        <v>1+0.0000723421872082554i</v>
      </c>
      <c r="AK20" s="98">
        <f t="shared" ref="AK20:AK83" si="55">IMABS(AJ20)</f>
        <v>1.000000002616696</v>
      </c>
      <c r="AL20" s="98">
        <f t="shared" ref="AL20:AL83" si="56">IMARGUMENT(AJ20)</f>
        <v>7.234218708205706E-5</v>
      </c>
      <c r="AM20" s="98" t="str">
        <f t="shared" si="40"/>
        <v>1+0.173693591487021i</v>
      </c>
      <c r="AN20" s="98">
        <f t="shared" ref="AN20:AN83" si="57">IMABS(AM20)</f>
        <v>1.0149726418597005</v>
      </c>
      <c r="AO20" s="98">
        <f t="shared" ref="AO20:AO83" si="58">IMARGUMENT(AM20)</f>
        <v>0.17197779727093992</v>
      </c>
      <c r="AP20" s="168" t="str">
        <f t="shared" ref="AP20:AP83" si="59">IMPRODUCT(AF20,IMDIV(AM20,IMPRODUCT(AG20,AJ20)))</f>
        <v>-0.251344068646668+1.44767548841295i</v>
      </c>
      <c r="AQ20" s="98">
        <f t="shared" ref="AQ20:AQ83" si="60">20*LOG(IMABS(AP20))</f>
        <v>3.3424020282670339</v>
      </c>
      <c r="AR20" s="169">
        <f t="shared" ref="AR20:AR83" si="61">(180/PI())*IMARGUMENT(AP20)</f>
        <v>99.849457051580742</v>
      </c>
      <c r="AS20" s="168" t="str">
        <f t="shared" ref="AS20:AS83" si="62">IMPRODUCT(AC20,AP20)</f>
        <v>593.24338413106+285.327114050697i</v>
      </c>
      <c r="AT20" s="190">
        <f t="shared" ref="AT20:AT83" si="63">20*LOG(IMABS(AS20))</f>
        <v>56.368380741465359</v>
      </c>
      <c r="AU20" s="169">
        <f t="shared" ref="AU20:AU83" si="64">(180/PI())*IMARGUMENT(AS20)</f>
        <v>25.685754066665744</v>
      </c>
      <c r="AV20" s="225"/>
      <c r="AX20">
        <f t="shared" ref="AX20:AX83" si="65">SUM((AT21&lt;0)*(AT20&gt;0))*O20</f>
        <v>0</v>
      </c>
      <c r="AY20">
        <f t="shared" ref="AY20:AY83" si="66">IF(AX20&gt;0,AU20,0)</f>
        <v>0</v>
      </c>
    </row>
    <row r="21" spans="1:51" x14ac:dyDescent="0.2">
      <c r="A21" s="98" t="s">
        <v>33</v>
      </c>
      <c r="B21" s="205">
        <f>IOUT</f>
        <v>1.4999999999999999E-2</v>
      </c>
      <c r="C21" s="98" t="s">
        <v>11</v>
      </c>
      <c r="E21" s="98" t="s">
        <v>34</v>
      </c>
      <c r="N21" s="170">
        <v>3</v>
      </c>
      <c r="O21" s="199">
        <f t="shared" si="41"/>
        <v>10.715193052376069</v>
      </c>
      <c r="P21" s="189" t="str">
        <f t="shared" si="32"/>
        <v>1757.57575757576</v>
      </c>
      <c r="Q21" s="160" t="str">
        <f t="shared" si="33"/>
        <v>1+3.88243967806628i</v>
      </c>
      <c r="R21" s="160">
        <f t="shared" si="42"/>
        <v>4.0091567509668913</v>
      </c>
      <c r="S21" s="160">
        <f t="shared" si="43"/>
        <v>1.3187057425608335</v>
      </c>
      <c r="T21" s="160" t="str">
        <f t="shared" si="34"/>
        <v>1+0.018851152194079i</v>
      </c>
      <c r="U21" s="160">
        <f t="shared" si="44"/>
        <v>1.0001776671867075</v>
      </c>
      <c r="V21" s="160">
        <f t="shared" si="45"/>
        <v>1.8848919650947704E-2</v>
      </c>
      <c r="W21" s="98" t="str">
        <f t="shared" si="35"/>
        <v>1-0.0000121326239939571i</v>
      </c>
      <c r="X21" s="160">
        <f t="shared" si="46"/>
        <v>1.0000000000736002</v>
      </c>
      <c r="Y21" s="160">
        <f t="shared" si="47"/>
        <v>-1.213262399336179E-5</v>
      </c>
      <c r="Z21" s="98" t="str">
        <f t="shared" si="36"/>
        <v>0.999999954073855-0.000285211946631272i</v>
      </c>
      <c r="AA21" s="160">
        <f t="shared" si="48"/>
        <v>0.99999999474678325</v>
      </c>
      <c r="AB21" s="160">
        <f t="shared" si="49"/>
        <v>-2.8521195199635399E-4</v>
      </c>
      <c r="AC21" s="171" t="str">
        <f t="shared" si="50"/>
        <v>117.465602875447-422.440832768432i</v>
      </c>
      <c r="AD21" s="190">
        <f t="shared" si="51"/>
        <v>52.838763445839341</v>
      </c>
      <c r="AE21" s="169">
        <f t="shared" si="52"/>
        <v>-74.460663631053734</v>
      </c>
      <c r="AF21" s="98" t="str">
        <f t="shared" si="37"/>
        <v>-0.0000114342530449913</v>
      </c>
      <c r="AG21" s="98" t="str">
        <f t="shared" si="38"/>
        <v>8.08243150321137E-06i</v>
      </c>
      <c r="AH21" s="98">
        <f t="shared" si="53"/>
        <v>8.0824315032113698E-6</v>
      </c>
      <c r="AI21" s="98">
        <f t="shared" si="54"/>
        <v>1.5707963267948966</v>
      </c>
      <c r="AJ21" s="98" t="str">
        <f t="shared" si="39"/>
        <v>1+0.0000740272532164701i</v>
      </c>
      <c r="AK21" s="98">
        <f t="shared" si="55"/>
        <v>1.0000000027400171</v>
      </c>
      <c r="AL21" s="98">
        <f t="shared" si="56"/>
        <v>7.4027253081246147E-5</v>
      </c>
      <c r="AM21" s="98" t="str">
        <f t="shared" si="40"/>
        <v>1+0.177739434972745i</v>
      </c>
      <c r="AN21" s="98">
        <f t="shared" si="57"/>
        <v>1.0156728345015587</v>
      </c>
      <c r="AO21" s="98">
        <f t="shared" si="58"/>
        <v>0.17590245709771421</v>
      </c>
      <c r="AP21" s="168" t="str">
        <f t="shared" si="59"/>
        <v>-0.251344068584676+1.41472320856445i</v>
      </c>
      <c r="AQ21" s="98">
        <f t="shared" si="60"/>
        <v>3.1483920400507777</v>
      </c>
      <c r="AR21" s="169">
        <f t="shared" si="61"/>
        <v>100.07422694850952</v>
      </c>
      <c r="AS21" s="168" t="str">
        <f t="shared" si="62"/>
        <v>568.112567817328+272.359312240226i</v>
      </c>
      <c r="AT21" s="190">
        <f t="shared" si="63"/>
        <v>55.987155485890121</v>
      </c>
      <c r="AU21" s="169">
        <f t="shared" si="64"/>
        <v>25.613563317455771</v>
      </c>
      <c r="AV21" s="225"/>
      <c r="AX21">
        <f t="shared" si="65"/>
        <v>0</v>
      </c>
      <c r="AY21">
        <f t="shared" si="66"/>
        <v>0</v>
      </c>
    </row>
    <row r="22" spans="1:51" x14ac:dyDescent="0.2">
      <c r="N22" s="170">
        <v>4</v>
      </c>
      <c r="O22" s="199">
        <f t="shared" si="41"/>
        <v>10.964781961431854</v>
      </c>
      <c r="P22" s="189" t="str">
        <f t="shared" si="32"/>
        <v>1757.57575757576</v>
      </c>
      <c r="Q22" s="160" t="str">
        <f t="shared" si="33"/>
        <v>1+3.97287331551797i</v>
      </c>
      <c r="R22" s="160">
        <f t="shared" si="42"/>
        <v>4.096794158992461</v>
      </c>
      <c r="S22" s="160">
        <f t="shared" si="43"/>
        <v>1.3242117274289464</v>
      </c>
      <c r="T22" s="160" t="str">
        <f t="shared" si="34"/>
        <v>1+0.019290251936619i</v>
      </c>
      <c r="U22" s="160">
        <f t="shared" si="44"/>
        <v>1.0001860396045219</v>
      </c>
      <c r="V22" s="160">
        <f t="shared" si="45"/>
        <v>1.9287859747585376E-2</v>
      </c>
      <c r="W22" s="98" t="str">
        <f t="shared" si="35"/>
        <v>1-0.0000124152291109936i</v>
      </c>
      <c r="X22" s="160">
        <f t="shared" si="46"/>
        <v>1.0000000000770688</v>
      </c>
      <c r="Y22" s="160">
        <f t="shared" si="47"/>
        <v>-1.2415229110355715E-5</v>
      </c>
      <c r="Z22" s="98" t="str">
        <f t="shared" si="36"/>
        <v>0.999999951909423-0.000291855386302533i</v>
      </c>
      <c r="AA22" s="160">
        <f t="shared" si="48"/>
        <v>0.9999999944992074</v>
      </c>
      <c r="AB22" s="160">
        <f t="shared" si="49"/>
        <v>-2.9185539205132174E-4</v>
      </c>
      <c r="AC22" s="171" t="str">
        <f t="shared" si="50"/>
        <v>112.860187659387-413.984012657193i</v>
      </c>
      <c r="AD22" s="190">
        <f t="shared" si="51"/>
        <v>52.651014018707471</v>
      </c>
      <c r="AE22" s="169">
        <f t="shared" si="52"/>
        <v>-74.750619462066979</v>
      </c>
      <c r="AF22" s="98" t="str">
        <f t="shared" si="37"/>
        <v>-0.0000114342530449913</v>
      </c>
      <c r="AG22" s="98" t="str">
        <f t="shared" si="38"/>
        <v>8.27069551782539E-06i</v>
      </c>
      <c r="AH22" s="98">
        <f t="shared" si="53"/>
        <v>8.2706955178253896E-6</v>
      </c>
      <c r="AI22" s="98">
        <f t="shared" si="54"/>
        <v>1.5707963267948966</v>
      </c>
      <c r="AJ22" s="98" t="str">
        <f t="shared" si="39"/>
        <v>1+0.0000757515694542068i</v>
      </c>
      <c r="AK22" s="98">
        <f t="shared" si="55"/>
        <v>1.00000000286915</v>
      </c>
      <c r="AL22" s="98">
        <f t="shared" si="56"/>
        <v>7.5751569309311716E-5</v>
      </c>
      <c r="AM22" s="98" t="str">
        <f t="shared" si="40"/>
        <v>1+0.18187951825955i</v>
      </c>
      <c r="AN22" s="98">
        <f t="shared" si="57"/>
        <v>1.0164055092148636</v>
      </c>
      <c r="AO22" s="98">
        <f t="shared" si="58"/>
        <v>0.17991287282670831</v>
      </c>
      <c r="AP22" s="168" t="str">
        <f t="shared" si="59"/>
        <v>-0.251344068519762+1.38252103368721i</v>
      </c>
      <c r="AQ22" s="98">
        <f t="shared" si="60"/>
        <v>2.9546555100160781</v>
      </c>
      <c r="AR22" s="169">
        <f t="shared" si="61"/>
        <v>100.30390804783138</v>
      </c>
      <c r="AS22" s="168" t="str">
        <f t="shared" si="62"/>
        <v>543.974866368587+260.084009348384i</v>
      </c>
      <c r="AT22" s="190">
        <f t="shared" si="63"/>
        <v>55.605669528723553</v>
      </c>
      <c r="AU22" s="169">
        <f t="shared" si="64"/>
        <v>25.553288585764452</v>
      </c>
      <c r="AV22" s="225"/>
      <c r="AX22">
        <f t="shared" si="65"/>
        <v>0</v>
      </c>
      <c r="AY22">
        <f t="shared" si="66"/>
        <v>0</v>
      </c>
    </row>
    <row r="23" spans="1:51" x14ac:dyDescent="0.2">
      <c r="A23" s="98" t="s">
        <v>207</v>
      </c>
      <c r="N23" s="170">
        <v>5</v>
      </c>
      <c r="O23" s="199">
        <f t="shared" si="41"/>
        <v>11.220184543019636</v>
      </c>
      <c r="P23" s="189" t="str">
        <f t="shared" si="32"/>
        <v>1757.57575757576</v>
      </c>
      <c r="Q23" s="160" t="str">
        <f t="shared" si="33"/>
        <v>1+4.06541342298874i</v>
      </c>
      <c r="R23" s="160">
        <f t="shared" si="42"/>
        <v>4.1865960277792542</v>
      </c>
      <c r="S23" s="160">
        <f t="shared" si="43"/>
        <v>1.3296071679088231</v>
      </c>
      <c r="T23" s="160" t="str">
        <f t="shared" si="34"/>
        <v>1+0.0197395796260725i</v>
      </c>
      <c r="U23" s="160">
        <f t="shared" si="44"/>
        <v>1.0001948065271156</v>
      </c>
      <c r="V23" s="160">
        <f t="shared" si="45"/>
        <v>1.9737016376304137E-2</v>
      </c>
      <c r="W23" s="98" t="str">
        <f t="shared" si="35"/>
        <v>1-0.0000127044169468398i</v>
      </c>
      <c r="X23" s="160">
        <f t="shared" si="46"/>
        <v>1.000000000080701</v>
      </c>
      <c r="Y23" s="160">
        <f t="shared" si="47"/>
        <v>-1.2704416946156294E-5</v>
      </c>
      <c r="Z23" s="98" t="str">
        <f t="shared" si="36"/>
        <v>0.999999949642984-0.000298653571562774i</v>
      </c>
      <c r="AA23" s="160">
        <f t="shared" si="48"/>
        <v>0.99999999423996322</v>
      </c>
      <c r="AB23" s="160">
        <f t="shared" si="49"/>
        <v>-2.9865357772271213E-4</v>
      </c>
      <c r="AC23" s="171" t="str">
        <f t="shared" si="50"/>
        <v>108.437841327031-405.648272982111i</v>
      </c>
      <c r="AD23" s="190">
        <f t="shared" si="51"/>
        <v>52.462751886575646</v>
      </c>
      <c r="AE23" s="169">
        <f t="shared" si="52"/>
        <v>-75.033647712907083</v>
      </c>
      <c r="AF23" s="98" t="str">
        <f t="shared" si="37"/>
        <v>-0.0000114342530449913</v>
      </c>
      <c r="AG23" s="98" t="str">
        <f t="shared" si="38"/>
        <v>8.46334476467857E-06i</v>
      </c>
      <c r="AH23" s="98">
        <f t="shared" si="53"/>
        <v>8.4633447646785692E-6</v>
      </c>
      <c r="AI23" s="98">
        <f t="shared" si="54"/>
        <v>1.5707963267948966</v>
      </c>
      <c r="AJ23" s="98" t="str">
        <f t="shared" si="39"/>
        <v>1+0.0000775160501767586i</v>
      </c>
      <c r="AK23" s="98">
        <f t="shared" si="55"/>
        <v>1.000000003004369</v>
      </c>
      <c r="AL23" s="98">
        <f t="shared" si="56"/>
        <v>7.751605002150073E-5</v>
      </c>
      <c r="AM23" s="98" t="str">
        <f t="shared" si="40"/>
        <v>1+0.186116036474397i</v>
      </c>
      <c r="AN23" s="98">
        <f t="shared" si="57"/>
        <v>1.017172148179913</v>
      </c>
      <c r="AO23" s="98">
        <f t="shared" si="58"/>
        <v>0.18401065456844631</v>
      </c>
      <c r="AP23" s="168" t="str">
        <f t="shared" si="59"/>
        <v>-0.251344068451789+1.35105188976186i</v>
      </c>
      <c r="AQ23" s="98">
        <f t="shared" si="60"/>
        <v>2.761204500697291</v>
      </c>
      <c r="AR23" s="169">
        <f t="shared" si="61"/>
        <v>100.53859254970089</v>
      </c>
      <c r="AS23" s="168" t="str">
        <f t="shared" si="62"/>
        <v>520.79665757785+248.462437738348i</v>
      </c>
      <c r="AT23" s="190">
        <f t="shared" si="63"/>
        <v>55.223956387272949</v>
      </c>
      <c r="AU23" s="169">
        <f t="shared" si="64"/>
        <v>25.504944836793868</v>
      </c>
      <c r="AV23" s="225"/>
      <c r="AX23">
        <f t="shared" si="65"/>
        <v>0</v>
      </c>
      <c r="AY23">
        <f t="shared" si="66"/>
        <v>0</v>
      </c>
    </row>
    <row r="24" spans="1:51" x14ac:dyDescent="0.2">
      <c r="A24" s="98" t="s">
        <v>208</v>
      </c>
      <c r="B24" s="205">
        <f>Lm</f>
        <v>9.9999999999999991E-6</v>
      </c>
      <c r="C24" s="98" t="s">
        <v>98</v>
      </c>
      <c r="E24" s="98" t="s">
        <v>209</v>
      </c>
      <c r="N24" s="170">
        <v>6</v>
      </c>
      <c r="O24" s="199">
        <f t="shared" si="41"/>
        <v>11.481536214968834</v>
      </c>
      <c r="P24" s="189" t="str">
        <f t="shared" si="32"/>
        <v>1757.57575757576</v>
      </c>
      <c r="Q24" s="160" t="str">
        <f t="shared" si="33"/>
        <v>1+4.1601090664685i</v>
      </c>
      <c r="R24" s="160">
        <f t="shared" si="42"/>
        <v>4.2786104572528467</v>
      </c>
      <c r="S24" s="160">
        <f t="shared" si="43"/>
        <v>1.3348936676718233</v>
      </c>
      <c r="T24" s="160" t="str">
        <f t="shared" si="34"/>
        <v>1+0.0201993735019279i</v>
      </c>
      <c r="U24" s="160">
        <f t="shared" si="44"/>
        <v>1.000203986539681</v>
      </c>
      <c r="V24" s="160">
        <f t="shared" si="45"/>
        <v>2.0196626960569099E-2</v>
      </c>
      <c r="W24" s="98" t="str">
        <f t="shared" si="35"/>
        <v>1-0.000013000340832714i</v>
      </c>
      <c r="X24" s="160">
        <f t="shared" si="46"/>
        <v>1.0000000000845044</v>
      </c>
      <c r="Y24" s="160">
        <f t="shared" si="47"/>
        <v>-1.300034083198161E-5</v>
      </c>
      <c r="Z24" s="98" t="str">
        <f t="shared" si="36"/>
        <v>0.99999994726973-0.000305610106899806i</v>
      </c>
      <c r="AA24" s="160">
        <f t="shared" si="48"/>
        <v>0.99999999396850014</v>
      </c>
      <c r="AB24" s="160">
        <f t="shared" si="49"/>
        <v>-3.0561011350029889E-4</v>
      </c>
      <c r="AC24" s="171" t="str">
        <f t="shared" si="50"/>
        <v>104.192275863225-397.435019753421i</v>
      </c>
      <c r="AD24" s="190">
        <f t="shared" si="51"/>
        <v>52.27399778507008</v>
      </c>
      <c r="AE24" s="169">
        <f t="shared" si="52"/>
        <v>-75.309826466075648</v>
      </c>
      <c r="AF24" s="98" t="str">
        <f t="shared" si="37"/>
        <v>-0.0000114342530449913</v>
      </c>
      <c r="AG24" s="98" t="str">
        <f t="shared" si="38"/>
        <v>8.66048138895159E-06i</v>
      </c>
      <c r="AH24" s="98">
        <f t="shared" si="53"/>
        <v>8.6604813889515892E-6</v>
      </c>
      <c r="AI24" s="98">
        <f t="shared" si="54"/>
        <v>1.5707963267948966</v>
      </c>
      <c r="AJ24" s="98" t="str">
        <f t="shared" si="39"/>
        <v>1+0.0000793216309351604i</v>
      </c>
      <c r="AK24" s="98">
        <f t="shared" si="55"/>
        <v>1.0000000031459606</v>
      </c>
      <c r="AL24" s="98">
        <f t="shared" si="56"/>
        <v>7.9321630768798584E-5</v>
      </c>
      <c r="AM24" s="98" t="str">
        <f t="shared" si="40"/>
        <v>1+0.19045123587532i</v>
      </c>
      <c r="AN24" s="98">
        <f t="shared" si="57"/>
        <v>1.01797429891252</v>
      </c>
      <c r="AO24" s="98">
        <f t="shared" si="58"/>
        <v>0.18819742427750583</v>
      </c>
      <c r="AP24" s="168" t="str">
        <f t="shared" si="59"/>
        <v>-0.251344068380613+1.32029909143175i</v>
      </c>
      <c r="AQ24" s="98">
        <f t="shared" si="60"/>
        <v>2.5680515675074709</v>
      </c>
      <c r="AR24" s="169">
        <f t="shared" si="61"/>
        <v>100.77837333166681</v>
      </c>
      <c r="AS24" s="168" t="str">
        <f t="shared" si="62"/>
        <v>498.544984974303+237.457901938176i</v>
      </c>
      <c r="AT24" s="190">
        <f t="shared" si="63"/>
        <v>54.842049352577547</v>
      </c>
      <c r="AU24" s="169">
        <f t="shared" si="64"/>
        <v>25.468546865591144</v>
      </c>
      <c r="AV24" s="225"/>
      <c r="AX24">
        <f t="shared" si="65"/>
        <v>0</v>
      </c>
      <c r="AY24">
        <f t="shared" si="66"/>
        <v>0</v>
      </c>
    </row>
    <row r="25" spans="1:51" x14ac:dyDescent="0.2">
      <c r="N25" s="170">
        <v>7</v>
      </c>
      <c r="O25" s="199">
        <f t="shared" si="41"/>
        <v>11.748975549395301</v>
      </c>
      <c r="P25" s="189" t="str">
        <f t="shared" si="32"/>
        <v>1757.57575757576</v>
      </c>
      <c r="Q25" s="160" t="str">
        <f t="shared" si="33"/>
        <v>1+4.25701045484084i</v>
      </c>
      <c r="R25" s="160">
        <f t="shared" si="42"/>
        <v>4.3728866910342203</v>
      </c>
      <c r="S25" s="160">
        <f t="shared" si="43"/>
        <v>1.3400728472385128</v>
      </c>
      <c r="T25" s="160" t="str">
        <f t="shared" si="34"/>
        <v>1+0.0206698773529844i</v>
      </c>
      <c r="U25" s="160">
        <f t="shared" si="44"/>
        <v>1.0002135991026053</v>
      </c>
      <c r="V25" s="160">
        <f t="shared" si="45"/>
        <v>2.0666934414838359E-2</v>
      </c>
      <c r="W25" s="98" t="str">
        <f t="shared" si="35"/>
        <v>1-0.0000133031576713776i</v>
      </c>
      <c r="X25" s="160">
        <f t="shared" si="46"/>
        <v>1.000000000088487</v>
      </c>
      <c r="Y25" s="160">
        <f t="shared" si="47"/>
        <v>-1.3303157670592829E-5</v>
      </c>
      <c r="Z25" s="98" t="str">
        <f t="shared" si="36"/>
        <v>0.999999944784629-0.000312728680760743i</v>
      </c>
      <c r="AA25" s="160">
        <f t="shared" si="48"/>
        <v>0.99999999368424441</v>
      </c>
      <c r="AB25" s="160">
        <f t="shared" si="49"/>
        <v>-3.1272868783329847E-4</v>
      </c>
      <c r="AC25" s="171" t="str">
        <f t="shared" si="50"/>
        <v>100.117335964824-389.345408912763i</v>
      </c>
      <c r="AD25" s="190">
        <f t="shared" si="51"/>
        <v>52.084771745871194</v>
      </c>
      <c r="AE25" s="169">
        <f t="shared" si="52"/>
        <v>-75.579234450245536</v>
      </c>
      <c r="AF25" s="98" t="str">
        <f t="shared" si="37"/>
        <v>-0.0000114342530449913</v>
      </c>
      <c r="AG25" s="98" t="str">
        <f t="shared" si="38"/>
        <v>8.86220991509205E-06i</v>
      </c>
      <c r="AH25" s="98">
        <f t="shared" si="53"/>
        <v>8.8622099150920506E-6</v>
      </c>
      <c r="AI25" s="98">
        <f t="shared" si="54"/>
        <v>1.5707963267948966</v>
      </c>
      <c r="AJ25" s="98" t="str">
        <f t="shared" si="39"/>
        <v>1+0.00008116926907223i</v>
      </c>
      <c r="AK25" s="98">
        <f t="shared" si="55"/>
        <v>1.0000000032942251</v>
      </c>
      <c r="AL25" s="98">
        <f t="shared" si="56"/>
        <v>8.11692688939701E-5</v>
      </c>
      <c r="AM25" s="98" t="str">
        <f t="shared" si="40"/>
        <v>1+0.194887415042424i</v>
      </c>
      <c r="AN25" s="98">
        <f t="shared" si="57"/>
        <v>1.0188135769324622</v>
      </c>
      <c r="AO25" s="98">
        <f t="shared" si="58"/>
        <v>0.1924748144283546</v>
      </c>
      <c r="AP25" s="168" t="str">
        <f t="shared" si="59"/>
        <v>-0.251344068306083+1.29024633315614i</v>
      </c>
      <c r="AQ25" s="98">
        <f t="shared" si="60"/>
        <v>2.3752097752368333</v>
      </c>
      <c r="AR25" s="169">
        <f t="shared" si="61"/>
        <v>101.02334387277466</v>
      </c>
      <c r="AS25" s="168" t="str">
        <f t="shared" si="62"/>
        <v>477.187587651505+227.035684666405i</v>
      </c>
      <c r="AT25" s="190">
        <f t="shared" si="63"/>
        <v>54.459981521108034</v>
      </c>
      <c r="AU25" s="169">
        <f t="shared" si="64"/>
        <v>25.444109422529134</v>
      </c>
      <c r="AV25" s="225"/>
      <c r="AX25">
        <f t="shared" si="65"/>
        <v>0</v>
      </c>
      <c r="AY25">
        <f t="shared" si="66"/>
        <v>0</v>
      </c>
    </row>
    <row r="26" spans="1:51" x14ac:dyDescent="0.2">
      <c r="A26" s="98" t="s">
        <v>160</v>
      </c>
      <c r="B26" s="205">
        <f>R_cs</f>
        <v>3.3000000000000002E-2</v>
      </c>
      <c r="C26" s="206" t="s">
        <v>36</v>
      </c>
      <c r="E26" s="98" t="s">
        <v>210</v>
      </c>
      <c r="N26" s="170">
        <v>8</v>
      </c>
      <c r="O26" s="199">
        <f t="shared" si="41"/>
        <v>12.022644346174133</v>
      </c>
      <c r="P26" s="189" t="str">
        <f t="shared" si="32"/>
        <v>1757.57575757576</v>
      </c>
      <c r="Q26" s="160" t="str">
        <f t="shared" si="33"/>
        <v>1+4.35616896650454i</v>
      </c>
      <c r="R26" s="160">
        <f t="shared" si="42"/>
        <v>4.4694751442129341</v>
      </c>
      <c r="S26" s="160">
        <f t="shared" si="43"/>
        <v>1.3451463407827291</v>
      </c>
      <c r="T26" s="160" t="str">
        <f t="shared" si="34"/>
        <v>1+0.0211513406466116i</v>
      </c>
      <c r="U26" s="160">
        <f t="shared" si="44"/>
        <v>1.0002236645926494</v>
      </c>
      <c r="V26" s="160">
        <f t="shared" si="45"/>
        <v>2.1148187269657098E-2</v>
      </c>
      <c r="W26" s="98" t="str">
        <f t="shared" si="35"/>
        <v>1-0.0000136130280203266i</v>
      </c>
      <c r="X26" s="160">
        <f t="shared" si="46"/>
        <v>1.0000000000926572</v>
      </c>
      <c r="Y26" s="160">
        <f t="shared" si="47"/>
        <v>-1.3613028019485703E-5</v>
      </c>
      <c r="Z26" s="98" t="str">
        <f t="shared" si="36"/>
        <v>0.999999942182409-0.000320013067507673i</v>
      </c>
      <c r="AA26" s="160">
        <f t="shared" si="48"/>
        <v>0.99999999338659218</v>
      </c>
      <c r="AB26" s="160">
        <f t="shared" si="49"/>
        <v>-3.2001307508605268E-4</v>
      </c>
      <c r="AC26" s="171" t="str">
        <f t="shared" si="50"/>
        <v>96.2070037884806-381.380360908743i</v>
      </c>
      <c r="AD26" s="190">
        <f t="shared" si="51"/>
        <v>51.895093112526787</v>
      </c>
      <c r="AE26" s="169">
        <f t="shared" si="52"/>
        <v>-75.841950849873626</v>
      </c>
      <c r="AF26" s="98" t="str">
        <f t="shared" si="37"/>
        <v>-0.0000114342530449913</v>
      </c>
      <c r="AG26" s="98" t="str">
        <f t="shared" si="38"/>
        <v>9.06863730223471E-06i</v>
      </c>
      <c r="AH26" s="98">
        <f t="shared" si="53"/>
        <v>9.0686373022347093E-6</v>
      </c>
      <c r="AI26" s="98">
        <f t="shared" si="54"/>
        <v>1.5707963267948966</v>
      </c>
      <c r="AJ26" s="98" t="str">
        <f t="shared" si="39"/>
        <v>1+0.0000830599442301638i</v>
      </c>
      <c r="AK26" s="98">
        <f t="shared" si="55"/>
        <v>1.0000000034494771</v>
      </c>
      <c r="AL26" s="98">
        <f t="shared" si="56"/>
        <v>8.3059944039154878E-5</v>
      </c>
      <c r="AM26" s="98" t="str">
        <f t="shared" si="40"/>
        <v>1+0.199426926096623i</v>
      </c>
      <c r="AN26" s="98">
        <f t="shared" si="57"/>
        <v>1.0196916685215918</v>
      </c>
      <c r="AO26" s="98">
        <f t="shared" si="58"/>
        <v>0.1968444665721911</v>
      </c>
      <c r="AP26" s="168" t="str">
        <f t="shared" si="59"/>
        <v>-0.251344068228038+1.26087768056479i</v>
      </c>
      <c r="AQ26" s="98">
        <f t="shared" si="60"/>
        <v>2.1826927147578519</v>
      </c>
      <c r="AR26" s="169">
        <f t="shared" si="61"/>
        <v>101.27359817085055</v>
      </c>
      <c r="AS26" s="168" t="str">
        <f t="shared" si="62"/>
        <v>456.692925151351+217.162955243988i</v>
      </c>
      <c r="AT26" s="190">
        <f t="shared" si="63"/>
        <v>54.077785827284629</v>
      </c>
      <c r="AU26" s="169">
        <f t="shared" si="64"/>
        <v>25.431647320976914</v>
      </c>
      <c r="AV26" s="225"/>
      <c r="AX26">
        <f t="shared" si="65"/>
        <v>0</v>
      </c>
      <c r="AY26">
        <f t="shared" si="66"/>
        <v>0</v>
      </c>
    </row>
    <row r="27" spans="1:51" x14ac:dyDescent="0.2">
      <c r="A27" s="98" t="s">
        <v>161</v>
      </c>
      <c r="B27" s="205">
        <f>R_sl</f>
        <v>0</v>
      </c>
      <c r="C27" s="206" t="s">
        <v>36</v>
      </c>
      <c r="E27" s="98" t="s">
        <v>211</v>
      </c>
      <c r="N27" s="170">
        <v>9</v>
      </c>
      <c r="O27" s="199">
        <f t="shared" si="41"/>
        <v>12.302687708123818</v>
      </c>
      <c r="P27" s="189" t="str">
        <f t="shared" si="32"/>
        <v>1757.57575757576</v>
      </c>
      <c r="Q27" s="160" t="str">
        <f t="shared" si="33"/>
        <v>1+4.45763717661499i</v>
      </c>
      <c r="R27" s="160">
        <f t="shared" si="42"/>
        <v>4.5684274316596154</v>
      </c>
      <c r="S27" s="160">
        <f t="shared" si="43"/>
        <v>1.3501157931248038</v>
      </c>
      <c r="T27" s="160" t="str">
        <f t="shared" si="34"/>
        <v>1+0.0216440186610207i</v>
      </c>
      <c r="U27" s="160">
        <f t="shared" si="44"/>
        <v>1.0002342043460615</v>
      </c>
      <c r="V27" s="160">
        <f t="shared" si="45"/>
        <v>2.1640639799465945E-2</v>
      </c>
      <c r="W27" s="98" t="str">
        <f t="shared" si="35"/>
        <v>1-0.0000139301161769218i</v>
      </c>
      <c r="X27" s="160">
        <f t="shared" si="46"/>
        <v>1.0000000000970239</v>
      </c>
      <c r="Y27" s="160">
        <f t="shared" si="47"/>
        <v>-1.3930116176020763E-5</v>
      </c>
      <c r="Z27" s="98" t="str">
        <f t="shared" si="36"/>
        <v>0.99999993945755-0.00032746712941887i</v>
      </c>
      <c r="AA27" s="160">
        <f t="shared" si="48"/>
        <v>0.99999999307491216</v>
      </c>
      <c r="AB27" s="160">
        <f t="shared" si="49"/>
        <v>-3.2746713753925008E-4</v>
      </c>
      <c r="AC27" s="171" t="str">
        <f t="shared" si="50"/>
        <v>92.4554028243292-373.540574853516i</v>
      </c>
      <c r="AD27" s="190">
        <f t="shared" si="51"/>
        <v>51.704980556774352</v>
      </c>
      <c r="AE27" s="169">
        <f t="shared" si="52"/>
        <v>-76.098055125491555</v>
      </c>
      <c r="AF27" s="98" t="str">
        <f t="shared" si="37"/>
        <v>-0.0000114342530449913</v>
      </c>
      <c r="AG27" s="98" t="str">
        <f t="shared" si="38"/>
        <v>9.27987300091262E-06i</v>
      </c>
      <c r="AH27" s="98">
        <f t="shared" si="53"/>
        <v>9.2798730009126206E-6</v>
      </c>
      <c r="AI27" s="98">
        <f t="shared" si="54"/>
        <v>1.5707963267948966</v>
      </c>
      <c r="AJ27" s="98" t="str">
        <f t="shared" si="39"/>
        <v>1+0.0000849946588699569i</v>
      </c>
      <c r="AK27" s="98">
        <f t="shared" si="55"/>
        <v>1.000000003612046</v>
      </c>
      <c r="AL27" s="98">
        <f t="shared" si="56"/>
        <v>8.4994658665287154E-5</v>
      </c>
      <c r="AM27" s="98" t="str">
        <f t="shared" si="40"/>
        <v>1+0.204072175946766i</v>
      </c>
      <c r="AN27" s="98">
        <f t="shared" si="57"/>
        <v>1.0206103335728323</v>
      </c>
      <c r="AO27" s="98">
        <f t="shared" si="58"/>
        <v>0.20130802976853018</v>
      </c>
      <c r="AP27" s="168" t="str">
        <f t="shared" si="59"/>
        <v>-0.251344068146318+1.23217756200938i</v>
      </c>
      <c r="AQ27" s="98">
        <f t="shared" si="60"/>
        <v>1.9905145199023999</v>
      </c>
      <c r="AR27" s="169">
        <f t="shared" si="61"/>
        <v>101.52923065260805</v>
      </c>
      <c r="AS27" s="168" t="str">
        <f t="shared" si="62"/>
        <v>437.030197766614+207.808680548074i</v>
      </c>
      <c r="AT27" s="190">
        <f t="shared" si="63"/>
        <v>53.69549507667675</v>
      </c>
      <c r="AU27" s="169">
        <f t="shared" si="64"/>
        <v>25.431175527116508</v>
      </c>
      <c r="AV27" s="225"/>
      <c r="AX27">
        <f t="shared" si="65"/>
        <v>0</v>
      </c>
      <c r="AY27">
        <f t="shared" si="66"/>
        <v>0</v>
      </c>
    </row>
    <row r="28" spans="1:51" x14ac:dyDescent="0.2">
      <c r="A28" s="98" t="s">
        <v>146</v>
      </c>
      <c r="B28" s="207">
        <f>Rsl_int</f>
        <v>1333</v>
      </c>
      <c r="C28" s="206" t="s">
        <v>36</v>
      </c>
      <c r="E28" s="98" t="s">
        <v>212</v>
      </c>
      <c r="N28" s="170">
        <v>10</v>
      </c>
      <c r="O28" s="199">
        <f t="shared" si="41"/>
        <v>12.58925411794168</v>
      </c>
      <c r="P28" s="189" t="str">
        <f t="shared" si="32"/>
        <v>1757.57575757576</v>
      </c>
      <c r="Q28" s="160" t="str">
        <f t="shared" si="33"/>
        <v>1+4.56146888496029i</v>
      </c>
      <c r="R28" s="160">
        <f t="shared" si="42"/>
        <v>4.6697963968957854</v>
      </c>
      <c r="S28" s="160">
        <f t="shared" si="43"/>
        <v>1.3549828569082798</v>
      </c>
      <c r="T28" s="160" t="str">
        <f t="shared" si="34"/>
        <v>1+0.0221481726206164i</v>
      </c>
      <c r="U28" s="160">
        <f t="shared" si="44"/>
        <v>1.000245240703715</v>
      </c>
      <c r="V28" s="160">
        <f t="shared" si="45"/>
        <v>2.2144552153171647E-2</v>
      </c>
      <c r="W28" s="98" t="str">
        <f t="shared" si="35"/>
        <v>1-0.0000142545902655009i</v>
      </c>
      <c r="X28" s="160">
        <f t="shared" si="46"/>
        <v>1.0000000001015965</v>
      </c>
      <c r="Y28" s="160">
        <f t="shared" si="47"/>
        <v>-1.4254590264535422E-5</v>
      </c>
      <c r="Z28" s="98" t="str">
        <f t="shared" si="36"/>
        <v>0.999999936604272-0.000335094818736625i</v>
      </c>
      <c r="AA28" s="160">
        <f t="shared" si="48"/>
        <v>0.99999999274854279</v>
      </c>
      <c r="AB28" s="160">
        <f t="shared" si="49"/>
        <v>-3.350948274377691E-4</v>
      </c>
      <c r="AC28" s="171" t="str">
        <f t="shared" si="50"/>
        <v>88.8568009625745-365.826542235226i</v>
      </c>
      <c r="AD28" s="190">
        <f t="shared" si="51"/>
        <v>51.51445209527671</v>
      </c>
      <c r="AE28" s="169">
        <f t="shared" si="52"/>
        <v>-76.347626844351083</v>
      </c>
      <c r="AF28" s="98" t="str">
        <f t="shared" si="37"/>
        <v>-0.0000114342530449913</v>
      </c>
      <c r="AG28" s="98" t="str">
        <f t="shared" si="38"/>
        <v>9.49602901108926E-06i</v>
      </c>
      <c r="AH28" s="98">
        <f t="shared" si="53"/>
        <v>9.49602901108926E-6</v>
      </c>
      <c r="AI28" s="98">
        <f t="shared" si="54"/>
        <v>1.5707963267948966</v>
      </c>
      <c r="AJ28" s="98" t="str">
        <f t="shared" si="39"/>
        <v>1+0.0000869744388029202i</v>
      </c>
      <c r="AK28" s="98">
        <f t="shared" si="55"/>
        <v>1.0000000037822765</v>
      </c>
      <c r="AL28" s="98">
        <f t="shared" si="56"/>
        <v>8.6974438583612622E-5</v>
      </c>
      <c r="AM28" s="98" t="str">
        <f t="shared" si="40"/>
        <v>1+0.208825627565811i</v>
      </c>
      <c r="AN28" s="98">
        <f t="shared" si="57"/>
        <v>1.0215714085311192</v>
      </c>
      <c r="AO28" s="98">
        <f t="shared" si="58"/>
        <v>0.20586715888515841</v>
      </c>
      <c r="AP28" s="168" t="str">
        <f t="shared" si="59"/>
        <v>-0.251344068060745+1.20413076030713i</v>
      </c>
      <c r="AQ28" s="98">
        <f t="shared" si="60"/>
        <v>1.7986898844705275</v>
      </c>
      <c r="AR28" s="169">
        <f t="shared" si="61"/>
        <v>101.7903360762124</v>
      </c>
      <c r="AS28" s="168" t="str">
        <f t="shared" si="62"/>
        <v>418.169362613434+198.943538631522i</v>
      </c>
      <c r="AT28" s="190">
        <f t="shared" si="63"/>
        <v>53.313141979747236</v>
      </c>
      <c r="AU28" s="169">
        <f t="shared" si="64"/>
        <v>25.442709231861325</v>
      </c>
      <c r="AV28" s="225"/>
      <c r="AX28">
        <f t="shared" si="65"/>
        <v>0</v>
      </c>
      <c r="AY28">
        <f t="shared" si="66"/>
        <v>0</v>
      </c>
    </row>
    <row r="29" spans="1:51" x14ac:dyDescent="0.2">
      <c r="A29" s="98" t="s">
        <v>144</v>
      </c>
      <c r="B29" s="207">
        <f>Isl</f>
        <v>2.9999999999999997E-5</v>
      </c>
      <c r="C29" s="206" t="s">
        <v>11</v>
      </c>
      <c r="E29" s="98" t="s">
        <v>213</v>
      </c>
      <c r="N29" s="170">
        <v>11</v>
      </c>
      <c r="O29" s="199">
        <f t="shared" si="41"/>
        <v>12.882495516931346</v>
      </c>
      <c r="P29" s="189" t="str">
        <f t="shared" si="32"/>
        <v>1757.57575757576</v>
      </c>
      <c r="Q29" s="160" t="str">
        <f t="shared" si="33"/>
        <v>1+4.66771914448656i</v>
      </c>
      <c r="R29" s="160">
        <f t="shared" si="42"/>
        <v>4.7736361415388942</v>
      </c>
      <c r="S29" s="160">
        <f t="shared" si="43"/>
        <v>1.3597491899541221</v>
      </c>
      <c r="T29" s="160" t="str">
        <f t="shared" si="34"/>
        <v>1+0.0226640698345012i</v>
      </c>
      <c r="U29" s="160">
        <f t="shared" si="44"/>
        <v>1.0002567970583671</v>
      </c>
      <c r="V29" s="160">
        <f t="shared" si="45"/>
        <v>2.2660190487528997E-2</v>
      </c>
      <c r="W29" s="98" t="str">
        <f t="shared" si="35"/>
        <v>1-0.0000145866223265205i</v>
      </c>
      <c r="X29" s="160">
        <f t="shared" si="46"/>
        <v>1.0000000001063847</v>
      </c>
      <c r="Y29" s="160">
        <f t="shared" si="47"/>
        <v>-1.458662232548597E-5</v>
      </c>
      <c r="Z29" s="98" t="str">
        <f t="shared" si="36"/>
        <v>0.999999933616524-0.000342900179762777i</v>
      </c>
      <c r="AA29" s="160">
        <f t="shared" si="48"/>
        <v>0.99999999240679271</v>
      </c>
      <c r="AB29" s="160">
        <f t="shared" si="49"/>
        <v>-3.4290018908622068E-4</v>
      </c>
      <c r="AC29" s="171" t="str">
        <f t="shared" si="50"/>
        <v>85.4056128176418-358.238560166628i</v>
      </c>
      <c r="AD29" s="190">
        <f t="shared" si="51"/>
        <v>51.323525106683583</v>
      </c>
      <c r="AE29" s="169">
        <f t="shared" si="52"/>
        <v>-76.590745521073515</v>
      </c>
      <c r="AF29" s="98" t="str">
        <f t="shared" si="37"/>
        <v>-0.0000114342530449913</v>
      </c>
      <c r="AG29" s="98" t="str">
        <f t="shared" si="38"/>
        <v>9.71721994154238E-06i</v>
      </c>
      <c r="AH29" s="98">
        <f t="shared" si="53"/>
        <v>9.7172199415423807E-6</v>
      </c>
      <c r="AI29" s="98">
        <f t="shared" si="54"/>
        <v>1.5707963267948966</v>
      </c>
      <c r="AJ29" s="98" t="str">
        <f t="shared" si="39"/>
        <v>1+0.0000890003337345795i</v>
      </c>
      <c r="AK29" s="98">
        <f t="shared" si="55"/>
        <v>1.0000000039605297</v>
      </c>
      <c r="AL29" s="98">
        <f t="shared" si="56"/>
        <v>8.9000333499587194E-5</v>
      </c>
      <c r="AM29" s="98" t="str">
        <f t="shared" si="40"/>
        <v>1+0.213689801296725i</v>
      </c>
      <c r="AN29" s="98">
        <f t="shared" si="57"/>
        <v>1.0225768094271617</v>
      </c>
      <c r="AO29" s="98">
        <f t="shared" si="58"/>
        <v>0.21052351275999542</v>
      </c>
      <c r="AP29" s="168" t="str">
        <f t="shared" si="59"/>
        <v>-0.251344067971139+1.17672240467255i</v>
      </c>
      <c r="AQ29" s="98">
        <f t="shared" si="60"/>
        <v>1.6072340793288054</v>
      </c>
      <c r="AR29" s="169">
        <f t="shared" si="61"/>
        <v>102.05700942593157</v>
      </c>
      <c r="AS29" s="168" t="str">
        <f t="shared" si="62"/>
        <v>400.081145812552+190.539835103712i</v>
      </c>
      <c r="AT29" s="190">
        <f t="shared" si="63"/>
        <v>52.930759186012381</v>
      </c>
      <c r="AU29" s="169">
        <f t="shared" si="64"/>
        <v>25.46626390485806</v>
      </c>
      <c r="AV29" s="225"/>
      <c r="AX29">
        <f t="shared" si="65"/>
        <v>0</v>
      </c>
      <c r="AY29">
        <f t="shared" si="66"/>
        <v>0</v>
      </c>
    </row>
    <row r="30" spans="1:51" x14ac:dyDescent="0.2">
      <c r="C30" s="206"/>
      <c r="N30" s="170">
        <v>12</v>
      </c>
      <c r="O30" s="199">
        <f t="shared" si="41"/>
        <v>13.182567385564075</v>
      </c>
      <c r="P30" s="189" t="str">
        <f t="shared" si="32"/>
        <v>1757.57575757576</v>
      </c>
      <c r="Q30" s="160" t="str">
        <f t="shared" si="33"/>
        <v>1+4.77644429048782i</v>
      </c>
      <c r="R30" s="160">
        <f t="shared" si="42"/>
        <v>4.8800020553411345</v>
      </c>
      <c r="S30" s="160">
        <f t="shared" si="43"/>
        <v>1.3644164527862266</v>
      </c>
      <c r="T30" s="160" t="str">
        <f t="shared" si="34"/>
        <v>1+0.0231919838382067i</v>
      </c>
      <c r="U30" s="160">
        <f t="shared" si="44"/>
        <v>1.0002688979041345</v>
      </c>
      <c r="V30" s="160">
        <f t="shared" si="45"/>
        <v>2.3187827103384292E-2</v>
      </c>
      <c r="W30" s="98" t="str">
        <f t="shared" si="35"/>
        <v>1-0.0000149263884077744i</v>
      </c>
      <c r="X30" s="160">
        <f t="shared" si="46"/>
        <v>1.0000000001113984</v>
      </c>
      <c r="Y30" s="160">
        <f t="shared" si="47"/>
        <v>-1.4926388406665882E-5</v>
      </c>
      <c r="Z30" s="98" t="str">
        <f t="shared" si="36"/>
        <v>0.999999930487967-0.000350887351003061i</v>
      </c>
      <c r="AA30" s="160">
        <f t="shared" si="48"/>
        <v>0.99999999204893586</v>
      </c>
      <c r="AB30" s="160">
        <f t="shared" si="49"/>
        <v>-3.5088736099331096E-4</v>
      </c>
      <c r="AC30" s="171" t="str">
        <f t="shared" si="50"/>
        <v>82.0964013718462-350.776744155208i</v>
      </c>
      <c r="AD30" s="190">
        <f t="shared" si="51"/>
        <v>51.132216348939153</v>
      </c>
      <c r="AE30" s="169">
        <f t="shared" si="52"/>
        <v>-76.827490467948238</v>
      </c>
      <c r="AF30" s="98" t="str">
        <f t="shared" si="37"/>
        <v>-0.0000114342530449913</v>
      </c>
      <c r="AG30" s="98" t="str">
        <f t="shared" si="38"/>
        <v>9.94356307063112E-06i</v>
      </c>
      <c r="AH30" s="98">
        <f t="shared" si="53"/>
        <v>9.9435630706311192E-6</v>
      </c>
      <c r="AI30" s="98">
        <f t="shared" si="54"/>
        <v>1.5707963267948966</v>
      </c>
      <c r="AJ30" s="98" t="str">
        <f t="shared" si="39"/>
        <v>1+0.0000910734178212436i</v>
      </c>
      <c r="AK30" s="98">
        <f t="shared" si="55"/>
        <v>1.0000000041471837</v>
      </c>
      <c r="AL30" s="98">
        <f t="shared" si="56"/>
        <v>9.1073417569444802E-5</v>
      </c>
      <c r="AM30" s="98" t="str">
        <f t="shared" si="40"/>
        <v>1+0.218667276188806i</v>
      </c>
      <c r="AN30" s="98">
        <f t="shared" si="57"/>
        <v>1.0236285350046821</v>
      </c>
      <c r="AO30" s="98">
        <f t="shared" si="58"/>
        <v>0.21527875221834009</v>
      </c>
      <c r="AP30" s="168" t="str">
        <f t="shared" si="59"/>
        <v>-0.251344067877311+1.1499379628327i</v>
      </c>
      <c r="AQ30" s="98">
        <f t="shared" si="60"/>
        <v>1.4161629695465141</v>
      </c>
      <c r="AR30" s="169">
        <f t="shared" si="61"/>
        <v>102.32934579850097</v>
      </c>
      <c r="AS30" s="168" t="str">
        <f t="shared" si="62"/>
        <v>382.737051104039+182.571422342165i</v>
      </c>
      <c r="AT30" s="190">
        <f t="shared" si="63"/>
        <v>52.548379318485672</v>
      </c>
      <c r="AU30" s="169">
        <f t="shared" si="64"/>
        <v>25.501855330552697</v>
      </c>
      <c r="AV30" s="225"/>
      <c r="AX30">
        <f t="shared" si="65"/>
        <v>0</v>
      </c>
      <c r="AY30">
        <f t="shared" si="66"/>
        <v>0</v>
      </c>
    </row>
    <row r="31" spans="1:51" x14ac:dyDescent="0.2">
      <c r="A31" s="98" t="s">
        <v>236</v>
      </c>
      <c r="B31" s="207">
        <f>Gcomp</f>
        <v>0.14499999999999999</v>
      </c>
      <c r="C31" s="206"/>
      <c r="E31" s="98" t="s">
        <v>237</v>
      </c>
      <c r="N31" s="170">
        <v>13</v>
      </c>
      <c r="O31" s="199">
        <f t="shared" si="41"/>
        <v>13.489628825916535</v>
      </c>
      <c r="P31" s="189" t="str">
        <f t="shared" si="32"/>
        <v>1757.57575757576</v>
      </c>
      <c r="Q31" s="160" t="str">
        <f t="shared" si="33"/>
        <v>1+4.8877019704756i</v>
      </c>
      <c r="R31" s="160">
        <f t="shared" si="42"/>
        <v>4.9889508468405523</v>
      </c>
      <c r="S31" s="160">
        <f t="shared" si="43"/>
        <v>1.368986306321841</v>
      </c>
      <c r="T31" s="160" t="str">
        <f t="shared" si="34"/>
        <v>1+0.0237321945387254i</v>
      </c>
      <c r="U31" s="160">
        <f t="shared" si="44"/>
        <v>1.0002815688882924</v>
      </c>
      <c r="V31" s="160">
        <f t="shared" si="45"/>
        <v>2.3727740584827878E-2</v>
      </c>
      <c r="W31" s="98" t="str">
        <f t="shared" si="35"/>
        <v>1-0.0000152740686577362i</v>
      </c>
      <c r="X31" s="160">
        <f t="shared" si="46"/>
        <v>1.0000000001166485</v>
      </c>
      <c r="Y31" s="160">
        <f t="shared" si="47"/>
        <v>-1.5274068656548403E-5</v>
      </c>
      <c r="Z31" s="98" t="str">
        <f t="shared" si="36"/>
        <v>0.999999927211966-0.00035906056736139i</v>
      </c>
      <c r="AA31" s="160">
        <f t="shared" si="48"/>
        <v>0.99999999167421416</v>
      </c>
      <c r="AB31" s="160">
        <f t="shared" si="49"/>
        <v>-3.5906057806613556E-4</v>
      </c>
      <c r="AC31" s="171" t="str">
        <f t="shared" si="50"/>
        <v>78.9238789977712-343.441040384487i</v>
      </c>
      <c r="AD31" s="190">
        <f t="shared" si="51"/>
        <v>50.940541976760628</v>
      </c>
      <c r="AE31" s="169">
        <f t="shared" si="52"/>
        <v>-77.057940654510517</v>
      </c>
      <c r="AF31" s="98" t="str">
        <f t="shared" si="37"/>
        <v>-0.0000114342530449913</v>
      </c>
      <c r="AG31" s="98" t="str">
        <f t="shared" si="38"/>
        <v>0.0000101751784084785i</v>
      </c>
      <c r="AH31" s="98">
        <f t="shared" si="53"/>
        <v>1.01751784084785E-5</v>
      </c>
      <c r="AI31" s="98">
        <f t="shared" si="54"/>
        <v>1.5707963267948966</v>
      </c>
      <c r="AJ31" s="98" t="str">
        <f t="shared" si="39"/>
        <v>1+0.0000931947902395357i</v>
      </c>
      <c r="AK31" s="98">
        <f t="shared" si="55"/>
        <v>1.0000000043426345</v>
      </c>
      <c r="AL31" s="98">
        <f t="shared" si="56"/>
        <v>9.3194789969728428E-5</v>
      </c>
      <c r="AM31" s="98" t="str">
        <f t="shared" si="40"/>
        <v>1+0.223760691365125i</v>
      </c>
      <c r="AN31" s="98">
        <f t="shared" si="57"/>
        <v>1.0247286699415601</v>
      </c>
      <c r="AO31" s="98">
        <f t="shared" si="58"/>
        <v>0.22013453793893828</v>
      </c>
      <c r="AP31" s="168" t="str">
        <f t="shared" si="59"/>
        <v>-0.25134406777906+1.12376323332197i</v>
      </c>
      <c r="AQ31" s="98">
        <f t="shared" si="60"/>
        <v>1.2254930315159291</v>
      </c>
      <c r="AR31" s="169">
        <f t="shared" si="61"/>
        <v>102.60744028082577</v>
      </c>
      <c r="AS31" s="168" t="str">
        <f t="shared" si="62"/>
        <v>366.10936520573+175.013621581357i</v>
      </c>
      <c r="AT31" s="190">
        <f t="shared" si="63"/>
        <v>52.166035008276559</v>
      </c>
      <c r="AU31" s="169">
        <f t="shared" si="64"/>
        <v>25.549499626315317</v>
      </c>
      <c r="AV31" s="225"/>
      <c r="AX31">
        <f t="shared" si="65"/>
        <v>0</v>
      </c>
      <c r="AY31">
        <f t="shared" si="66"/>
        <v>0</v>
      </c>
    </row>
    <row r="32" spans="1:51" x14ac:dyDescent="0.2">
      <c r="N32" s="170">
        <v>14</v>
      </c>
      <c r="O32" s="199">
        <f t="shared" si="41"/>
        <v>13.803842646028857</v>
      </c>
      <c r="P32" s="189" t="str">
        <f t="shared" si="32"/>
        <v>1757.57575757576</v>
      </c>
      <c r="Q32" s="160" t="str">
        <f t="shared" si="33"/>
        <v>1+5.00155117474452i</v>
      </c>
      <c r="R32" s="160">
        <f t="shared" si="42"/>
        <v>5.1005405746438583</v>
      </c>
      <c r="S32" s="160">
        <f t="shared" si="43"/>
        <v>1.373460409720433</v>
      </c>
      <c r="T32" s="160" t="str">
        <f t="shared" si="34"/>
        <v>1+0.0242849883629213i</v>
      </c>
      <c r="U32" s="160">
        <f t="shared" si="44"/>
        <v>1.0002948368655051</v>
      </c>
      <c r="V32" s="160">
        <f t="shared" si="45"/>
        <v>2.4280215941306145E-2</v>
      </c>
      <c r="W32" s="98" t="str">
        <f t="shared" si="35"/>
        <v>1-0.0000156298474210766i</v>
      </c>
      <c r="X32" s="160">
        <f t="shared" si="46"/>
        <v>1.0000000001221461</v>
      </c>
      <c r="Y32" s="160">
        <f t="shared" si="47"/>
        <v>-1.5629847419803853E-5</v>
      </c>
      <c r="Z32" s="98" t="str">
        <f t="shared" si="36"/>
        <v>0.999999923781571-0.000367424162385262i</v>
      </c>
      <c r="AA32" s="160">
        <f t="shared" si="48"/>
        <v>0.99999999128183148</v>
      </c>
      <c r="AB32" s="160">
        <f t="shared" si="49"/>
        <v>-3.6742417385560373E-4</v>
      </c>
      <c r="AC32" s="171" t="str">
        <f t="shared" si="50"/>
        <v>75.8829079156714-336.231237500328i</v>
      </c>
      <c r="AD32" s="190">
        <f t="shared" si="51"/>
        <v>50.748517559222719</v>
      </c>
      <c r="AE32" s="169">
        <f t="shared" si="52"/>
        <v>-77.282174576025085</v>
      </c>
      <c r="AF32" s="98" t="str">
        <f t="shared" si="37"/>
        <v>-0.0000114342530449913</v>
      </c>
      <c r="AG32" s="98" t="str">
        <f t="shared" si="38"/>
        <v>0.0000104121887606025i</v>
      </c>
      <c r="AH32" s="98">
        <f t="shared" si="53"/>
        <v>1.04121887606025E-5</v>
      </c>
      <c r="AI32" s="98">
        <f t="shared" si="54"/>
        <v>1.5707963267948966</v>
      </c>
      <c r="AJ32" s="98" t="str">
        <f t="shared" si="39"/>
        <v>1+0.0000953655757691918i</v>
      </c>
      <c r="AK32" s="98">
        <f t="shared" si="55"/>
        <v>1.0000000045472965</v>
      </c>
      <c r="AL32" s="98">
        <f t="shared" si="56"/>
        <v>9.5365575480088095E-5</v>
      </c>
      <c r="AM32" s="98" t="str">
        <f t="shared" si="40"/>
        <v>1+0.228972747421829i</v>
      </c>
      <c r="AN32" s="98">
        <f t="shared" si="57"/>
        <v>1.0258793881650516</v>
      </c>
      <c r="AO32" s="98">
        <f t="shared" si="58"/>
        <v>0.22509252816234496</v>
      </c>
      <c r="AP32" s="168" t="str">
        <f t="shared" si="59"/>
        <v>-0.251344067676178+1.0981843379523i</v>
      </c>
      <c r="AQ32" s="98">
        <f t="shared" si="60"/>
        <v>1.0352413699960037</v>
      </c>
      <c r="AR32" s="169">
        <f t="shared" si="61"/>
        <v>102.89138781864618</v>
      </c>
      <c r="AS32" s="168" t="str">
        <f t="shared" si="62"/>
        <v>350.171160210559+167.843147904394i</v>
      </c>
      <c r="AT32" s="190">
        <f t="shared" si="63"/>
        <v>51.783758929218735</v>
      </c>
      <c r="AU32" s="169">
        <f t="shared" si="64"/>
        <v>25.609213242621006</v>
      </c>
      <c r="AV32" s="225"/>
      <c r="AX32">
        <f t="shared" si="65"/>
        <v>0</v>
      </c>
      <c r="AY32">
        <f t="shared" si="66"/>
        <v>0</v>
      </c>
    </row>
    <row r="33" spans="1:51" x14ac:dyDescent="0.2">
      <c r="N33" s="170">
        <v>15</v>
      </c>
      <c r="O33" s="199">
        <f t="shared" si="41"/>
        <v>14.125375446227544</v>
      </c>
      <c r="P33" s="189" t="str">
        <f t="shared" si="32"/>
        <v>1757.57575757576</v>
      </c>
      <c r="Q33" s="160" t="str">
        <f t="shared" si="33"/>
        <v>1+5.11805226764964i</v>
      </c>
      <c r="R33" s="160">
        <f t="shared" si="42"/>
        <v>5.2148306793599364</v>
      </c>
      <c r="S33" s="160">
        <f t="shared" si="43"/>
        <v>1.3778404183844526</v>
      </c>
      <c r="T33" s="160" t="str">
        <f t="shared" si="34"/>
        <v>1+0.024850658409397i</v>
      </c>
      <c r="U33" s="160">
        <f t="shared" si="44"/>
        <v>1.0003087299545979</v>
      </c>
      <c r="V33" s="160">
        <f t="shared" si="45"/>
        <v>2.4845544752740818E-2</v>
      </c>
      <c r="W33" s="98" t="str">
        <f t="shared" si="35"/>
        <v>1-0.0000159939133364051i</v>
      </c>
      <c r="X33" s="160">
        <f t="shared" si="46"/>
        <v>1.0000000001279026</v>
      </c>
      <c r="Y33" s="160">
        <f t="shared" si="47"/>
        <v>-1.5993913335041323E-5</v>
      </c>
      <c r="Z33" s="98" t="str">
        <f t="shared" si="36"/>
        <v>0.999999920189507-0.000375982570563464i</v>
      </c>
      <c r="AA33" s="160">
        <f t="shared" si="48"/>
        <v>0.99999999087095692</v>
      </c>
      <c r="AB33" s="160">
        <f t="shared" si="49"/>
        <v>-3.7598258285415667E-4</v>
      </c>
      <c r="AC33" s="171" t="str">
        <f t="shared" si="50"/>
        <v>72.9685001392296-329.146977899454i</v>
      </c>
      <c r="AD33" s="190">
        <f t="shared" si="51"/>
        <v>50.55615809738584</v>
      </c>
      <c r="AE33" s="169">
        <f t="shared" si="52"/>
        <v>-77.500270130497199</v>
      </c>
      <c r="AF33" s="98" t="str">
        <f t="shared" si="37"/>
        <v>-0.0000114342530449913</v>
      </c>
      <c r="AG33" s="98" t="str">
        <f t="shared" si="38"/>
        <v>0.000010654719793029i</v>
      </c>
      <c r="AH33" s="98">
        <f t="shared" si="53"/>
        <v>1.0654719793029E-5</v>
      </c>
      <c r="AI33" s="98">
        <f t="shared" si="54"/>
        <v>1.5707963267948966</v>
      </c>
      <c r="AJ33" s="98" t="str">
        <f t="shared" si="39"/>
        <v>1+0.0000975869253894331i</v>
      </c>
      <c r="AK33" s="98">
        <f t="shared" si="55"/>
        <v>1.000000004761604</v>
      </c>
      <c r="AL33" s="98">
        <f t="shared" si="56"/>
        <v>9.7586925079652906E-5</v>
      </c>
      <c r="AM33" s="98" t="str">
        <f t="shared" si="40"/>
        <v>1+0.234306207860029i</v>
      </c>
      <c r="AN33" s="98">
        <f t="shared" si="57"/>
        <v>1.0270829562609571</v>
      </c>
      <c r="AO33" s="98">
        <f t="shared" si="58"/>
        <v>0.23015437623507362</v>
      </c>
      <c r="AP33" s="168" t="str">
        <f t="shared" si="59"/>
        <v>-0.251344067568448+1.07318771445481i</v>
      </c>
      <c r="AQ33" s="98">
        <f t="shared" si="60"/>
        <v>0.84542573501203622</v>
      </c>
      <c r="AR33" s="169">
        <f t="shared" si="61"/>
        <v>103.181283075793</v>
      </c>
      <c r="AS33" s="168" t="str">
        <f t="shared" si="62"/>
        <v>334.89629330226+161.038038144726i</v>
      </c>
      <c r="AT33" s="190">
        <f t="shared" si="63"/>
        <v>51.401583832397876</v>
      </c>
      <c r="AU33" s="169">
        <f t="shared" si="64"/>
        <v>25.681012945295791</v>
      </c>
      <c r="AV33" s="225"/>
      <c r="AX33">
        <f t="shared" si="65"/>
        <v>0</v>
      </c>
      <c r="AY33">
        <f t="shared" si="66"/>
        <v>0</v>
      </c>
    </row>
    <row r="34" spans="1:51" x14ac:dyDescent="0.2">
      <c r="N34" s="170">
        <v>16</v>
      </c>
      <c r="O34" s="199">
        <f t="shared" si="41"/>
        <v>14.454397707459275</v>
      </c>
      <c r="P34" s="189" t="str">
        <f t="shared" si="32"/>
        <v>1757.57575757576</v>
      </c>
      <c r="Q34" s="160" t="str">
        <f t="shared" si="33"/>
        <v>1+5.23726701961249i</v>
      </c>
      <c r="R34" s="160">
        <f t="shared" si="42"/>
        <v>5.3318820162040996</v>
      </c>
      <c r="S34" s="160">
        <f t="shared" si="43"/>
        <v>1.3821279821054449</v>
      </c>
      <c r="T34" s="160" t="str">
        <f t="shared" si="34"/>
        <v>1+0.0254295046038988i</v>
      </c>
      <c r="U34" s="160">
        <f t="shared" si="44"/>
        <v>1.0003232775979971</v>
      </c>
      <c r="V34" s="160">
        <f t="shared" si="45"/>
        <v>2.5424025317705164E-2</v>
      </c>
      <c r="W34" s="98" t="str">
        <f t="shared" si="35"/>
        <v>1-0.000016366459436289i</v>
      </c>
      <c r="X34" s="160">
        <f t="shared" si="46"/>
        <v>1.0000000001339304</v>
      </c>
      <c r="Y34" s="160">
        <f t="shared" si="47"/>
        <v>-1.6366459434827688E-5</v>
      </c>
      <c r="Z34" s="98" t="str">
        <f t="shared" si="36"/>
        <v>0.999999916428155-0.000384740329677297i</v>
      </c>
      <c r="AA34" s="160">
        <f t="shared" si="48"/>
        <v>0.99999999044071908</v>
      </c>
      <c r="AB34" s="160">
        <f t="shared" si="49"/>
        <v>-3.8474034284701115E-4</v>
      </c>
      <c r="AC34" s="171" t="str">
        <f t="shared" si="50"/>
        <v>70.1758169600457-322.187768520655i</v>
      </c>
      <c r="AD34" s="190">
        <f t="shared" si="51"/>
        <v>50.363478041914803</v>
      </c>
      <c r="AE34" s="169">
        <f t="shared" si="52"/>
        <v>-77.712304503834346</v>
      </c>
      <c r="AF34" s="98" t="str">
        <f t="shared" si="37"/>
        <v>-0.0000114342530449913</v>
      </c>
      <c r="AG34" s="98" t="str">
        <f t="shared" si="38"/>
        <v>0.0000109029000989216i</v>
      </c>
      <c r="AH34" s="98">
        <f t="shared" si="53"/>
        <v>1.09029000989216E-5</v>
      </c>
      <c r="AI34" s="98">
        <f t="shared" si="54"/>
        <v>1.5707963267948966</v>
      </c>
      <c r="AJ34" s="98" t="str">
        <f t="shared" si="39"/>
        <v>1+0.0000998600168892317i</v>
      </c>
      <c r="AK34" s="98">
        <f t="shared" si="55"/>
        <v>1.0000000049860114</v>
      </c>
      <c r="AL34" s="98">
        <f t="shared" si="56"/>
        <v>9.9860016557296234E-5</v>
      </c>
      <c r="AM34" s="98" t="str">
        <f t="shared" si="40"/>
        <v>1+0.239763900551045i</v>
      </c>
      <c r="AN34" s="98">
        <f t="shared" si="57"/>
        <v>1.0283417369763086</v>
      </c>
      <c r="AO34" s="98">
        <f t="shared" si="58"/>
        <v>0.23532172798315903</v>
      </c>
      <c r="AP34" s="168" t="str">
        <f t="shared" si="59"/>
        <v>-0.251344067455641+1.04876010928884i</v>
      </c>
      <c r="AQ34" s="98">
        <f t="shared" si="60"/>
        <v>0.65606453853694391</v>
      </c>
      <c r="AR34" s="169">
        <f t="shared" si="61"/>
        <v>103.47722028366972</v>
      </c>
      <c r="AS34" s="168" t="str">
        <f t="shared" si="62"/>
        <v>320.259404053489+154.577581688889i</v>
      </c>
      <c r="AT34" s="190">
        <f t="shared" si="63"/>
        <v>51.019542580451748</v>
      </c>
      <c r="AU34" s="169">
        <f t="shared" si="64"/>
        <v>25.764915779835402</v>
      </c>
      <c r="AV34" s="225"/>
      <c r="AX34">
        <f t="shared" si="65"/>
        <v>0</v>
      </c>
      <c r="AY34">
        <f t="shared" si="66"/>
        <v>0</v>
      </c>
    </row>
    <row r="35" spans="1:51" x14ac:dyDescent="0.2">
      <c r="A35" s="98" t="s">
        <v>235</v>
      </c>
      <c r="B35" s="208">
        <f>IF(Dc_Mode_Loop="CCM",(Gcomp*(VIN_var/VOUT)*(VOUT/IOUT))/(2*R_cs*Acs),K35*K37)</f>
        <v>1757.5757575757573</v>
      </c>
      <c r="C35" s="98" t="s">
        <v>180</v>
      </c>
      <c r="E35" s="98" t="s">
        <v>239</v>
      </c>
      <c r="J35" s="98" t="s">
        <v>546</v>
      </c>
      <c r="K35" s="98">
        <f>Fsw/((1+B45/B46)*B46)</f>
        <v>2.2936305878575189</v>
      </c>
      <c r="N35" s="170">
        <v>17</v>
      </c>
      <c r="O35" s="199">
        <f t="shared" si="41"/>
        <v>14.791083881682074</v>
      </c>
      <c r="P35" s="189" t="str">
        <f t="shared" si="32"/>
        <v>1757.57575757576</v>
      </c>
      <c r="Q35" s="160" t="str">
        <f t="shared" si="33"/>
        <v>1+5.35925863987258i</v>
      </c>
      <c r="R35" s="160">
        <f t="shared" si="42"/>
        <v>5.4517568882928824</v>
      </c>
      <c r="S35" s="160">
        <f t="shared" si="43"/>
        <v>1.3863247433489776</v>
      </c>
      <c r="T35" s="160" t="str">
        <f t="shared" si="34"/>
        <v>1+0.0260218338583408i</v>
      </c>
      <c r="U35" s="160">
        <f t="shared" si="44"/>
        <v>1.0003385106239544</v>
      </c>
      <c r="V35" s="160">
        <f t="shared" si="45"/>
        <v>2.6015962804703738E-2</v>
      </c>
      <c r="W35" s="98" t="str">
        <f t="shared" si="35"/>
        <v>1-0.0000167476832496018i</v>
      </c>
      <c r="X35" s="160">
        <f t="shared" si="46"/>
        <v>1.0000000001402425</v>
      </c>
      <c r="Y35" s="160">
        <f t="shared" si="47"/>
        <v>-1.6747683248035976E-5</v>
      </c>
      <c r="Z35" s="98" t="str">
        <f t="shared" si="36"/>
        <v>0.999999912489535-0.000393702083206565i</v>
      </c>
      <c r="AA35" s="160">
        <f t="shared" si="48"/>
        <v>0.9999999899902039</v>
      </c>
      <c r="AB35" s="160">
        <f t="shared" si="49"/>
        <v>-3.9370209731816807E-4</v>
      </c>
      <c r="AC35" s="171" t="str">
        <f t="shared" si="50"/>
        <v>67.5001680182433-315.352991141778i</v>
      </c>
      <c r="AD35" s="190">
        <f t="shared" si="51"/>
        <v>50.170491310637971</v>
      </c>
      <c r="AE35" s="169">
        <f t="shared" si="52"/>
        <v>-77.918354062779486</v>
      </c>
      <c r="AF35" s="98" t="str">
        <f t="shared" si="37"/>
        <v>-0.0000114342530449913</v>
      </c>
      <c r="AG35" s="98" t="str">
        <f t="shared" si="38"/>
        <v>0.0000111568612667636i</v>
      </c>
      <c r="AH35" s="98">
        <f t="shared" si="53"/>
        <v>1.1156861266763601E-5</v>
      </c>
      <c r="AI35" s="98">
        <f t="shared" si="54"/>
        <v>1.5707963267948966</v>
      </c>
      <c r="AJ35" s="98" t="str">
        <f t="shared" si="39"/>
        <v>1+0.000102186055491789i</v>
      </c>
      <c r="AK35" s="98">
        <f t="shared" si="55"/>
        <v>1.000000005220995</v>
      </c>
      <c r="AL35" s="98">
        <f t="shared" si="56"/>
        <v>1.0218605513611375E-4</v>
      </c>
      <c r="AM35" s="98" t="str">
        <f t="shared" si="40"/>
        <v>1+0.245348719235784i</v>
      </c>
      <c r="AN35" s="98">
        <f t="shared" si="57"/>
        <v>1.0296581928147999</v>
      </c>
      <c r="AO35" s="98">
        <f t="shared" si="58"/>
        <v>0.24059621890890232</v>
      </c>
      <c r="AP35" s="168" t="str">
        <f t="shared" si="59"/>
        <v>-0.251344067337518+1.02488857061479i</v>
      </c>
      <c r="AQ35" s="98">
        <f t="shared" si="60"/>
        <v>0.4671768708751296</v>
      </c>
      <c r="AR35" s="169">
        <f t="shared" si="61"/>
        <v>103.77929308060138</v>
      </c>
      <c r="AS35" s="168" t="str">
        <f t="shared" si="62"/>
        <v>306.235909554724+148.442254157102i</v>
      </c>
      <c r="AT35" s="190">
        <f t="shared" si="63"/>
        <v>50.637668181513085</v>
      </c>
      <c r="AU35" s="169">
        <f t="shared" si="64"/>
        <v>25.860939017821863</v>
      </c>
      <c r="AV35" s="225"/>
      <c r="AX35">
        <f t="shared" si="65"/>
        <v>0</v>
      </c>
      <c r="AY35">
        <f t="shared" si="66"/>
        <v>0</v>
      </c>
    </row>
    <row r="36" spans="1:51" x14ac:dyDescent="0.2">
      <c r="A36" s="98" t="s">
        <v>252</v>
      </c>
      <c r="B36" s="209">
        <f>IF(Dc_Mode_Loop="CCM",2/(Cout*(VOUT/IOUT)),(2*B20/B17-1)/(Cout*(VOUT/IOUT)*(B20/B17-1)))</f>
        <v>17.341040462427745</v>
      </c>
      <c r="C36" s="98" t="s">
        <v>251</v>
      </c>
      <c r="E36" s="98" t="s">
        <v>242</v>
      </c>
      <c r="J36" s="98" t="s">
        <v>547</v>
      </c>
      <c r="K36" s="98">
        <f>(1+SQRT(1+2*(Dc_DCM_VIN_nom^2)/K38))/2</f>
        <v>14.41666666666667</v>
      </c>
      <c r="N36" s="170">
        <v>18</v>
      </c>
      <c r="O36" s="199">
        <f t="shared" si="41"/>
        <v>15.135612484362087</v>
      </c>
      <c r="P36" s="189" t="str">
        <f t="shared" si="32"/>
        <v>1757.57575757576</v>
      </c>
      <c r="Q36" s="160" t="str">
        <f t="shared" si="33"/>
        <v>1+5.4840918100017i</v>
      </c>
      <c r="R36" s="160">
        <f t="shared" si="42"/>
        <v>5.5745190806497131</v>
      </c>
      <c r="S36" s="160">
        <f t="shared" si="43"/>
        <v>1.3904323356719117</v>
      </c>
      <c r="T36" s="160" t="str">
        <f t="shared" si="34"/>
        <v>1+0.0266279602335342i</v>
      </c>
      <c r="U36" s="160">
        <f t="shared" si="44"/>
        <v>1.0003544613116886</v>
      </c>
      <c r="V36" s="160">
        <f t="shared" si="45"/>
        <v>2.6621669406605368E-2</v>
      </c>
      <c r="W36" s="98" t="str">
        <f t="shared" si="35"/>
        <v>1-0.0000171377869062553i</v>
      </c>
      <c r="X36" s="160">
        <f t="shared" si="46"/>
        <v>1.0000000001468519</v>
      </c>
      <c r="Y36" s="160">
        <f t="shared" si="47"/>
        <v>-1.7137786904577491E-5</v>
      </c>
      <c r="Z36" s="98" t="str">
        <f t="shared" si="36"/>
        <v>0.999999908365294-0.000402872582791612i</v>
      </c>
      <c r="AA36" s="160">
        <f t="shared" si="48"/>
        <v>0.99999998951845714</v>
      </c>
      <c r="AB36" s="160">
        <f t="shared" si="49"/>
        <v>-4.0287259791246702E-4</v>
      </c>
      <c r="AC36" s="171" t="str">
        <f t="shared" si="50"/>
        <v>64.9370100036362-308.641912188064i</v>
      </c>
      <c r="AD36" s="190">
        <f t="shared" si="51"/>
        <v>49.977211306003973</v>
      </c>
      <c r="AE36" s="169">
        <f t="shared" si="52"/>
        <v>-78.118494255244812</v>
      </c>
      <c r="AF36" s="98" t="str">
        <f t="shared" si="37"/>
        <v>-0.0000114342530449913</v>
      </c>
      <c r="AG36" s="98" t="str">
        <f t="shared" si="38"/>
        <v>0.0000114167379501278i</v>
      </c>
      <c r="AH36" s="98">
        <f t="shared" si="53"/>
        <v>1.14167379501278E-5</v>
      </c>
      <c r="AI36" s="98">
        <f t="shared" si="54"/>
        <v>1.5707963267948966</v>
      </c>
      <c r="AJ36" s="98" t="str">
        <f t="shared" si="39"/>
        <v>1+0.00010456627449356i</v>
      </c>
      <c r="AK36" s="98">
        <f t="shared" si="55"/>
        <v>1.0000000054670528</v>
      </c>
      <c r="AL36" s="98">
        <f t="shared" si="56"/>
        <v>1.0456627411244711E-4</v>
      </c>
      <c r="AM36" s="98" t="str">
        <f t="shared" si="40"/>
        <v>1+0.251063625059036i</v>
      </c>
      <c r="AN36" s="98">
        <f t="shared" si="57"/>
        <v>1.0310348897238075</v>
      </c>
      <c r="AO36" s="98">
        <f t="shared" si="58"/>
        <v>0.24597947120477789</v>
      </c>
      <c r="AP36" s="168" t="str">
        <f t="shared" si="59"/>
        <v>-0.251344067213827+1.00156044142688i</v>
      </c>
      <c r="AQ36" s="98">
        <f t="shared" si="60"/>
        <v>0.27878251665995235</v>
      </c>
      <c r="AR36" s="169">
        <f t="shared" si="61"/>
        <v>104.08759434070755</v>
      </c>
      <c r="AS36" s="168" t="str">
        <f t="shared" si="62"/>
        <v>292.801997606895+142.613653926184i</v>
      </c>
      <c r="AT36" s="190">
        <f t="shared" si="63"/>
        <v>50.255993822663925</v>
      </c>
      <c r="AU36" s="169">
        <f t="shared" si="64"/>
        <v>25.969100085462653</v>
      </c>
      <c r="AV36" s="225"/>
      <c r="AX36">
        <f t="shared" si="65"/>
        <v>0</v>
      </c>
      <c r="AY36">
        <f t="shared" si="66"/>
        <v>0</v>
      </c>
    </row>
    <row r="37" spans="1:51" x14ac:dyDescent="0.2">
      <c r="B37" s="210">
        <f>wp_lf/(2*PI())</f>
        <v>2.7599123079519421</v>
      </c>
      <c r="C37" s="98" t="s">
        <v>69</v>
      </c>
      <c r="J37" s="98" t="s">
        <v>548</v>
      </c>
      <c r="K37" s="98">
        <f>2*VOUT/Dc_DCM_VIN_nom*(K36-1)/(2*K36-1)</f>
        <v>910.67452666338022</v>
      </c>
      <c r="N37" s="170">
        <v>19</v>
      </c>
      <c r="O37" s="199">
        <f t="shared" si="41"/>
        <v>15.488166189124817</v>
      </c>
      <c r="P37" s="189" t="str">
        <f t="shared" si="32"/>
        <v>1757.57575757576</v>
      </c>
      <c r="Q37" s="160" t="str">
        <f t="shared" si="33"/>
        <v>1+5.61183271819901i</v>
      </c>
      <c r="R37" s="160">
        <f t="shared" si="42"/>
        <v>5.7002338949422837</v>
      </c>
      <c r="S37" s="160">
        <f t="shared" si="43"/>
        <v>1.3944523822656323</v>
      </c>
      <c r="T37" s="160" t="str">
        <f t="shared" si="34"/>
        <v>1+0.0272482051057061i</v>
      </c>
      <c r="U37" s="160">
        <f t="shared" si="44"/>
        <v>1.0003711634595844</v>
      </c>
      <c r="V37" s="160">
        <f t="shared" si="45"/>
        <v>2.7241464498274245E-2</v>
      </c>
      <c r="W37" s="98" t="str">
        <f t="shared" si="35"/>
        <v>1-0.0000175369772443719i</v>
      </c>
      <c r="X37" s="160">
        <f t="shared" si="46"/>
        <v>1.0000000001537728</v>
      </c>
      <c r="Y37" s="160">
        <f t="shared" si="47"/>
        <v>-1.7536977242574094E-5</v>
      </c>
      <c r="Z37" s="98" t="str">
        <f t="shared" si="36"/>
        <v>0.999999904046683-0.000412256690752705i</v>
      </c>
      <c r="AA37" s="160">
        <f t="shared" si="48"/>
        <v>0.99999998902447707</v>
      </c>
      <c r="AB37" s="160">
        <f t="shared" si="49"/>
        <v>-4.1225670695499314E-4</v>
      </c>
      <c r="AC37" s="171" t="str">
        <f t="shared" si="50"/>
        <v>62.4819450290114-302.053692059379i</v>
      </c>
      <c r="AD37" s="190">
        <f t="shared" si="51"/>
        <v>49.783650932396924</v>
      </c>
      <c r="AE37" s="169">
        <f t="shared" si="52"/>
        <v>-78.31279951767435</v>
      </c>
      <c r="AF37" s="98" t="str">
        <f t="shared" si="37"/>
        <v>-0.0000114342530449913</v>
      </c>
      <c r="AG37" s="98" t="str">
        <f t="shared" si="38"/>
        <v>0.0000116826679390715i</v>
      </c>
      <c r="AH37" s="98">
        <f t="shared" si="53"/>
        <v>1.16826679390715E-5</v>
      </c>
      <c r="AI37" s="98">
        <f t="shared" si="54"/>
        <v>1.5707963267948966</v>
      </c>
      <c r="AJ37" s="98" t="str">
        <f t="shared" si="39"/>
        <v>1+0.000107001935918165i</v>
      </c>
      <c r="AK37" s="98">
        <f t="shared" si="55"/>
        <v>1.0000000057247072</v>
      </c>
      <c r="AL37" s="98">
        <f t="shared" si="56"/>
        <v>1.0700193550979517E-4</v>
      </c>
      <c r="AM37" s="98" t="str">
        <f t="shared" si="40"/>
        <v>1+0.256911648139515i</v>
      </c>
      <c r="AN37" s="98">
        <f t="shared" si="57"/>
        <v>1.032474500871456</v>
      </c>
      <c r="AO37" s="98">
        <f t="shared" si="58"/>
        <v>0.25147309057879097</v>
      </c>
      <c r="AP37" s="168" t="str">
        <f t="shared" si="59"/>
        <v>-0.251344067084308+0.978763352842244i</v>
      </c>
      <c r="AQ37" s="98">
        <f t="shared" si="60"/>
        <v>9.0901970370126151E-2</v>
      </c>
      <c r="AR37" s="169">
        <f t="shared" si="61"/>
        <v>104.40221599197135</v>
      </c>
      <c r="AS37" s="168" t="str">
        <f t="shared" si="62"/>
        <v>279.934618195487+137.074441448735i</v>
      </c>
      <c r="AT37" s="190">
        <f t="shared" si="63"/>
        <v>49.874552902767057</v>
      </c>
      <c r="AU37" s="169">
        <f t="shared" si="64"/>
        <v>26.08941647429689</v>
      </c>
      <c r="AV37" s="225"/>
      <c r="AX37">
        <f t="shared" si="65"/>
        <v>0</v>
      </c>
      <c r="AY37">
        <f t="shared" si="66"/>
        <v>0</v>
      </c>
    </row>
    <row r="38" spans="1:51" x14ac:dyDescent="0.2">
      <c r="B38" s="211"/>
      <c r="C38" s="98" t="s">
        <v>275</v>
      </c>
      <c r="E38" s="98" t="s">
        <v>274</v>
      </c>
      <c r="J38" s="98" t="s">
        <v>549</v>
      </c>
      <c r="K38" s="98">
        <f>(Lm*Fsw/(VOUT/IOUT))</f>
        <v>8.6705202312138712E-5</v>
      </c>
      <c r="N38" s="170">
        <v>20</v>
      </c>
      <c r="O38" s="199">
        <f t="shared" si="41"/>
        <v>15.848931924611136</v>
      </c>
      <c r="P38" s="189" t="str">
        <f t="shared" si="32"/>
        <v>1757.57575757576</v>
      </c>
      <c r="Q38" s="160" t="str">
        <f t="shared" si="33"/>
        <v>1+5.74254909438491i</v>
      </c>
      <c r="R38" s="160">
        <f t="shared" si="42"/>
        <v>5.8289681849724442</v>
      </c>
      <c r="S38" s="160">
        <f t="shared" si="43"/>
        <v>1.3983864946189624</v>
      </c>
      <c r="T38" s="160" t="str">
        <f t="shared" si="34"/>
        <v>1+0.0278828973368977i</v>
      </c>
      <c r="U38" s="160">
        <f t="shared" si="44"/>
        <v>1.0003886524565839</v>
      </c>
      <c r="V38" s="160">
        <f t="shared" si="45"/>
        <v>2.787567479744716E-2</v>
      </c>
      <c r="W38" s="98" t="str">
        <f t="shared" si="35"/>
        <v>1-0.0000179454659199528i</v>
      </c>
      <c r="X38" s="160">
        <f t="shared" si="46"/>
        <v>1.0000000001610199</v>
      </c>
      <c r="Y38" s="160">
        <f t="shared" si="47"/>
        <v>-1.7945465918026418E-5</v>
      </c>
      <c r="Z38" s="98" t="str">
        <f t="shared" si="36"/>
        <v>0.999999899524543-0.000421859382668097i</v>
      </c>
      <c r="AA38" s="160">
        <f t="shared" si="48"/>
        <v>0.99999998850721727</v>
      </c>
      <c r="AB38" s="160">
        <f t="shared" si="49"/>
        <v>-4.2185940002916129E-4</v>
      </c>
      <c r="AC38" s="171" t="str">
        <f t="shared" si="50"/>
        <v>60.130718714241-295.587393985656i</v>
      </c>
      <c r="AD38" s="190">
        <f t="shared" si="51"/>
        <v>49.589822613276091</v>
      </c>
      <c r="AE38" s="169">
        <f t="shared" si="52"/>
        <v>-78.501343189076152</v>
      </c>
      <c r="AF38" s="98" t="str">
        <f t="shared" si="37"/>
        <v>-0.0000114342530449913</v>
      </c>
      <c r="AG38" s="98" t="str">
        <f t="shared" si="38"/>
        <v>0.0000119547922331949i</v>
      </c>
      <c r="AH38" s="98">
        <f t="shared" si="53"/>
        <v>1.19547922331949E-5</v>
      </c>
      <c r="AI38" s="98">
        <f t="shared" si="54"/>
        <v>1.5707963267948966</v>
      </c>
      <c r="AJ38" s="98" t="str">
        <f t="shared" si="39"/>
        <v>1+0.000109494331185533i</v>
      </c>
      <c r="AK38" s="98">
        <f t="shared" si="55"/>
        <v>1.0000000059945042</v>
      </c>
      <c r="AL38" s="98">
        <f t="shared" si="56"/>
        <v>1.0949433074795685E-4</v>
      </c>
      <c r="AM38" s="98" t="str">
        <f t="shared" si="40"/>
        <v>1+0.262895889176464i</v>
      </c>
      <c r="AN38" s="98">
        <f t="shared" si="57"/>
        <v>1.033979810511735</v>
      </c>
      <c r="AO38" s="98">
        <f t="shared" si="58"/>
        <v>0.25707866288590969</v>
      </c>
      <c r="AP38" s="168" t="str">
        <f t="shared" si="59"/>
        <v>-0.251344066948684+0.956485217542744i</v>
      </c>
      <c r="AQ38" s="98">
        <f t="shared" si="60"/>
        <v>-9.6443548738649174E-2</v>
      </c>
      <c r="AR38" s="169">
        <f t="shared" si="61"/>
        <v>104.72324882319663</v>
      </c>
      <c r="AS38" s="168" t="str">
        <f t="shared" si="62"/>
        <v>267.611473449078+131.80828131351i</v>
      </c>
      <c r="AT38" s="190">
        <f t="shared" si="63"/>
        <v>49.493379064537436</v>
      </c>
      <c r="AU38" s="169">
        <f t="shared" si="64"/>
        <v>26.221905634120489</v>
      </c>
      <c r="AV38" s="225"/>
      <c r="AX38">
        <f t="shared" si="65"/>
        <v>0</v>
      </c>
      <c r="AY38">
        <f t="shared" si="66"/>
        <v>0</v>
      </c>
    </row>
    <row r="39" spans="1:51" x14ac:dyDescent="0.2">
      <c r="A39" s="98" t="s">
        <v>253</v>
      </c>
      <c r="B39" s="209">
        <f>((VOUT/IOUT)*((VIN_var/VOUT)^2))/(Lm)</f>
        <v>5549132.9479768779</v>
      </c>
      <c r="C39" s="98" t="s">
        <v>251</v>
      </c>
      <c r="E39" s="98" t="s">
        <v>243</v>
      </c>
      <c r="N39" s="170">
        <v>21</v>
      </c>
      <c r="O39" s="199">
        <f t="shared" si="41"/>
        <v>16.218100973589298</v>
      </c>
      <c r="P39" s="189" t="str">
        <f t="shared" si="32"/>
        <v>1757.57575757576</v>
      </c>
      <c r="Q39" s="160" t="str">
        <f t="shared" si="33"/>
        <v>1+5.87631024611225i</v>
      </c>
      <c r="R39" s="160">
        <f t="shared" si="42"/>
        <v>5.9607903929398338</v>
      </c>
      <c r="S39" s="160">
        <f t="shared" si="43"/>
        <v>1.4022362712946161</v>
      </c>
      <c r="T39" s="160" t="str">
        <f t="shared" si="34"/>
        <v>1+0.0285323734493311i</v>
      </c>
      <c r="U39" s="160">
        <f t="shared" si="44"/>
        <v>1.0004069653569252</v>
      </c>
      <c r="V39" s="160">
        <f t="shared" si="45"/>
        <v>2.8524634528900923E-2</v>
      </c>
      <c r="W39" s="98" t="str">
        <f t="shared" si="35"/>
        <v>1-0.0000183634695191007i</v>
      </c>
      <c r="X39" s="160">
        <f t="shared" si="46"/>
        <v>1.0000000001686085</v>
      </c>
      <c r="Y39" s="160">
        <f t="shared" si="47"/>
        <v>-1.8363469517036541E-5</v>
      </c>
      <c r="Z39" s="98" t="str">
        <f t="shared" si="36"/>
        <v>0.99999989478928-0.000431685750012148i</v>
      </c>
      <c r="AA39" s="160">
        <f t="shared" si="48"/>
        <v>0.99999998796557887</v>
      </c>
      <c r="AB39" s="160">
        <f t="shared" si="49"/>
        <v>-4.3168576861486382E-4</v>
      </c>
      <c r="AC39" s="171" t="str">
        <f t="shared" si="50"/>
        <v>57.8792180172205-289.241992421327i</v>
      </c>
      <c r="AD39" s="190">
        <f t="shared" si="51"/>
        <v>49.395738308110602</v>
      </c>
      <c r="AE39" s="169">
        <f t="shared" si="52"/>
        <v>-78.684197431366883</v>
      </c>
      <c r="AF39" s="98" t="str">
        <f t="shared" si="37"/>
        <v>-0.0000114342530449913</v>
      </c>
      <c r="AG39" s="98" t="str">
        <f t="shared" si="38"/>
        <v>0.0000122332551164007i</v>
      </c>
      <c r="AH39" s="98">
        <f t="shared" si="53"/>
        <v>1.22332551164007E-5</v>
      </c>
      <c r="AI39" s="98">
        <f t="shared" si="54"/>
        <v>1.5707963267948966</v>
      </c>
      <c r="AJ39" s="98" t="str">
        <f t="shared" si="39"/>
        <v>1+0.000112044781796624i</v>
      </c>
      <c r="AK39" s="98">
        <f t="shared" si="55"/>
        <v>1.0000000062770165</v>
      </c>
      <c r="AL39" s="98">
        <f t="shared" si="56"/>
        <v>1.120447813277527E-4</v>
      </c>
      <c r="AM39" s="98" t="str">
        <f t="shared" si="40"/>
        <v>1+0.269019521093693i</v>
      </c>
      <c r="AN39" s="98">
        <f t="shared" si="57"/>
        <v>1.035553717935231</v>
      </c>
      <c r="AO39" s="98">
        <f t="shared" si="58"/>
        <v>0.26279775056066934</v>
      </c>
      <c r="AP39" s="168" t="str">
        <f t="shared" si="59"/>
        <v>-0.251344066806669+0.934714223366164i</v>
      </c>
      <c r="AQ39" s="98">
        <f t="shared" si="60"/>
        <v>-0.28323208239651365</v>
      </c>
      <c r="AR39" s="169">
        <f t="shared" si="61"/>
        <v>105.05078227957158</v>
      </c>
      <c r="AS39" s="168" t="str">
        <f t="shared" si="62"/>
        <v>255.811006270945+126.799786984447i</v>
      </c>
      <c r="AT39" s="190">
        <f t="shared" si="63"/>
        <v>49.112506225714093</v>
      </c>
      <c r="AU39" s="169">
        <f t="shared" si="64"/>
        <v>26.366584848204614</v>
      </c>
      <c r="AV39" s="225"/>
      <c r="AX39">
        <f t="shared" si="65"/>
        <v>0</v>
      </c>
      <c r="AY39">
        <f t="shared" si="66"/>
        <v>0</v>
      </c>
    </row>
    <row r="40" spans="1:51" x14ac:dyDescent="0.2">
      <c r="B40" s="211">
        <f>wz_rhp/(2*PI())</f>
        <v>883171.93854462146</v>
      </c>
      <c r="C40" s="98" t="s">
        <v>69</v>
      </c>
      <c r="N40" s="170">
        <v>22</v>
      </c>
      <c r="O40" s="199">
        <f t="shared" si="41"/>
        <v>16.595869074375614</v>
      </c>
      <c r="P40" s="189" t="str">
        <f t="shared" si="32"/>
        <v>1757.57575757576</v>
      </c>
      <c r="Q40" s="160" t="str">
        <f t="shared" si="33"/>
        <v>1+6.01318709531428i</v>
      </c>
      <c r="R40" s="160">
        <f t="shared" si="42"/>
        <v>6.095770586501283</v>
      </c>
      <c r="S40" s="160">
        <f t="shared" si="43"/>
        <v>1.4060032968132079</v>
      </c>
      <c r="T40" s="160" t="str">
        <f t="shared" si="34"/>
        <v>1+0.0291969778038381i</v>
      </c>
      <c r="U40" s="160">
        <f t="shared" si="44"/>
        <v>1.0004261409583806</v>
      </c>
      <c r="V40" s="160">
        <f t="shared" si="45"/>
        <v>2.9188685591955227E-2</v>
      </c>
      <c r="W40" s="98" t="str">
        <f t="shared" si="35"/>
        <v>1-0.0000187912096728571i</v>
      </c>
      <c r="X40" s="160">
        <f t="shared" si="46"/>
        <v>1.0000000001765548</v>
      </c>
      <c r="Y40" s="160">
        <f t="shared" si="47"/>
        <v>-1.8791209670645314E-5</v>
      </c>
      <c r="Z40" s="98" t="str">
        <f t="shared" si="36"/>
        <v>0.999999889830852-0.000441741002854893i</v>
      </c>
      <c r="AA40" s="160">
        <f t="shared" si="48"/>
        <v>0.99999998739841478</v>
      </c>
      <c r="AB40" s="160">
        <f t="shared" si="49"/>
        <v>-4.4174102278806196E-4</v>
      </c>
      <c r="AC40" s="171" t="str">
        <f t="shared" si="50"/>
        <v>55.7234688449532-283.016380990715i</v>
      </c>
      <c r="AD40" s="190">
        <f t="shared" si="51"/>
        <v>49.201409529083016</v>
      </c>
      <c r="AE40" s="169">
        <f t="shared" si="52"/>
        <v>-78.861433155685575</v>
      </c>
      <c r="AF40" s="98" t="str">
        <f t="shared" si="37"/>
        <v>-0.0000114342530449913</v>
      </c>
      <c r="AG40" s="98" t="str">
        <f t="shared" si="38"/>
        <v>0.0000125182042333956i</v>
      </c>
      <c r="AH40" s="98">
        <f t="shared" si="53"/>
        <v>1.2518204233395599E-5</v>
      </c>
      <c r="AI40" s="98">
        <f t="shared" si="54"/>
        <v>1.5707963267948966</v>
      </c>
      <c r="AJ40" s="98" t="str">
        <f t="shared" si="39"/>
        <v>1+0.000114654640034111i</v>
      </c>
      <c r="AK40" s="98">
        <f t="shared" si="55"/>
        <v>1.0000000065728432</v>
      </c>
      <c r="AL40" s="98">
        <f t="shared" si="56"/>
        <v>1.1465463953170635E-4</v>
      </c>
      <c r="AM40" s="98" t="str">
        <f t="shared" si="40"/>
        <v>1+0.275285790721901i</v>
      </c>
      <c r="AN40" s="98">
        <f t="shared" si="57"/>
        <v>1.0371992415025102</v>
      </c>
      <c r="AO40" s="98">
        <f t="shared" si="58"/>
        <v>0.26863188884654321</v>
      </c>
      <c r="AP40" s="168" t="str">
        <f t="shared" si="59"/>
        <v>-0.251344066657959+0.913438827043207i</v>
      </c>
      <c r="AQ40" s="98">
        <f t="shared" si="60"/>
        <v>-0.46944091989760067</v>
      </c>
      <c r="AR40" s="169">
        <f t="shared" si="61"/>
        <v>105.38490424658762</v>
      </c>
      <c r="AS40" s="168" t="str">
        <f t="shared" si="62"/>
        <v>244.512387818394+122.034468149537i</v>
      </c>
      <c r="AT40" s="190">
        <f t="shared" si="63"/>
        <v>48.731968609185429</v>
      </c>
      <c r="AU40" s="169">
        <f t="shared" si="64"/>
        <v>26.523471090901939</v>
      </c>
      <c r="AV40" s="225"/>
      <c r="AX40">
        <f t="shared" si="65"/>
        <v>0</v>
      </c>
      <c r="AY40">
        <f t="shared" si="66"/>
        <v>0</v>
      </c>
    </row>
    <row r="41" spans="1:51" x14ac:dyDescent="0.2">
      <c r="B41" s="211"/>
      <c r="N41" s="170">
        <v>23</v>
      </c>
      <c r="O41" s="199">
        <f t="shared" si="41"/>
        <v>16.982436524617448</v>
      </c>
      <c r="P41" s="189" t="str">
        <f t="shared" si="32"/>
        <v>1757.57575757576</v>
      </c>
      <c r="Q41" s="160" t="str">
        <f t="shared" si="33"/>
        <v>1+6.15325221590814i</v>
      </c>
      <c r="R41" s="160">
        <f t="shared" si="42"/>
        <v>6.2339804966472618</v>
      </c>
      <c r="S41" s="160">
        <f t="shared" si="43"/>
        <v>1.409689140638972</v>
      </c>
      <c r="T41" s="160" t="str">
        <f t="shared" si="34"/>
        <v>1+0.0298770627824441i</v>
      </c>
      <c r="U41" s="160">
        <f t="shared" si="44"/>
        <v>1.0004462198841606</v>
      </c>
      <c r="V41" s="160">
        <f t="shared" si="45"/>
        <v>2.986817773135245E-2</v>
      </c>
      <c r="W41" s="98" t="str">
        <f t="shared" si="35"/>
        <v>1-0.0000192289131747129i</v>
      </c>
      <c r="X41" s="160">
        <f t="shared" si="46"/>
        <v>1.0000000001848754</v>
      </c>
      <c r="Y41" s="160">
        <f t="shared" si="47"/>
        <v>-1.9228913172342928E-5</v>
      </c>
      <c r="Z41" s="98" t="str">
        <f t="shared" si="36"/>
        <v>0.99999988463874-0.000452030472624483i</v>
      </c>
      <c r="AA41" s="160">
        <f t="shared" si="48"/>
        <v>0.99999998680452074</v>
      </c>
      <c r="AB41" s="160">
        <f t="shared" si="49"/>
        <v>-4.5203049398325824E-4</v>
      </c>
      <c r="AC41" s="171" t="str">
        <f t="shared" si="50"/>
        <v>53.6596334756001-276.909379997367i</v>
      </c>
      <c r="AD41" s="190">
        <f t="shared" si="51"/>
        <v>49.006847357540494</v>
      </c>
      <c r="AE41" s="169">
        <f t="shared" si="52"/>
        <v>-79.033119954336897</v>
      </c>
      <c r="AF41" s="98" t="str">
        <f t="shared" si="37"/>
        <v>-0.0000114342530449913</v>
      </c>
      <c r="AG41" s="98" t="str">
        <f t="shared" si="38"/>
        <v>0.0000128097906679729i</v>
      </c>
      <c r="AH41" s="98">
        <f t="shared" si="53"/>
        <v>1.2809790667972899E-5</v>
      </c>
      <c r="AI41" s="98">
        <f t="shared" si="54"/>
        <v>1.5707963267948966</v>
      </c>
      <c r="AJ41" s="98" t="str">
        <f t="shared" si="39"/>
        <v>1+0.000117325289679378i</v>
      </c>
      <c r="AK41" s="98">
        <f t="shared" si="55"/>
        <v>1.0000000068826118</v>
      </c>
      <c r="AL41" s="98">
        <f t="shared" si="56"/>
        <v>1.1732528914104172E-4</v>
      </c>
      <c r="AM41" s="98" t="str">
        <f t="shared" si="40"/>
        <v>1+0.281698020520187i</v>
      </c>
      <c r="AN41" s="98">
        <f t="shared" si="57"/>
        <v>1.0389195227566916</v>
      </c>
      <c r="AO41" s="98">
        <f t="shared" si="58"/>
        <v>0.27458258181833833</v>
      </c>
      <c r="AP41" s="168" t="str">
        <f t="shared" si="59"/>
        <v>-0.251344066502243+0.892647748077152i</v>
      </c>
      <c r="AQ41" s="98">
        <f t="shared" si="60"/>
        <v>-0.65504658561940787</v>
      </c>
      <c r="AR41" s="169">
        <f t="shared" si="61"/>
        <v>105.72570082209847</v>
      </c>
      <c r="AS41" s="168" t="str">
        <f t="shared" si="62"/>
        <v>233.695503991313+117.498680605793i</v>
      </c>
      <c r="AT41" s="190">
        <f t="shared" si="63"/>
        <v>48.351800771921098</v>
      </c>
      <c r="AU41" s="169">
        <f t="shared" si="64"/>
        <v>26.692580867761578</v>
      </c>
      <c r="AV41" s="225"/>
      <c r="AX41">
        <f t="shared" si="65"/>
        <v>0</v>
      </c>
      <c r="AY41">
        <f t="shared" si="66"/>
        <v>0</v>
      </c>
    </row>
    <row r="42" spans="1:51" x14ac:dyDescent="0.2">
      <c r="A42" s="98" t="s">
        <v>254</v>
      </c>
      <c r="B42" s="209">
        <f>1/(Cout*Resr)</f>
        <v>3571.4285714285716</v>
      </c>
      <c r="C42" s="98" t="s">
        <v>251</v>
      </c>
      <c r="E42" s="98" t="s">
        <v>244</v>
      </c>
      <c r="N42" s="170">
        <v>24</v>
      </c>
      <c r="O42" s="199">
        <f t="shared" si="41"/>
        <v>17.378008287493756</v>
      </c>
      <c r="P42" s="189" t="str">
        <f t="shared" si="32"/>
        <v>1757.57575757576</v>
      </c>
      <c r="Q42" s="160" t="str">
        <f t="shared" si="33"/>
        <v>1+6.29657987227485i</v>
      </c>
      <c r="R42" s="160">
        <f t="shared" si="42"/>
        <v>6.3754935564187312</v>
      </c>
      <c r="S42" s="160">
        <f t="shared" si="43"/>
        <v>1.4132953562615695</v>
      </c>
      <c r="T42" s="160" t="str">
        <f t="shared" si="34"/>
        <v>1+0.0305729889752073i</v>
      </c>
      <c r="U42" s="160">
        <f t="shared" si="44"/>
        <v>1.0004672446686489</v>
      </c>
      <c r="V42" s="160">
        <f t="shared" si="45"/>
        <v>3.0563468711559325E-2</v>
      </c>
      <c r="W42" s="98" t="str">
        <f t="shared" si="35"/>
        <v>1-0.0000196768121008588i</v>
      </c>
      <c r="X42" s="160">
        <f t="shared" si="46"/>
        <v>1.0000000001935885</v>
      </c>
      <c r="Y42" s="160">
        <f t="shared" si="47"/>
        <v>-1.967681209831933E-5</v>
      </c>
      <c r="Z42" s="98" t="str">
        <f t="shared" si="36"/>
        <v>0.999999879201931-0.000462559614933993i</v>
      </c>
      <c r="AA42" s="160">
        <f t="shared" si="48"/>
        <v>0.99999998618263686</v>
      </c>
      <c r="AB42" s="160">
        <f t="shared" si="49"/>
        <v>-4.6255963782033314E-4</v>
      </c>
      <c r="AC42" s="171" t="str">
        <f t="shared" si="50"/>
        <v>51.6840078198376-270.919743511033i</v>
      </c>
      <c r="AD42" s="190">
        <f t="shared" si="51"/>
        <v>48.812062460173692</v>
      </c>
      <c r="AE42" s="169">
        <f t="shared" si="52"/>
        <v>-79.199326038040851</v>
      </c>
      <c r="AF42" s="98" t="str">
        <f t="shared" si="37"/>
        <v>-0.0000114342530449913</v>
      </c>
      <c r="AG42" s="98" t="str">
        <f t="shared" si="38"/>
        <v>0.0000131081690231201i</v>
      </c>
      <c r="AH42" s="98">
        <f t="shared" si="53"/>
        <v>1.3108169023120099E-5</v>
      </c>
      <c r="AI42" s="98">
        <f t="shared" si="54"/>
        <v>1.5707963267948966</v>
      </c>
      <c r="AJ42" s="98" t="str">
        <f t="shared" si="39"/>
        <v>1+0.000120058146746218i</v>
      </c>
      <c r="AK42" s="98">
        <f t="shared" si="55"/>
        <v>1.0000000072069792</v>
      </c>
      <c r="AL42" s="98">
        <f t="shared" si="56"/>
        <v>1.2005814616938028E-4</v>
      </c>
      <c r="AM42" s="98" t="str">
        <f t="shared" si="40"/>
        <v>1+0.288259610337669i</v>
      </c>
      <c r="AN42" s="98">
        <f t="shared" si="57"/>
        <v>1.0407178306111724</v>
      </c>
      <c r="AO42" s="98">
        <f t="shared" si="58"/>
        <v>0.28065129819460211</v>
      </c>
      <c r="AP42" s="168" t="str">
        <f t="shared" si="59"/>
        <v>-0.251344066339188+0.872329962762708i</v>
      </c>
      <c r="AQ42" s="98">
        <f t="shared" si="60"/>
        <v>-0.84002482762145814</v>
      </c>
      <c r="AR42" s="169">
        <f t="shared" si="61"/>
        <v>106.07325607634655</v>
      </c>
      <c r="AS42" s="168" t="str">
        <f t="shared" si="62"/>
        <v>223.340941078517+113.179578602539i</v>
      </c>
      <c r="AT42" s="190">
        <f t="shared" si="63"/>
        <v>47.972037632552201</v>
      </c>
      <c r="AU42" s="169">
        <f t="shared" si="64"/>
        <v>26.873930038305687</v>
      </c>
      <c r="AV42" s="225"/>
      <c r="AX42">
        <f t="shared" si="65"/>
        <v>0</v>
      </c>
      <c r="AY42">
        <f t="shared" si="66"/>
        <v>0</v>
      </c>
    </row>
    <row r="43" spans="1:51" x14ac:dyDescent="0.2">
      <c r="B43" s="209">
        <f>wz_esr/(2*PI())</f>
        <v>568.41051104248334</v>
      </c>
      <c r="C43" s="98" t="s">
        <v>69</v>
      </c>
      <c r="N43" s="170">
        <v>25</v>
      </c>
      <c r="O43" s="199">
        <f t="shared" si="41"/>
        <v>17.782794100389236</v>
      </c>
      <c r="P43" s="189" t="str">
        <f t="shared" si="32"/>
        <v>1757.57575757576</v>
      </c>
      <c r="Q43" s="160" t="str">
        <f t="shared" si="33"/>
        <v>1+6.44324605863487i</v>
      </c>
      <c r="R43" s="160">
        <f t="shared" si="42"/>
        <v>6.5203849404857817</v>
      </c>
      <c r="S43" s="160">
        <f t="shared" si="43"/>
        <v>1.4168234803684805</v>
      </c>
      <c r="T43" s="160" t="str">
        <f t="shared" si="34"/>
        <v>1+0.0312851253714062i</v>
      </c>
      <c r="U43" s="160">
        <f t="shared" si="44"/>
        <v>1.0004892598471533</v>
      </c>
      <c r="V43" s="160">
        <f t="shared" si="45"/>
        <v>3.1274924494524292E-2</v>
      </c>
      <c r="W43" s="98" t="str">
        <f t="shared" si="35"/>
        <v>1-0.0000201351439332339i</v>
      </c>
      <c r="X43" s="160">
        <f t="shared" si="46"/>
        <v>1.0000000002027118</v>
      </c>
      <c r="Y43" s="160">
        <f t="shared" si="47"/>
        <v>-2.0135143930512809E-5</v>
      </c>
      <c r="Z43" s="98" t="str">
        <f t="shared" si="36"/>
        <v>0.999999873508894-0.000473334012474037i</v>
      </c>
      <c r="AA43" s="160">
        <f t="shared" si="48"/>
        <v>0.99999998553144542</v>
      </c>
      <c r="AB43" s="160">
        <f t="shared" si="49"/>
        <v>-4.7333403699719194E-4</v>
      </c>
      <c r="AC43" s="171" t="str">
        <f t="shared" si="50"/>
        <v>49.7930185476029-265.046166046688i</v>
      </c>
      <c r="AD43" s="190">
        <f t="shared" si="51"/>
        <v>48.61706510491004</v>
      </c>
      <c r="AE43" s="169">
        <f t="shared" si="52"/>
        <v>-79.360118178171035</v>
      </c>
      <c r="AF43" s="98" t="str">
        <f t="shared" si="37"/>
        <v>-0.0000114342530449913</v>
      </c>
      <c r="AG43" s="98" t="str">
        <f t="shared" si="38"/>
        <v>0.0000134134975029905i</v>
      </c>
      <c r="AH43" s="98">
        <f t="shared" si="53"/>
        <v>1.34134975029905E-5</v>
      </c>
      <c r="AI43" s="98">
        <f t="shared" si="54"/>
        <v>1.5707963267948966</v>
      </c>
      <c r="AJ43" s="98" t="str">
        <f t="shared" si="39"/>
        <v>1+0.000122854660231618i</v>
      </c>
      <c r="AK43" s="98">
        <f t="shared" si="55"/>
        <v>1.0000000075466338</v>
      </c>
      <c r="AL43" s="98">
        <f t="shared" si="56"/>
        <v>1.2285465961352527E-4</v>
      </c>
      <c r="AM43" s="98" t="str">
        <f t="shared" si="40"/>
        <v>1+0.294974039216115i</v>
      </c>
      <c r="AN43" s="98">
        <f t="shared" si="57"/>
        <v>1.0425975656078765</v>
      </c>
      <c r="AO43" s="98">
        <f t="shared" si="58"/>
        <v>0.28683946693784063</v>
      </c>
      <c r="AP43" s="168" t="str">
        <f t="shared" si="59"/>
        <v>-0.251344066168444+0.852474698341169i</v>
      </c>
      <c r="AQ43" s="98">
        <f t="shared" si="60"/>
        <v>-1.0243506074650859</v>
      </c>
      <c r="AR43" s="169">
        <f t="shared" si="61"/>
        <v>106.42765179983117</v>
      </c>
      <c r="AS43" s="168" t="str">
        <f t="shared" si="62"/>
        <v>213.429970698578+109.065069562395i</v>
      </c>
      <c r="AT43" s="190">
        <f t="shared" si="63"/>
        <v>47.592714497444945</v>
      </c>
      <c r="AU43" s="169">
        <f t="shared" si="64"/>
        <v>27.06753362166015</v>
      </c>
      <c r="AV43" s="225"/>
      <c r="AX43">
        <f t="shared" si="65"/>
        <v>0</v>
      </c>
      <c r="AY43">
        <f t="shared" si="66"/>
        <v>0</v>
      </c>
    </row>
    <row r="44" spans="1:51" x14ac:dyDescent="0.2">
      <c r="B44" s="211"/>
      <c r="N44" s="170">
        <v>26</v>
      </c>
      <c r="O44" s="199">
        <f t="shared" si="41"/>
        <v>18.197008586099841</v>
      </c>
      <c r="P44" s="189" t="str">
        <f t="shared" si="32"/>
        <v>1757.57575757576</v>
      </c>
      <c r="Q44" s="160" t="str">
        <f t="shared" si="33"/>
        <v>1+6.59332853934166i</v>
      </c>
      <c r="R44" s="160">
        <f t="shared" si="42"/>
        <v>6.6687316056126615</v>
      </c>
      <c r="S44" s="160">
        <f t="shared" si="43"/>
        <v>1.4202750321027449</v>
      </c>
      <c r="T44" s="160" t="str">
        <f t="shared" si="34"/>
        <v>1+0.0320138495551849i</v>
      </c>
      <c r="U44" s="160">
        <f t="shared" si="44"/>
        <v>1.0005123120498527</v>
      </c>
      <c r="V44" s="160">
        <f t="shared" si="45"/>
        <v>3.20029194209367E-2</v>
      </c>
      <c r="W44" s="98" t="str">
        <f t="shared" si="35"/>
        <v>1-0.0000206041516854426i</v>
      </c>
      <c r="X44" s="160">
        <f t="shared" si="46"/>
        <v>1.0000000002122655</v>
      </c>
      <c r="Y44" s="160">
        <f t="shared" si="47"/>
        <v>-2.0604151682526898E-5</v>
      </c>
      <c r="Z44" s="98" t="str">
        <f t="shared" si="36"/>
        <v>0.999999867547551-0.000484359377972814i</v>
      </c>
      <c r="AA44" s="160">
        <f t="shared" si="48"/>
        <v>0.99999998484956332</v>
      </c>
      <c r="AB44" s="160">
        <f t="shared" si="49"/>
        <v>-4.8435940424984824E-4</v>
      </c>
      <c r="AC44" s="171" t="str">
        <f t="shared" si="50"/>
        <v>47.9832201040617-259.287288850292i</v>
      </c>
      <c r="AD44" s="190">
        <f t="shared" si="51"/>
        <v>48.421865176507055</v>
      </c>
      <c r="AE44" s="169">
        <f t="shared" si="52"/>
        <v>-79.515561653678702</v>
      </c>
      <c r="AF44" s="98" t="str">
        <f t="shared" si="37"/>
        <v>-0.0000114342530449913</v>
      </c>
      <c r="AG44" s="98" t="str">
        <f t="shared" si="38"/>
        <v>0.0000137259379967855i</v>
      </c>
      <c r="AH44" s="98">
        <f t="shared" si="53"/>
        <v>1.3725937996785501E-5</v>
      </c>
      <c r="AI44" s="98">
        <f t="shared" si="54"/>
        <v>1.5707963267948966</v>
      </c>
      <c r="AJ44" s="98" t="str">
        <f t="shared" si="39"/>
        <v>1+0.000125716312884048i</v>
      </c>
      <c r="AK44" s="98">
        <f t="shared" si="55"/>
        <v>1.0000000079022957</v>
      </c>
      <c r="AL44" s="98">
        <f t="shared" si="56"/>
        <v>1.2571631222174968E-4</v>
      </c>
      <c r="AM44" s="98" t="str">
        <f t="shared" si="40"/>
        <v>1+0.3018448672346i</v>
      </c>
      <c r="AN44" s="98">
        <f t="shared" si="57"/>
        <v>1.044562264240803</v>
      </c>
      <c r="AO44" s="98">
        <f t="shared" si="58"/>
        <v>0.29314847264139926</v>
      </c>
      <c r="AP44" s="168" t="str">
        <f t="shared" si="59"/>
        <v>-0.25134406598966+0.833071427288533i</v>
      </c>
      <c r="AQ44" s="98">
        <f t="shared" si="60"/>
        <v>-1.2079980914093023</v>
      </c>
      <c r="AR44" s="169">
        <f t="shared" si="61"/>
        <v>106.7889672389522</v>
      </c>
      <c r="AS44" s="168" t="str">
        <f t="shared" si="62"/>
        <v>203.944534160055+105.143771097058i</v>
      </c>
      <c r="AT44" s="190">
        <f t="shared" si="63"/>
        <v>47.213867085097746</v>
      </c>
      <c r="AU44" s="169">
        <f t="shared" si="64"/>
        <v>27.273405585273455</v>
      </c>
      <c r="AV44" s="225"/>
      <c r="AX44">
        <f t="shared" si="65"/>
        <v>0</v>
      </c>
      <c r="AY44">
        <f t="shared" si="66"/>
        <v>0</v>
      </c>
    </row>
    <row r="45" spans="1:51" x14ac:dyDescent="0.2">
      <c r="A45" s="98" t="s">
        <v>247</v>
      </c>
      <c r="B45" s="211">
        <f>(Isl*(Rsl_int+R_sl)*Fsw)</f>
        <v>3999</v>
      </c>
      <c r="C45" s="98" t="s">
        <v>180</v>
      </c>
      <c r="E45" s="98" t="s">
        <v>248</v>
      </c>
      <c r="N45" s="170">
        <v>27</v>
      </c>
      <c r="O45" s="199">
        <f t="shared" si="41"/>
        <v>18.62087136662868</v>
      </c>
      <c r="P45" s="189" t="str">
        <f t="shared" si="32"/>
        <v>1757.57575757576</v>
      </c>
      <c r="Q45" s="160" t="str">
        <f t="shared" si="33"/>
        <v>1+6.74690689011301i</v>
      </c>
      <c r="R45" s="160">
        <f t="shared" si="42"/>
        <v>6.820612332031077</v>
      </c>
      <c r="S45" s="160">
        <f t="shared" si="43"/>
        <v>1.4236515124009375</v>
      </c>
      <c r="T45" s="160" t="str">
        <f t="shared" si="34"/>
        <v>1+0.032759547905751i</v>
      </c>
      <c r="U45" s="160">
        <f t="shared" si="44"/>
        <v>1.0005364501001397</v>
      </c>
      <c r="V45" s="160">
        <f t="shared" si="45"/>
        <v>3.2747836395014912E-2</v>
      </c>
      <c r="W45" s="98" t="str">
        <f t="shared" si="35"/>
        <v>1-0.0000210840840316031i</v>
      </c>
      <c r="X45" s="160">
        <f t="shared" si="46"/>
        <v>1.0000000002222693</v>
      </c>
      <c r="Y45" s="160">
        <f t="shared" si="47"/>
        <v>-2.108408402847887E-5</v>
      </c>
      <c r="Z45" s="98" t="str">
        <f t="shared" si="36"/>
        <v>0.99999986130526-0.000495641557225045i</v>
      </c>
      <c r="AA45" s="160">
        <f t="shared" si="48"/>
        <v>0.99999998413554625</v>
      </c>
      <c r="AB45" s="160">
        <f t="shared" si="49"/>
        <v>-4.9564158538139419E-4</v>
      </c>
      <c r="AC45" s="171" t="str">
        <f t="shared" si="50"/>
        <v>46.2512916366019-253.641705806382i</v>
      </c>
      <c r="AD45" s="190">
        <f t="shared" si="51"/>
        <v>48.226472191836876</v>
      </c>
      <c r="AE45" s="169">
        <f t="shared" si="52"/>
        <v>-79.665720202407229</v>
      </c>
      <c r="AF45" s="98" t="str">
        <f t="shared" si="37"/>
        <v>-0.0000114342530449913</v>
      </c>
      <c r="AG45" s="98" t="str">
        <f t="shared" si="38"/>
        <v>0.0000140456561645908i</v>
      </c>
      <c r="AH45" s="98">
        <f t="shared" si="53"/>
        <v>1.40456561645908E-5</v>
      </c>
      <c r="AI45" s="98">
        <f t="shared" si="54"/>
        <v>1.5707963267948966</v>
      </c>
      <c r="AJ45" s="98" t="str">
        <f t="shared" si="39"/>
        <v>1+0.000128644621989621i</v>
      </c>
      <c r="AK45" s="98">
        <f t="shared" si="55"/>
        <v>1.0000000082747194</v>
      </c>
      <c r="AL45" s="98">
        <f t="shared" si="56"/>
        <v>1.2864462127995557E-4</v>
      </c>
      <c r="AM45" s="98" t="str">
        <f t="shared" si="40"/>
        <v>1+0.30887573739708i</v>
      </c>
      <c r="AN45" s="98">
        <f t="shared" si="57"/>
        <v>1.0466156033389669</v>
      </c>
      <c r="AO45" s="98">
        <f t="shared" si="58"/>
        <v>0.299579650702815</v>
      </c>
      <c r="AP45" s="168" t="str">
        <f t="shared" si="59"/>
        <v>-0.251344065802445+0.814109861733639i</v>
      </c>
      <c r="AQ45" s="98">
        <f t="shared" si="60"/>
        <v>-1.390940643143266</v>
      </c>
      <c r="AR45" s="169">
        <f t="shared" si="61"/>
        <v>107.15727881941829</v>
      </c>
      <c r="AS45" s="168" t="str">
        <f t="shared" si="62"/>
        <v>194.86722635536+101.40497023372i</v>
      </c>
      <c r="AT45" s="190">
        <f t="shared" si="63"/>
        <v>46.835531548693623</v>
      </c>
      <c r="AU45" s="169">
        <f t="shared" si="64"/>
        <v>27.491558617011073</v>
      </c>
      <c r="AV45" s="225"/>
      <c r="AX45">
        <f t="shared" si="65"/>
        <v>0</v>
      </c>
      <c r="AY45">
        <f t="shared" si="66"/>
        <v>0</v>
      </c>
    </row>
    <row r="46" spans="1:51" x14ac:dyDescent="0.2">
      <c r="A46" s="98" t="s">
        <v>250</v>
      </c>
      <c r="B46" s="211">
        <f>(R_cs*VIN_var*Acs)/Lm</f>
        <v>39600.000000000007</v>
      </c>
      <c r="C46" s="98" t="s">
        <v>180</v>
      </c>
      <c r="E46" s="98" t="s">
        <v>249</v>
      </c>
      <c r="N46" s="170">
        <v>28</v>
      </c>
      <c r="O46" s="199">
        <f t="shared" si="41"/>
        <v>19.054607179632477</v>
      </c>
      <c r="P46" s="189" t="str">
        <f t="shared" si="32"/>
        <v>1757.57575757576</v>
      </c>
      <c r="Q46" s="160" t="str">
        <f t="shared" si="33"/>
        <v>1+6.90406254022338i</v>
      </c>
      <c r="R46" s="160">
        <f t="shared" si="42"/>
        <v>6.9761077657470087</v>
      </c>
      <c r="S46" s="160">
        <f t="shared" si="43"/>
        <v>1.4269544034065273</v>
      </c>
      <c r="T46" s="160" t="str">
        <f t="shared" si="34"/>
        <v>1+0.0335226158022406i</v>
      </c>
      <c r="U46" s="160">
        <f t="shared" si="44"/>
        <v>1.0005617251175585</v>
      </c>
      <c r="V46" s="160">
        <f t="shared" si="45"/>
        <v>3.3510067072865093E-2</v>
      </c>
      <c r="W46" s="98" t="str">
        <f t="shared" si="35"/>
        <v>1-0.000021575195438198i</v>
      </c>
      <c r="X46" s="160">
        <f t="shared" si="46"/>
        <v>1.0000000002327445</v>
      </c>
      <c r="Y46" s="160">
        <f t="shared" si="47"/>
        <v>-2.1575195434850326E-5</v>
      </c>
      <c r="Z46" s="98" t="str">
        <f t="shared" si="36"/>
        <v>0.999999854768778-0.000507186532191508i</v>
      </c>
      <c r="AA46" s="160">
        <f t="shared" si="48"/>
        <v>0.99999998338787754</v>
      </c>
      <c r="AB46" s="160">
        <f t="shared" si="49"/>
        <v>-5.0718656236157979E-4</v>
      </c>
      <c r="AC46" s="171" t="str">
        <f t="shared" si="50"/>
        <v>44.5940338526622-248.10796898269i</v>
      </c>
      <c r="AD46" s="190">
        <f t="shared" si="51"/>
        <v>48.030895314854831</v>
      </c>
      <c r="AE46" s="169">
        <f t="shared" si="52"/>
        <v>-79.810655976518319</v>
      </c>
      <c r="AF46" s="98" t="str">
        <f t="shared" si="37"/>
        <v>-0.0000114342530449913</v>
      </c>
      <c r="AG46" s="98" t="str">
        <f t="shared" si="38"/>
        <v>0.0000143728215252107i</v>
      </c>
      <c r="AH46" s="98">
        <f t="shared" si="53"/>
        <v>1.43728215252107E-5</v>
      </c>
      <c r="AI46" s="98">
        <f t="shared" si="54"/>
        <v>1.5707963267948966</v>
      </c>
      <c r="AJ46" s="98" t="str">
        <f t="shared" si="39"/>
        <v>1+0.000131641140176586i</v>
      </c>
      <c r="AK46" s="98">
        <f t="shared" si="55"/>
        <v>1.0000000086646947</v>
      </c>
      <c r="AL46" s="98">
        <f t="shared" si="56"/>
        <v>1.3164113941616578E-4</v>
      </c>
      <c r="AM46" s="98" t="str">
        <f t="shared" si="40"/>
        <v>1+0.316070377563983i</v>
      </c>
      <c r="AN46" s="98">
        <f t="shared" si="57"/>
        <v>1.0487614045022056</v>
      </c>
      <c r="AO46" s="98">
        <f t="shared" si="58"/>
        <v>0.30613428228485057</v>
      </c>
      <c r="AP46" s="168" t="str">
        <f t="shared" si="59"/>
        <v>-0.251344065606411+0.795579948003458i</v>
      </c>
      <c r="AQ46" s="98">
        <f t="shared" si="60"/>
        <v>-1.5731508182230458</v>
      </c>
      <c r="AR46" s="169">
        <f t="shared" si="61"/>
        <v>107.5326598574897</v>
      </c>
      <c r="AS46" s="168" t="str">
        <f t="shared" si="62"/>
        <v>186.181279292174+97.8385847672241i</v>
      </c>
      <c r="AT46" s="190">
        <f t="shared" si="63"/>
        <v>46.45774449663179</v>
      </c>
      <c r="AU46" s="169">
        <f t="shared" si="64"/>
        <v>27.722003880971407</v>
      </c>
      <c r="AV46" s="225"/>
      <c r="AX46">
        <f t="shared" si="65"/>
        <v>0</v>
      </c>
      <c r="AY46">
        <f t="shared" si="66"/>
        <v>0</v>
      </c>
    </row>
    <row r="47" spans="1:51" x14ac:dyDescent="0.2">
      <c r="B47" s="211"/>
      <c r="N47" s="170">
        <v>29</v>
      </c>
      <c r="O47" s="199">
        <f t="shared" si="41"/>
        <v>19.498445997580465</v>
      </c>
      <c r="P47" s="189" t="str">
        <f t="shared" si="32"/>
        <v>1757.57575757576</v>
      </c>
      <c r="Q47" s="160" t="str">
        <f t="shared" si="33"/>
        <v>1+7.06487881567866i</v>
      </c>
      <c r="R47" s="160">
        <f t="shared" si="42"/>
        <v>7.1353004618043308</v>
      </c>
      <c r="S47" s="160">
        <f t="shared" si="43"/>
        <v>1.4301851679539246</v>
      </c>
      <c r="T47" s="160" t="str">
        <f t="shared" si="34"/>
        <v>1+0.034303457833353i</v>
      </c>
      <c r="U47" s="160">
        <f t="shared" si="44"/>
        <v>1.0005881906255563</v>
      </c>
      <c r="V47" s="160">
        <f t="shared" si="45"/>
        <v>3.4290012054435694E-2</v>
      </c>
      <c r="W47" s="98" t="str">
        <f t="shared" si="35"/>
        <v>1-0.0000220777462989958i</v>
      </c>
      <c r="X47" s="160">
        <f t="shared" si="46"/>
        <v>1.0000000002437135</v>
      </c>
      <c r="Y47" s="160">
        <f t="shared" si="47"/>
        <v>-2.2077746295408703E-5</v>
      </c>
      <c r="Z47" s="98" t="str">
        <f t="shared" si="36"/>
        <v>0.999999847924241-0.000519000424170749i</v>
      </c>
      <c r="AA47" s="160">
        <f t="shared" si="48"/>
        <v>0.99999998260497269</v>
      </c>
      <c r="AB47" s="160">
        <f t="shared" si="49"/>
        <v>-5.1900045649856349E-4</v>
      </c>
      <c r="AC47" s="171" t="str">
        <f t="shared" si="50"/>
        <v>43.0083658263916-242.684593827035i</v>
      </c>
      <c r="AD47" s="190">
        <f t="shared" si="51"/>
        <v>47.835143371246325</v>
      </c>
      <c r="AE47" s="169">
        <f t="shared" si="52"/>
        <v>-79.950429501757981</v>
      </c>
      <c r="AF47" s="98" t="str">
        <f t="shared" si="37"/>
        <v>-0.0000114342530449913</v>
      </c>
      <c r="AG47" s="98" t="str">
        <f t="shared" si="38"/>
        <v>0.0000147076075460501i</v>
      </c>
      <c r="AH47" s="98">
        <f t="shared" si="53"/>
        <v>1.47076075460501E-5</v>
      </c>
      <c r="AI47" s="98">
        <f t="shared" si="54"/>
        <v>1.5707963267948966</v>
      </c>
      <c r="AJ47" s="98" t="str">
        <f t="shared" si="39"/>
        <v>1+0.000134707456238549i</v>
      </c>
      <c r="AK47" s="98">
        <f t="shared" si="55"/>
        <v>1.0000000090730494</v>
      </c>
      <c r="AL47" s="98">
        <f t="shared" si="56"/>
        <v>1.3470745542374407E-4</v>
      </c>
      <c r="AM47" s="98" t="str">
        <f t="shared" si="40"/>
        <v>1+0.323432602428756i</v>
      </c>
      <c r="AN47" s="98">
        <f t="shared" si="57"/>
        <v>1.0510036385825874</v>
      </c>
      <c r="AO47" s="98">
        <f t="shared" si="58"/>
        <v>0.31281358906661544</v>
      </c>
      <c r="AP47" s="168" t="str">
        <f t="shared" si="59"/>
        <v>-0.251344065401135+0.777471861292449i</v>
      </c>
      <c r="AQ47" s="98">
        <f t="shared" si="60"/>
        <v>-1.7546003603916152</v>
      </c>
      <c r="AR47" s="169">
        <f t="shared" si="61"/>
        <v>107.91518025919198</v>
      </c>
      <c r="AS47" s="168" t="str">
        <f t="shared" si="62"/>
        <v>177.870545356642+94.4351266529014i</v>
      </c>
      <c r="AT47" s="190">
        <f t="shared" si="63"/>
        <v>46.080543010854683</v>
      </c>
      <c r="AU47" s="169">
        <f t="shared" si="64"/>
        <v>27.964750757434064</v>
      </c>
      <c r="AV47" s="225"/>
      <c r="AX47">
        <f t="shared" si="65"/>
        <v>0</v>
      </c>
      <c r="AY47">
        <f t="shared" si="66"/>
        <v>0</v>
      </c>
    </row>
    <row r="48" spans="1:51" x14ac:dyDescent="0.2">
      <c r="A48" s="98" t="s">
        <v>245</v>
      </c>
      <c r="B48" s="211">
        <f>2*PI()*Fsw</f>
        <v>628318.53071795858</v>
      </c>
      <c r="C48" s="98" t="s">
        <v>251</v>
      </c>
      <c r="N48" s="170">
        <v>30</v>
      </c>
      <c r="O48" s="199">
        <f t="shared" si="41"/>
        <v>19.952623149688804</v>
      </c>
      <c r="P48" s="189" t="str">
        <f t="shared" si="32"/>
        <v>1757.57575757576</v>
      </c>
      <c r="Q48" s="160" t="str">
        <f t="shared" si="33"/>
        <v>1+7.22944098339674i</v>
      </c>
      <c r="R48" s="160">
        <f t="shared" si="42"/>
        <v>7.2982749285304687</v>
      </c>
      <c r="S48" s="160">
        <f t="shared" si="43"/>
        <v>1.4333452491187442</v>
      </c>
      <c r="T48" s="160" t="str">
        <f t="shared" si="34"/>
        <v>1+0.0351024880118685i</v>
      </c>
      <c r="U48" s="160">
        <f t="shared" si="44"/>
        <v>1.0006159026642658</v>
      </c>
      <c r="V48" s="160">
        <f t="shared" si="45"/>
        <v>3.5088081079097722E-2</v>
      </c>
      <c r="W48" s="98" t="str">
        <f t="shared" si="35"/>
        <v>1-0.0000225920030731148i</v>
      </c>
      <c r="X48" s="160">
        <f t="shared" si="46"/>
        <v>1.0000000002551992</v>
      </c>
      <c r="Y48" s="160">
        <f t="shared" si="47"/>
        <v>-2.2592003069271159E-5</v>
      </c>
      <c r="Z48" s="98" t="str">
        <f t="shared" si="36"/>
        <v>0.999999840757132-0.000531089497044667i</v>
      </c>
      <c r="AA48" s="160">
        <f t="shared" si="48"/>
        <v>0.99999998178517147</v>
      </c>
      <c r="AB48" s="160">
        <f t="shared" si="49"/>
        <v>-5.3108953168454383E-4</v>
      </c>
      <c r="AC48" s="171" t="str">
        <f t="shared" si="50"/>
        <v>41.4913217704054-237.370064031695i</v>
      </c>
      <c r="AD48" s="190">
        <f t="shared" si="51"/>
        <v>47.639224862749465</v>
      </c>
      <c r="AE48" s="169">
        <f t="shared" si="52"/>
        <v>-80.085099640303966</v>
      </c>
      <c r="AF48" s="98" t="str">
        <f t="shared" si="37"/>
        <v>-0.0000114342530449913</v>
      </c>
      <c r="AG48" s="98" t="str">
        <f t="shared" si="38"/>
        <v>0.0000150501917350886i</v>
      </c>
      <c r="AH48" s="98">
        <f t="shared" si="53"/>
        <v>1.5050191735088599E-5</v>
      </c>
      <c r="AI48" s="98">
        <f t="shared" si="54"/>
        <v>1.5707963267948966</v>
      </c>
      <c r="AJ48" s="98" t="str">
        <f t="shared" si="39"/>
        <v>1+0.000137845195976874i</v>
      </c>
      <c r="AK48" s="98">
        <f t="shared" si="55"/>
        <v>1.0000000095006489</v>
      </c>
      <c r="AL48" s="98">
        <f t="shared" si="56"/>
        <v>1.3784519510379479E-4</v>
      </c>
      <c r="AM48" s="98" t="str">
        <f t="shared" si="40"/>
        <v>1+0.330966315540474i</v>
      </c>
      <c r="AN48" s="98">
        <f t="shared" si="57"/>
        <v>1.0533464302034903</v>
      </c>
      <c r="AO48" s="98">
        <f t="shared" si="58"/>
        <v>0.31961872778882106</v>
      </c>
      <c r="AP48" s="168" t="str">
        <f t="shared" si="59"/>
        <v>-0.251344065186187+0.759776000453351i</v>
      </c>
      <c r="AQ48" s="98">
        <f t="shared" si="60"/>
        <v>-1.9352601999635048</v>
      </c>
      <c r="AR48" s="169">
        <f t="shared" si="61"/>
        <v>108.30490620773459</v>
      </c>
      <c r="AS48" s="168" t="str">
        <f t="shared" si="62"/>
        <v>169.919480393635+91.1856673554734i</v>
      </c>
      <c r="AT48" s="190">
        <f t="shared" si="63"/>
        <v>45.70396466278595</v>
      </c>
      <c r="AU48" s="169">
        <f t="shared" si="64"/>
        <v>28.219806567430666</v>
      </c>
      <c r="AV48" s="225"/>
      <c r="AX48">
        <f t="shared" si="65"/>
        <v>0</v>
      </c>
      <c r="AY48">
        <f t="shared" si="66"/>
        <v>0</v>
      </c>
    </row>
    <row r="49" spans="1:51" x14ac:dyDescent="0.2">
      <c r="A49" s="98" t="s">
        <v>246</v>
      </c>
      <c r="B49" s="211">
        <f>1/(PI()*(((VIN_var/VOUT)*(1+(B45/B46)))-0.5))</f>
        <v>-0.75138458812378739</v>
      </c>
      <c r="N49" s="170">
        <v>31</v>
      </c>
      <c r="O49" s="199">
        <f t="shared" si="41"/>
        <v>20.4173794466953</v>
      </c>
      <c r="P49" s="189" t="str">
        <f t="shared" si="32"/>
        <v>1757.57575757576</v>
      </c>
      <c r="Q49" s="160" t="str">
        <f t="shared" si="33"/>
        <v>1+7.39783629641714i</v>
      </c>
      <c r="R49" s="160">
        <f t="shared" si="42"/>
        <v>7.4651176727890141</v>
      </c>
      <c r="S49" s="160">
        <f t="shared" si="43"/>
        <v>1.4364360698300072</v>
      </c>
      <c r="T49" s="160" t="str">
        <f t="shared" si="34"/>
        <v>1+0.0359201299941641i</v>
      </c>
      <c r="U49" s="160">
        <f t="shared" si="44"/>
        <v>1.0006449199085545</v>
      </c>
      <c r="V49" s="160">
        <f t="shared" si="45"/>
        <v>3.590469322487673E-2</v>
      </c>
      <c r="W49" s="98" t="str">
        <f t="shared" si="35"/>
        <v>1-0.0000231182384263035i</v>
      </c>
      <c r="X49" s="160">
        <f t="shared" si="46"/>
        <v>1.0000000002672265</v>
      </c>
      <c r="Y49" s="160">
        <f t="shared" si="47"/>
        <v>-2.311823842218496E-5</v>
      </c>
      <c r="Z49" s="98" t="str">
        <f t="shared" si="36"/>
        <v>0.999999833252247-0.000543460160599716i</v>
      </c>
      <c r="AA49" s="160">
        <f t="shared" si="48"/>
        <v>0.99999998092673359</v>
      </c>
      <c r="AB49" s="160">
        <f t="shared" si="49"/>
        <v>-5.4346019771701253E-4</v>
      </c>
      <c r="AC49" s="171" t="str">
        <f t="shared" si="50"/>
        <v>40.0400477872867-232.162836080342i</v>
      </c>
      <c r="AD49" s="190">
        <f t="shared" si="51"/>
        <v>47.443147981152542</v>
      </c>
      <c r="AE49" s="169">
        <f t="shared" si="52"/>
        <v>-80.214723556950062</v>
      </c>
      <c r="AF49" s="98" t="str">
        <f t="shared" si="37"/>
        <v>-0.0000114342530449913</v>
      </c>
      <c r="AG49" s="98" t="str">
        <f t="shared" si="38"/>
        <v>0.0000154007557349979i</v>
      </c>
      <c r="AH49" s="98">
        <f t="shared" si="53"/>
        <v>1.5400755734997899E-5</v>
      </c>
      <c r="AI49" s="98">
        <f t="shared" si="54"/>
        <v>1.5707963267948966</v>
      </c>
      <c r="AJ49" s="98" t="str">
        <f t="shared" si="39"/>
        <v>1+0.000141056023062702i</v>
      </c>
      <c r="AK49" s="98">
        <f t="shared" si="55"/>
        <v>1.0000000099484008</v>
      </c>
      <c r="AL49" s="98">
        <f t="shared" si="56"/>
        <v>1.4105602212718078E-4</v>
      </c>
      <c r="AM49" s="98" t="str">
        <f t="shared" si="40"/>
        <v>1+0.338675511373547i</v>
      </c>
      <c r="AN49" s="98">
        <f t="shared" si="57"/>
        <v>1.0557940623076707</v>
      </c>
      <c r="AO49" s="98">
        <f t="shared" si="58"/>
        <v>0.32655078459878917</v>
      </c>
      <c r="AP49" s="168" t="str">
        <f t="shared" si="59"/>
        <v>-0.251344064961106+0.742482982906516i</v>
      </c>
      <c r="AQ49" s="98">
        <f t="shared" si="60"/>
        <v>-2.1151004544658298</v>
      </c>
      <c r="AR49" s="169">
        <f t="shared" si="61"/>
        <v>108.70189983945342</v>
      </c>
      <c r="AS49" s="168" t="str">
        <f t="shared" si="62"/>
        <v>162.313126680875+88.0818050701562i</v>
      </c>
      <c r="AT49" s="190">
        <f t="shared" si="63"/>
        <v>45.328047526686703</v>
      </c>
      <c r="AU49" s="169">
        <f t="shared" si="64"/>
        <v>28.487176282503427</v>
      </c>
      <c r="AV49" s="225"/>
      <c r="AX49">
        <f t="shared" si="65"/>
        <v>0</v>
      </c>
      <c r="AY49">
        <f t="shared" si="66"/>
        <v>0</v>
      </c>
    </row>
    <row r="50" spans="1:51" x14ac:dyDescent="0.2">
      <c r="A50" s="98" t="s">
        <v>544</v>
      </c>
      <c r="B50" s="209">
        <f>2*Fsw*((1-1/(B20/B17))/Dc_VIN_nom)^2</f>
        <v>5164221.9920478454</v>
      </c>
      <c r="C50" s="98" t="s">
        <v>251</v>
      </c>
      <c r="E50" s="98" t="s">
        <v>545</v>
      </c>
      <c r="N50" s="170">
        <v>32</v>
      </c>
      <c r="O50" s="199">
        <f t="shared" si="41"/>
        <v>20.8929613085404</v>
      </c>
      <c r="P50" s="189" t="str">
        <f t="shared" si="32"/>
        <v>1757.57575757576</v>
      </c>
      <c r="Q50" s="160" t="str">
        <f t="shared" si="33"/>
        <v>1+7.57015404016392i</v>
      </c>
      <c r="R50" s="160">
        <f t="shared" si="42"/>
        <v>7.635917246265187</v>
      </c>
      <c r="S50" s="160">
        <f t="shared" si="43"/>
        <v>1.4394590325402035</v>
      </c>
      <c r="T50" s="160" t="str">
        <f t="shared" si="34"/>
        <v>1+0.0367568173048421i</v>
      </c>
      <c r="U50" s="160">
        <f t="shared" si="44"/>
        <v>1.0006753037915852</v>
      </c>
      <c r="V50" s="160">
        <f t="shared" si="45"/>
        <v>3.6740277111356058E-2</v>
      </c>
      <c r="W50" s="98" t="str">
        <f t="shared" si="35"/>
        <v>1-0.0000236567313755122i</v>
      </c>
      <c r="X50" s="160">
        <f t="shared" si="46"/>
        <v>1.0000000002798204</v>
      </c>
      <c r="Y50" s="160">
        <f t="shared" si="47"/>
        <v>-2.3656731371099108E-5</v>
      </c>
      <c r="Z50" s="98" t="str">
        <f t="shared" si="36"/>
        <v>0.999999825393667-0.000556118973925466i</v>
      </c>
      <c r="AA50" s="160">
        <f t="shared" si="48"/>
        <v>0.99999998002783863</v>
      </c>
      <c r="AB50" s="160">
        <f t="shared" si="49"/>
        <v>-5.5611901369736593E-4</v>
      </c>
      <c r="AC50" s="171" t="str">
        <f t="shared" si="50"/>
        <v>38.6517986139939-227.061343492368i</v>
      </c>
      <c r="AD50" s="190">
        <f t="shared" si="51"/>
        <v>47.246920621965486</v>
      </c>
      <c r="AE50" s="169">
        <f t="shared" si="52"/>
        <v>-80.339356688389316</v>
      </c>
      <c r="AF50" s="98" t="str">
        <f t="shared" si="37"/>
        <v>-0.0000114342530449913</v>
      </c>
      <c r="AG50" s="98" t="str">
        <f t="shared" si="38"/>
        <v>0.000015759485419451i</v>
      </c>
      <c r="AH50" s="98">
        <f t="shared" si="53"/>
        <v>1.5759485419451E-5</v>
      </c>
      <c r="AI50" s="98">
        <f t="shared" si="54"/>
        <v>1.5707963267948966</v>
      </c>
      <c r="AJ50" s="98" t="str">
        <f t="shared" si="39"/>
        <v>1+0.000144341639919056i</v>
      </c>
      <c r="AK50" s="98">
        <f t="shared" si="55"/>
        <v>1.0000000104172544</v>
      </c>
      <c r="AL50" s="98">
        <f t="shared" si="56"/>
        <v>1.4434163891662697E-4</v>
      </c>
      <c r="AM50" s="98" t="str">
        <f t="shared" si="40"/>
        <v>1+0.346564277445653i</v>
      </c>
      <c r="AN50" s="98">
        <f t="shared" si="57"/>
        <v>1.0583509807249329</v>
      </c>
      <c r="AO50" s="98">
        <f t="shared" si="58"/>
        <v>0.33361076920269978</v>
      </c>
      <c r="AP50" s="168" t="str">
        <f t="shared" si="59"/>
        <v>-0.25134406472542+0.725583639665138i</v>
      </c>
      <c r="AQ50" s="98">
        <f t="shared" si="60"/>
        <v>-2.2940904317307478</v>
      </c>
      <c r="AR50" s="169">
        <f t="shared" si="61"/>
        <v>109.10621890870972</v>
      </c>
      <c r="AS50" s="168" t="str">
        <f t="shared" si="62"/>
        <v>155.037095865859+85.1156337333322i</v>
      </c>
      <c r="AT50" s="190">
        <f t="shared" si="63"/>
        <v>44.952830190234749</v>
      </c>
      <c r="AU50" s="169">
        <f t="shared" si="64"/>
        <v>28.766862220320412</v>
      </c>
      <c r="AV50" s="225"/>
      <c r="AX50">
        <f t="shared" si="65"/>
        <v>0</v>
      </c>
      <c r="AY50">
        <f t="shared" si="66"/>
        <v>0</v>
      </c>
    </row>
    <row r="51" spans="1:51" x14ac:dyDescent="0.2">
      <c r="N51" s="170">
        <v>33</v>
      </c>
      <c r="O51" s="199">
        <f t="shared" si="41"/>
        <v>21.379620895022335</v>
      </c>
      <c r="P51" s="189" t="str">
        <f t="shared" si="32"/>
        <v>1757.57575757576</v>
      </c>
      <c r="Q51" s="160" t="str">
        <f t="shared" si="33"/>
        <v>1+7.74648557978555i</v>
      </c>
      <c r="R51" s="160">
        <f t="shared" si="42"/>
        <v>7.8107642928093464</v>
      </c>
      <c r="S51" s="160">
        <f t="shared" si="43"/>
        <v>1.4424155189493086</v>
      </c>
      <c r="T51" s="160" t="str">
        <f t="shared" si="34"/>
        <v>1+0.0376129935665887i</v>
      </c>
      <c r="U51" s="160">
        <f t="shared" si="44"/>
        <v>1.0007071186341387</v>
      </c>
      <c r="V51" s="160">
        <f t="shared" si="45"/>
        <v>3.7595271106266509E-2</v>
      </c>
      <c r="W51" s="98" t="str">
        <f t="shared" si="35"/>
        <v>1-0.0000242077674368298i</v>
      </c>
      <c r="X51" s="160">
        <f t="shared" si="46"/>
        <v>1.0000000002930078</v>
      </c>
      <c r="Y51" s="160">
        <f t="shared" si="47"/>
        <v>-2.4207767432101087E-5</v>
      </c>
      <c r="Z51" s="98" t="str">
        <f t="shared" si="36"/>
        <v>0.999999817164724-0.000569072648892292i</v>
      </c>
      <c r="AA51" s="160">
        <f t="shared" si="48"/>
        <v>0.99999997908658023</v>
      </c>
      <c r="AB51" s="160">
        <f t="shared" si="49"/>
        <v>-5.6907269150865058E-4</v>
      </c>
      <c r="AC51" s="171" t="str">
        <f t="shared" si="50"/>
        <v>37.3239343709388-222.064000779259i</v>
      </c>
      <c r="AD51" s="190">
        <f t="shared" si="51"/>
        <v>47.050550397769612</v>
      </c>
      <c r="AE51" s="169">
        <f t="shared" si="52"/>
        <v>-80.459052715374284</v>
      </c>
      <c r="AF51" s="98" t="str">
        <f t="shared" si="37"/>
        <v>-0.0000114342530449913</v>
      </c>
      <c r="AG51" s="98" t="str">
        <f t="shared" si="38"/>
        <v>0.0000161265709916749i</v>
      </c>
      <c r="AH51" s="98">
        <f t="shared" si="53"/>
        <v>1.6126570991674899E-5</v>
      </c>
      <c r="AI51" s="98">
        <f t="shared" si="54"/>
        <v>1.5707963267948966</v>
      </c>
      <c r="AJ51" s="98" t="str">
        <f t="shared" si="39"/>
        <v>1+0.000147703788623482i</v>
      </c>
      <c r="AK51" s="98">
        <f t="shared" si="55"/>
        <v>1.0000000109082046</v>
      </c>
      <c r="AL51" s="98">
        <f t="shared" si="56"/>
        <v>1.4770378754935993E-4</v>
      </c>
      <c r="AM51" s="98" t="str">
        <f t="shared" si="40"/>
        <v>1+0.354636796484979i</v>
      </c>
      <c r="AN51" s="98">
        <f t="shared" si="57"/>
        <v>1.0610217987492663</v>
      </c>
      <c r="AO51" s="98">
        <f t="shared" si="58"/>
        <v>0.34079960883445942</v>
      </c>
      <c r="AP51" s="168" t="str">
        <f t="shared" si="59"/>
        <v>-0.251344064478625+0.709069010473744i</v>
      </c>
      <c r="AQ51" s="98">
        <f t="shared" si="60"/>
        <v>-2.4721986356400176</v>
      </c>
      <c r="AR51" s="169">
        <f t="shared" si="61"/>
        <v>109.51791644227917</v>
      </c>
      <c r="AS51" s="168" t="str">
        <f t="shared" si="62"/>
        <v>148.077551927265+82.2797137416321i</v>
      </c>
      <c r="AT51" s="190">
        <f t="shared" si="63"/>
        <v>44.5783517621296</v>
      </c>
      <c r="AU51" s="169">
        <f t="shared" si="64"/>
        <v>29.05886372690485</v>
      </c>
      <c r="AV51" s="225"/>
      <c r="AX51">
        <f t="shared" si="65"/>
        <v>0</v>
      </c>
      <c r="AY51">
        <f t="shared" si="66"/>
        <v>0</v>
      </c>
    </row>
    <row r="52" spans="1:51" x14ac:dyDescent="0.2">
      <c r="N52" s="170">
        <v>34</v>
      </c>
      <c r="O52" s="199">
        <f t="shared" si="41"/>
        <v>21.877616239495538</v>
      </c>
      <c r="P52" s="189" t="str">
        <f t="shared" si="32"/>
        <v>1757.57575757576</v>
      </c>
      <c r="Q52" s="160" t="str">
        <f t="shared" si="33"/>
        <v>1+7.92692440859848i</v>
      </c>
      <c r="R52" s="160">
        <f t="shared" si="42"/>
        <v>7.989751596866725</v>
      </c>
      <c r="S52" s="160">
        <f t="shared" si="43"/>
        <v>1.4453068897790928</v>
      </c>
      <c r="T52" s="160" t="str">
        <f t="shared" si="34"/>
        <v>1+0.0384891127353914i</v>
      </c>
      <c r="U52" s="160">
        <f t="shared" si="44"/>
        <v>1.0007404317799684</v>
      </c>
      <c r="V52" s="160">
        <f t="shared" si="45"/>
        <v>3.8470123535782136E-2</v>
      </c>
      <c r="W52" s="98" t="str">
        <f t="shared" si="35"/>
        <v>1-0.0000247716387768702i</v>
      </c>
      <c r="X52" s="160">
        <f t="shared" si="46"/>
        <v>1.000000000306817</v>
      </c>
      <c r="Y52" s="160">
        <f t="shared" si="47"/>
        <v>-2.4771638771803292E-5</v>
      </c>
      <c r="Z52" s="98" t="str">
        <f t="shared" si="36"/>
        <v>0.999999808547963-0.000582328053710129i</v>
      </c>
      <c r="AA52" s="160">
        <f t="shared" si="48"/>
        <v>0.99999997810096219</v>
      </c>
      <c r="AB52" s="160">
        <f t="shared" si="49"/>
        <v>-5.8232809937437972E-4</v>
      </c>
      <c r="AC52" s="171" t="str">
        <f t="shared" si="50"/>
        <v>36.0539173261923-217.169207127234i</v>
      </c>
      <c r="AD52" s="190">
        <f t="shared" si="51"/>
        <v>46.854044651246241</v>
      </c>
      <c r="AE52" s="169">
        <f t="shared" si="52"/>
        <v>-80.573863537541669</v>
      </c>
      <c r="AF52" s="98" t="str">
        <f t="shared" si="37"/>
        <v>-0.0000114342530449913</v>
      </c>
      <c r="AG52" s="98" t="str">
        <f t="shared" si="38"/>
        <v>0.000016502207085299i</v>
      </c>
      <c r="AH52" s="98">
        <f t="shared" si="53"/>
        <v>1.6502207085299001E-5</v>
      </c>
      <c r="AI52" s="98">
        <f t="shared" si="54"/>
        <v>1.5707963267948966</v>
      </c>
      <c r="AJ52" s="98" t="str">
        <f t="shared" si="39"/>
        <v>1+0.000151144251831727i</v>
      </c>
      <c r="AK52" s="98">
        <f t="shared" si="55"/>
        <v>1.0000000114222924</v>
      </c>
      <c r="AL52" s="98">
        <f t="shared" si="56"/>
        <v>1.5114425068078445E-4</v>
      </c>
      <c r="AM52" s="98" t="str">
        <f t="shared" si="40"/>
        <v>1+0.362897348647976i</v>
      </c>
      <c r="AN52" s="98">
        <f t="shared" si="57"/>
        <v>1.0638113017146089</v>
      </c>
      <c r="AO52" s="98">
        <f t="shared" si="58"/>
        <v>0.34811814205276503</v>
      </c>
      <c r="AP52" s="168" t="str">
        <f t="shared" si="59"/>
        <v>-0.251344064220201+0.692930339057337i</v>
      </c>
      <c r="AQ52" s="98">
        <f t="shared" si="60"/>
        <v>-2.6493927747258148</v>
      </c>
      <c r="AR52" s="169">
        <f t="shared" si="61"/>
        <v>109.93704038389745</v>
      </c>
      <c r="AS52" s="168" t="str">
        <f t="shared" si="62"/>
        <v>141.421194215663+79.5670443000213i</v>
      </c>
      <c r="AT52" s="190">
        <f t="shared" si="63"/>
        <v>44.20465187652043</v>
      </c>
      <c r="AU52" s="169">
        <f t="shared" si="64"/>
        <v>29.363176846355792</v>
      </c>
      <c r="AV52" s="225"/>
      <c r="AX52">
        <f t="shared" si="65"/>
        <v>0</v>
      </c>
      <c r="AY52">
        <f t="shared" si="66"/>
        <v>0</v>
      </c>
    </row>
    <row r="53" spans="1:51" ht="16" x14ac:dyDescent="0.2">
      <c r="A53" s="212" t="s">
        <v>261</v>
      </c>
      <c r="N53" s="170">
        <v>35</v>
      </c>
      <c r="O53" s="199">
        <f t="shared" si="41"/>
        <v>22.387211385683404</v>
      </c>
      <c r="P53" s="189" t="str">
        <f t="shared" si="32"/>
        <v>1757.57575757576</v>
      </c>
      <c r="Q53" s="160" t="str">
        <f t="shared" si="33"/>
        <v>1+8.1115661976581i</v>
      </c>
      <c r="R53" s="160">
        <f t="shared" si="42"/>
        <v>8.1729741330184993</v>
      </c>
      <c r="S53" s="160">
        <f t="shared" si="43"/>
        <v>1.4481344845941706</v>
      </c>
      <c r="T53" s="160" t="str">
        <f t="shared" si="34"/>
        <v>1+0.03938563934123i</v>
      </c>
      <c r="U53" s="160">
        <f t="shared" si="44"/>
        <v>1.0007753137374631</v>
      </c>
      <c r="V53" s="160">
        <f t="shared" si="45"/>
        <v>3.9365292898520053E-2</v>
      </c>
      <c r="W53" s="98" t="str">
        <f t="shared" si="35"/>
        <v>1-0.0000253486443676815i</v>
      </c>
      <c r="X53" s="160">
        <f t="shared" si="46"/>
        <v>1.0000000003212768</v>
      </c>
      <c r="Y53" s="160">
        <f t="shared" si="47"/>
        <v>-2.534864436225221E-5</v>
      </c>
      <c r="Z53" s="98" t="str">
        <f t="shared" si="36"/>
        <v>0.999999799525107-0.000595892216570067i</v>
      </c>
      <c r="AA53" s="160">
        <f t="shared" si="48"/>
        <v>0.99999997706889365</v>
      </c>
      <c r="AB53" s="160">
        <f t="shared" si="49"/>
        <v>-5.9589226550019279E-4</v>
      </c>
      <c r="AC53" s="171" t="str">
        <f t="shared" si="50"/>
        <v>34.8393086841095-212.375349820137i</v>
      </c>
      <c r="AD53" s="190">
        <f t="shared" si="51"/>
        <v>46.657410467891431</v>
      </c>
      <c r="AE53" s="169">
        <f t="shared" si="52"/>
        <v>-80.683839250697886</v>
      </c>
      <c r="AF53" s="98" t="str">
        <f t="shared" si="37"/>
        <v>-0.0000114342530449913</v>
      </c>
      <c r="AG53" s="98" t="str">
        <f t="shared" si="38"/>
        <v>0.0000168865928675523i</v>
      </c>
      <c r="AH53" s="98">
        <f t="shared" si="53"/>
        <v>1.68865928675523E-5</v>
      </c>
      <c r="AI53" s="98">
        <f t="shared" si="54"/>
        <v>1.5707963267948966</v>
      </c>
      <c r="AJ53" s="98" t="str">
        <f t="shared" si="39"/>
        <v>1+0.000154664853722924i</v>
      </c>
      <c r="AK53" s="98">
        <f t="shared" si="55"/>
        <v>1.0000000119606085</v>
      </c>
      <c r="AL53" s="98">
        <f t="shared" si="56"/>
        <v>1.5466485248966685E-4</v>
      </c>
      <c r="AM53" s="98" t="str">
        <f t="shared" si="40"/>
        <v>1+0.37135031378874i</v>
      </c>
      <c r="AN53" s="98">
        <f t="shared" si="57"/>
        <v>1.0667244515576624</v>
      </c>
      <c r="AO53" s="98">
        <f t="shared" si="58"/>
        <v>0.3555671123800857</v>
      </c>
      <c r="AP53" s="168" t="str">
        <f t="shared" si="59"/>
        <v>-0.251344063949596+0.67715906847871i</v>
      </c>
      <c r="AQ53" s="98">
        <f t="shared" si="60"/>
        <v>-2.825639773833803</v>
      </c>
      <c r="AR53" s="169">
        <f t="shared" si="61"/>
        <v>110.36363322974613</v>
      </c>
      <c r="AS53" s="168" t="str">
        <f t="shared" si="62"/>
        <v>135.055240622186+76.9710373214842i</v>
      </c>
      <c r="AT53" s="190">
        <f t="shared" si="63"/>
        <v>43.831770694057646</v>
      </c>
      <c r="AU53" s="169">
        <f t="shared" si="64"/>
        <v>29.679793979048188</v>
      </c>
      <c r="AV53" s="225"/>
      <c r="AX53">
        <f t="shared" si="65"/>
        <v>0</v>
      </c>
      <c r="AY53">
        <f t="shared" si="66"/>
        <v>0</v>
      </c>
    </row>
    <row r="54" spans="1:51" x14ac:dyDescent="0.2">
      <c r="A54" s="98" t="s">
        <v>226</v>
      </c>
      <c r="N54" s="170">
        <v>36</v>
      </c>
      <c r="O54" s="199">
        <f t="shared" si="41"/>
        <v>22.908676527677727</v>
      </c>
      <c r="P54" s="189" t="str">
        <f t="shared" si="32"/>
        <v>1757.57575757576</v>
      </c>
      <c r="Q54" s="160" t="str">
        <f t="shared" si="33"/>
        <v>1+8.30050884648497i</v>
      </c>
      <c r="R54" s="160">
        <f t="shared" si="42"/>
        <v>8.3605291166633258</v>
      </c>
      <c r="S54" s="160">
        <f t="shared" si="43"/>
        <v>1.4508996216664933</v>
      </c>
      <c r="T54" s="160" t="str">
        <f t="shared" si="34"/>
        <v>1+0.0403030487343778i</v>
      </c>
      <c r="U54" s="160">
        <f t="shared" si="44"/>
        <v>1.0008118383279074</v>
      </c>
      <c r="V54" s="160">
        <f t="shared" si="45"/>
        <v>4.0281248083255915E-2</v>
      </c>
      <c r="W54" s="98" t="str">
        <f t="shared" si="35"/>
        <v>1-0.0000259390901452655i</v>
      </c>
      <c r="X54" s="160">
        <f t="shared" si="46"/>
        <v>1.0000000003364182</v>
      </c>
      <c r="Y54" s="160">
        <f t="shared" si="47"/>
        <v>-2.5939090139447911E-5</v>
      </c>
      <c r="Z54" s="98" t="str">
        <f t="shared" si="36"/>
        <v>0.999999790077016-0.000609772329370794i</v>
      </c>
      <c r="AA54" s="160">
        <f t="shared" si="48"/>
        <v>0.99999997598818446</v>
      </c>
      <c r="AB54" s="160">
        <f t="shared" si="49"/>
        <v>-6.0977238180036841E-4</v>
      </c>
      <c r="AC54" s="171" t="str">
        <f t="shared" si="50"/>
        <v>33.6777654065299-207.680807416077i</v>
      </c>
      <c r="AD54" s="190">
        <f t="shared" si="51"/>
        <v>46.460654688420433</v>
      </c>
      <c r="AE54" s="169">
        <f t="shared" si="52"/>
        <v>-80.789028126376593</v>
      </c>
      <c r="AF54" s="98" t="str">
        <f t="shared" si="37"/>
        <v>-0.0000114342530449913</v>
      </c>
      <c r="AG54" s="98" t="str">
        <f t="shared" si="38"/>
        <v>0.0000172799321448644i</v>
      </c>
      <c r="AH54" s="98">
        <f t="shared" si="53"/>
        <v>1.7279932144864401E-5</v>
      </c>
      <c r="AI54" s="98">
        <f t="shared" si="54"/>
        <v>1.5707963267948966</v>
      </c>
      <c r="AJ54" s="98" t="str">
        <f t="shared" si="39"/>
        <v>1+0.000158267460966796i</v>
      </c>
      <c r="AK54" s="98">
        <f t="shared" si="55"/>
        <v>1.0000000125242945</v>
      </c>
      <c r="AL54" s="98">
        <f t="shared" si="56"/>
        <v>1.5826745964533717E-4</v>
      </c>
      <c r="AM54" s="98" t="str">
        <f t="shared" si="40"/>
        <v>1+0.380000173781276i</v>
      </c>
      <c r="AN54" s="98">
        <f t="shared" si="57"/>
        <v>1.0697663913555147</v>
      </c>
      <c r="AO54" s="98">
        <f t="shared" si="58"/>
        <v>0.36314716179978163</v>
      </c>
      <c r="AP54" s="168" t="str">
        <f t="shared" si="59"/>
        <v>-0.251344063666237+0.661746836601449i</v>
      </c>
      <c r="AQ54" s="98">
        <f t="shared" si="60"/>
        <v>-3.0009057890554356</v>
      </c>
      <c r="AR54" s="169">
        <f t="shared" si="61"/>
        <v>110.79773165580998</v>
      </c>
      <c r="AS54" s="168" t="str">
        <f t="shared" si="62"/>
        <v>128.967410917948+74.4854928030188i</v>
      </c>
      <c r="AT54" s="190">
        <f t="shared" si="63"/>
        <v>43.459748899364989</v>
      </c>
      <c r="AU54" s="169">
        <f t="shared" si="64"/>
        <v>30.008703529433422</v>
      </c>
      <c r="AV54" s="225"/>
      <c r="AX54">
        <f t="shared" si="65"/>
        <v>0</v>
      </c>
      <c r="AY54">
        <f t="shared" si="66"/>
        <v>0</v>
      </c>
    </row>
    <row r="55" spans="1:51" x14ac:dyDescent="0.2">
      <c r="A55" s="98" t="s">
        <v>224</v>
      </c>
      <c r="B55" s="187">
        <f>RFBT</f>
        <v>1000000</v>
      </c>
      <c r="C55" s="206" t="s">
        <v>36</v>
      </c>
      <c r="E55" s="98" t="s">
        <v>227</v>
      </c>
      <c r="N55" s="170">
        <v>37</v>
      </c>
      <c r="O55" s="199">
        <f t="shared" si="41"/>
        <v>23.442288153199236</v>
      </c>
      <c r="P55" s="189" t="str">
        <f t="shared" si="32"/>
        <v>1757.57575757576</v>
      </c>
      <c r="Q55" s="160" t="str">
        <f t="shared" si="33"/>
        <v>1+8.49385253497249i</v>
      </c>
      <c r="R55" s="160">
        <f t="shared" si="42"/>
        <v>8.5525160558667519</v>
      </c>
      <c r="S55" s="160">
        <f t="shared" si="43"/>
        <v>1.4536035978801114</v>
      </c>
      <c r="T55" s="160" t="str">
        <f t="shared" si="34"/>
        <v>1+0.0412418273374386i</v>
      </c>
      <c r="U55" s="160">
        <f t="shared" si="44"/>
        <v>1.0008500828406475</v>
      </c>
      <c r="V55" s="160">
        <f t="shared" si="45"/>
        <v>4.1218468590346974E-2</v>
      </c>
      <c r="W55" s="98" t="str">
        <f t="shared" si="35"/>
        <v>1-0.000026543289171789i</v>
      </c>
      <c r="X55" s="160">
        <f t="shared" si="46"/>
        <v>1.0000000003522731</v>
      </c>
      <c r="Y55" s="160">
        <f t="shared" si="47"/>
        <v>-2.6543289165555341E-5</v>
      </c>
      <c r="Z55" s="98" t="str">
        <f t="shared" si="36"/>
        <v>0.99999978018365-0.000623975751531846i</v>
      </c>
      <c r="AA55" s="160">
        <f t="shared" si="48"/>
        <v>0.99999997485654324</v>
      </c>
      <c r="AB55" s="160">
        <f t="shared" si="49"/>
        <v>-6.2397580771114734E-4</v>
      </c>
      <c r="AC55" s="171" t="str">
        <f t="shared" si="50"/>
        <v>32.5670370737168-203.083952690951i</v>
      </c>
      <c r="AD55" s="190">
        <f t="shared" si="51"/>
        <v>46.26378392086955</v>
      </c>
      <c r="AE55" s="169">
        <f t="shared" si="52"/>
        <v>-80.889476593486108</v>
      </c>
      <c r="AF55" s="98" t="str">
        <f t="shared" si="37"/>
        <v>-0.0000114342530449913</v>
      </c>
      <c r="AG55" s="98" t="str">
        <f t="shared" si="38"/>
        <v>0.0000176824334709267i</v>
      </c>
      <c r="AH55" s="98">
        <f t="shared" si="53"/>
        <v>1.7682433470926699E-5</v>
      </c>
      <c r="AI55" s="98">
        <f t="shared" si="54"/>
        <v>1.5707963267948966</v>
      </c>
      <c r="AJ55" s="98" t="str">
        <f t="shared" si="39"/>
        <v>1+0.00016195398371339i</v>
      </c>
      <c r="AK55" s="98">
        <f t="shared" si="55"/>
        <v>1.0000000131145463</v>
      </c>
      <c r="AL55" s="98">
        <f t="shared" si="56"/>
        <v>1.6195398229742133E-4</v>
      </c>
      <c r="AM55" s="98" t="str">
        <f t="shared" si="40"/>
        <v>1+0.388851514895849i</v>
      </c>
      <c r="AN55" s="98">
        <f t="shared" si="57"/>
        <v>1.072942449825151</v>
      </c>
      <c r="AO55" s="98">
        <f t="shared" si="58"/>
        <v>0.37085882413003274</v>
      </c>
      <c r="AP55" s="168" t="str">
        <f t="shared" si="59"/>
        <v>-0.251344063369525+0.646685471656203i</v>
      </c>
      <c r="AQ55" s="98">
        <f t="shared" si="60"/>
        <v>-3.1751562261356319</v>
      </c>
      <c r="AR55" s="169">
        <f t="shared" si="61"/>
        <v>111.23936613817436</v>
      </c>
      <c r="AS55" s="168" t="str">
        <f t="shared" si="62"/>
        <v>123.14591030174+72.1045756049496i</v>
      </c>
      <c r="AT55" s="190">
        <f t="shared" si="63"/>
        <v>43.088627694733937</v>
      </c>
      <c r="AU55" s="169">
        <f t="shared" si="64"/>
        <v>30.34988954468821</v>
      </c>
      <c r="AV55" s="225"/>
      <c r="AX55">
        <f t="shared" si="65"/>
        <v>0</v>
      </c>
      <c r="AY55">
        <f t="shared" si="66"/>
        <v>0</v>
      </c>
    </row>
    <row r="56" spans="1:51" x14ac:dyDescent="0.2">
      <c r="A56" s="98" t="s">
        <v>225</v>
      </c>
      <c r="B56" s="187">
        <f>RFBB</f>
        <v>5750</v>
      </c>
      <c r="C56" s="206" t="s">
        <v>36</v>
      </c>
      <c r="E56" s="98" t="s">
        <v>228</v>
      </c>
      <c r="N56" s="170">
        <v>38</v>
      </c>
      <c r="O56" s="199">
        <f t="shared" si="41"/>
        <v>23.988329190194907</v>
      </c>
      <c r="P56" s="189" t="str">
        <f t="shared" si="32"/>
        <v>1757.57575757576</v>
      </c>
      <c r="Q56" s="160" t="str">
        <f t="shared" si="33"/>
        <v>1+8.69169977650344i</v>
      </c>
      <c r="R56" s="160">
        <f t="shared" si="42"/>
        <v>8.7490368044070959</v>
      </c>
      <c r="S56" s="160">
        <f t="shared" si="43"/>
        <v>1.4562476886732234</v>
      </c>
      <c r="T56" s="160" t="str">
        <f t="shared" si="34"/>
        <v>1+0.0422024729032536i</v>
      </c>
      <c r="U56" s="160">
        <f t="shared" si="44"/>
        <v>1.0008901281954727</v>
      </c>
      <c r="V56" s="160">
        <f t="shared" si="45"/>
        <v>4.2177444756853574E-2</v>
      </c>
      <c r="W56" s="98" t="str">
        <f t="shared" si="35"/>
        <v>1-0.0000271615618015732i</v>
      </c>
      <c r="X56" s="160">
        <f t="shared" si="46"/>
        <v>1.0000000003688752</v>
      </c>
      <c r="Y56" s="160">
        <f t="shared" si="47"/>
        <v>-2.7161561794893717E-5</v>
      </c>
      <c r="Z56" s="98" t="str">
        <f t="shared" si="36"/>
        <v>0.999999769824025-0.000638510013895653i</v>
      </c>
      <c r="AA56" s="160">
        <f t="shared" si="48"/>
        <v>0.99999997367157001</v>
      </c>
      <c r="AB56" s="160">
        <f t="shared" si="49"/>
        <v>-6.3851007409285827E-4</v>
      </c>
      <c r="AC56" s="171" t="str">
        <f t="shared" si="50"/>
        <v>31.5049627912593-198.583155361547i</v>
      </c>
      <c r="AD56" s="190">
        <f t="shared" si="51"/>
        <v>46.066804552403184</v>
      </c>
      <c r="AE56" s="169">
        <f t="shared" si="52"/>
        <v>-80.98522922187658</v>
      </c>
      <c r="AF56" s="98" t="str">
        <f t="shared" si="37"/>
        <v>-0.0000114342530449913</v>
      </c>
      <c r="AG56" s="98" t="str">
        <f t="shared" si="38"/>
        <v>0.00001809431025727i</v>
      </c>
      <c r="AH56" s="98">
        <f t="shared" si="53"/>
        <v>1.8094310257269999E-5</v>
      </c>
      <c r="AI56" s="98">
        <f t="shared" si="54"/>
        <v>1.5707963267948966</v>
      </c>
      <c r="AJ56" s="98" t="str">
        <f t="shared" si="39"/>
        <v>1+0.000165726376605863i</v>
      </c>
      <c r="AK56" s="98">
        <f t="shared" si="55"/>
        <v>1.0000000137326159</v>
      </c>
      <c r="AL56" s="98">
        <f t="shared" si="56"/>
        <v>1.6572637508862524E-4</v>
      </c>
      <c r="AM56" s="98" t="str">
        <f t="shared" si="40"/>
        <v>1+0.397909030230677i</v>
      </c>
      <c r="AN56" s="98">
        <f t="shared" si="57"/>
        <v>1.076258145771319</v>
      </c>
      <c r="AO56" s="98">
        <f t="shared" si="58"/>
        <v>0.37870251829591339</v>
      </c>
      <c r="AP56" s="168" t="str">
        <f t="shared" si="59"/>
        <v>-0.251344063058827+0.631966987907917i</v>
      </c>
      <c r="AQ56" s="98">
        <f t="shared" si="60"/>
        <v>-3.3483557625580387</v>
      </c>
      <c r="AR56" s="169">
        <f t="shared" si="61"/>
        <v>111.68856056748507</v>
      </c>
      <c r="AS56" s="168" t="str">
        <f t="shared" si="62"/>
        <v>117.579413188615+69.8227935629567i</v>
      </c>
      <c r="AT56" s="190">
        <f t="shared" si="63"/>
        <v>42.718448789845169</v>
      </c>
      <c r="AU56" s="169">
        <f t="shared" si="64"/>
        <v>30.703331345608404</v>
      </c>
      <c r="AV56" s="225"/>
      <c r="AX56">
        <f t="shared" si="65"/>
        <v>0</v>
      </c>
      <c r="AY56">
        <f t="shared" si="66"/>
        <v>0</v>
      </c>
    </row>
    <row r="57" spans="1:51" x14ac:dyDescent="0.2">
      <c r="A57" s="98" t="s">
        <v>214</v>
      </c>
      <c r="B57" s="187">
        <f>RCOMP</f>
        <v>22000</v>
      </c>
      <c r="C57" s="206" t="s">
        <v>36</v>
      </c>
      <c r="E57" s="98" t="s">
        <v>221</v>
      </c>
      <c r="N57" s="170">
        <v>39</v>
      </c>
      <c r="O57" s="199">
        <f t="shared" si="41"/>
        <v>24.547089156850316</v>
      </c>
      <c r="P57" s="189" t="str">
        <f t="shared" si="32"/>
        <v>1757.57575757576</v>
      </c>
      <c r="Q57" s="160" t="str">
        <f t="shared" si="33"/>
        <v>1+8.89415547230415i</v>
      </c>
      <c r="R57" s="160">
        <f t="shared" si="42"/>
        <v>8.9501956160476102</v>
      </c>
      <c r="S57" s="160">
        <f t="shared" si="43"/>
        <v>1.458833148014701</v>
      </c>
      <c r="T57" s="160" t="str">
        <f t="shared" si="34"/>
        <v>1+0.0431854947788177i</v>
      </c>
      <c r="U57" s="160">
        <f t="shared" si="44"/>
        <v>1.000932059112551</v>
      </c>
      <c r="V57" s="160">
        <f t="shared" si="45"/>
        <v>4.3158677985345617E-2</v>
      </c>
      <c r="W57" s="98" t="str">
        <f t="shared" si="35"/>
        <v>1-0.0000277942358509504i</v>
      </c>
      <c r="X57" s="160">
        <f t="shared" si="46"/>
        <v>1.0000000003862597</v>
      </c>
      <c r="Y57" s="160">
        <f t="shared" si="47"/>
        <v>-2.7794235843793203E-5</v>
      </c>
      <c r="Z57" s="98" t="str">
        <f t="shared" si="36"/>
        <v>0.999999758976166-0.000653382822720508i</v>
      </c>
      <c r="AA57" s="160">
        <f t="shared" si="48"/>
        <v>0.99999997243075123</v>
      </c>
      <c r="AB57" s="160">
        <f t="shared" si="49"/>
        <v>-6.533828872229752E-4</v>
      </c>
      <c r="AC57" s="171" t="str">
        <f t="shared" si="50"/>
        <v>30.4894681483018-194.17678460043i</v>
      </c>
      <c r="AD57" s="190">
        <f t="shared" si="51"/>
        <v>45.869722760833234</v>
      </c>
      <c r="AE57" s="169">
        <f t="shared" si="52"/>
        <v>-81.076328707666292</v>
      </c>
      <c r="AF57" s="98" t="str">
        <f t="shared" si="37"/>
        <v>-0.0000114342530449913</v>
      </c>
      <c r="AG57" s="98" t="str">
        <f t="shared" si="38"/>
        <v>0.0000185157808864181i</v>
      </c>
      <c r="AH57" s="98">
        <f t="shared" si="53"/>
        <v>1.8515780886418101E-5</v>
      </c>
      <c r="AI57" s="98">
        <f t="shared" si="54"/>
        <v>1.5707963267948966</v>
      </c>
      <c r="AJ57" s="98" t="str">
        <f t="shared" si="39"/>
        <v>1+0.00016958663981686i</v>
      </c>
      <c r="AK57" s="98">
        <f t="shared" si="55"/>
        <v>1.0000000143798142</v>
      </c>
      <c r="AL57" s="98">
        <f t="shared" si="56"/>
        <v>1.6958663819111044E-4</v>
      </c>
      <c r="AM57" s="98" t="str">
        <f t="shared" si="40"/>
        <v>1+0.407177522200281i</v>
      </c>
      <c r="AN57" s="98">
        <f t="shared" si="57"/>
        <v>1.0797191924686531</v>
      </c>
      <c r="AO57" s="98">
        <f t="shared" si="58"/>
        <v>0.38667854152372499</v>
      </c>
      <c r="AP57" s="168" t="str">
        <f t="shared" si="59"/>
        <v>-0.251344062733488+0.61758358142169i</v>
      </c>
      <c r="AQ57" s="98">
        <f t="shared" si="60"/>
        <v>-3.5204683735058531</v>
      </c>
      <c r="AR57" s="169">
        <f t="shared" si="61"/>
        <v>112.14533185895344</v>
      </c>
      <c r="AS57" s="168" t="str">
        <f t="shared" si="62"/>
        <v>112.257047267504+67.6349768646682i</v>
      </c>
      <c r="AT57" s="190">
        <f t="shared" si="63"/>
        <v>42.34925438732737</v>
      </c>
      <c r="AU57" s="169">
        <f t="shared" si="64"/>
        <v>31.069003151287163</v>
      </c>
      <c r="AV57" s="225"/>
      <c r="AX57">
        <f t="shared" si="65"/>
        <v>0</v>
      </c>
      <c r="AY57">
        <f t="shared" si="66"/>
        <v>0</v>
      </c>
    </row>
    <row r="58" spans="1:51" x14ac:dyDescent="0.2">
      <c r="A58" s="98" t="s">
        <v>219</v>
      </c>
      <c r="B58" s="187">
        <f>CCOMP</f>
        <v>1.2000000000000002E-7</v>
      </c>
      <c r="C58" s="206" t="s">
        <v>193</v>
      </c>
      <c r="E58" s="98" t="s">
        <v>222</v>
      </c>
      <c r="N58" s="170">
        <v>40</v>
      </c>
      <c r="O58" s="199">
        <f t="shared" si="41"/>
        <v>25.118864315095799</v>
      </c>
      <c r="P58" s="189" t="str">
        <f t="shared" si="32"/>
        <v>1757.57575757576</v>
      </c>
      <c r="Q58" s="160" t="str">
        <f t="shared" si="33"/>
        <v>1+9.10132696706439i</v>
      </c>
      <c r="R58" s="160">
        <f t="shared" si="42"/>
        <v>9.1560992000640464</v>
      </c>
      <c r="S58" s="160">
        <f t="shared" si="43"/>
        <v>1.4613612084124108</v>
      </c>
      <c r="T58" s="160" t="str">
        <f t="shared" si="34"/>
        <v>1+0.0441914141753415i</v>
      </c>
      <c r="U58" s="160">
        <f t="shared" si="44"/>
        <v>1.0009759642902603</v>
      </c>
      <c r="V58" s="160">
        <f t="shared" si="45"/>
        <v>4.4162680976366463E-2</v>
      </c>
      <c r="W58" s="98" t="str">
        <f t="shared" si="35"/>
        <v>1-0.0000284416467720761i</v>
      </c>
      <c r="X58" s="160">
        <f t="shared" si="46"/>
        <v>1.0000000004044636</v>
      </c>
      <c r="Y58" s="160">
        <f t="shared" si="47"/>
        <v>-2.8441646764407026E-5</v>
      </c>
      <c r="Z58" s="98" t="str">
        <f t="shared" si="36"/>
        <v>0.999999747617062-0.000668602063766516i</v>
      </c>
      <c r="AA58" s="160">
        <f t="shared" si="48"/>
        <v>0.99999997113145345</v>
      </c>
      <c r="AB58" s="160">
        <f t="shared" si="49"/>
        <v>-6.6860213288215484E-4</v>
      </c>
      <c r="AC58" s="171" t="str">
        <f t="shared" si="50"/>
        <v>29.5185622316962-189.863211354404i</v>
      </c>
      <c r="AD58" s="190">
        <f t="shared" si="51"/>
        <v>45.672544525860914</v>
      </c>
      <c r="AE58" s="169">
        <f t="shared" si="52"/>
        <v>-81.162815860174902</v>
      </c>
      <c r="AF58" s="98" t="str">
        <f t="shared" si="37"/>
        <v>-0.0000114342530449913</v>
      </c>
      <c r="AG58" s="98" t="str">
        <f t="shared" si="38"/>
        <v>0.0000189470688276776i</v>
      </c>
      <c r="AH58" s="98">
        <f t="shared" si="53"/>
        <v>1.89470688276776E-5</v>
      </c>
      <c r="AI58" s="98">
        <f t="shared" si="54"/>
        <v>1.5707963267948966</v>
      </c>
      <c r="AJ58" s="98" t="str">
        <f t="shared" si="39"/>
        <v>1+0.000173536820109034i</v>
      </c>
      <c r="AK58" s="98">
        <f t="shared" si="55"/>
        <v>1.0000000150575139</v>
      </c>
      <c r="AL58" s="98">
        <f t="shared" si="56"/>
        <v>1.7353681836701197E-4</v>
      </c>
      <c r="AM58" s="98" t="str">
        <f t="shared" si="40"/>
        <v>1+0.416661905081791i</v>
      </c>
      <c r="AN58" s="98">
        <f t="shared" si="57"/>
        <v>1.0833315019634513</v>
      </c>
      <c r="AO58" s="98">
        <f t="shared" si="58"/>
        <v>0.39478706248448803</v>
      </c>
      <c r="AP58" s="168" t="str">
        <f t="shared" si="59"/>
        <v>-0.251344062392817+0.603527625925011i</v>
      </c>
      <c r="AQ58" s="98">
        <f t="shared" si="60"/>
        <v>-3.6914573618884541</v>
      </c>
      <c r="AR58" s="169">
        <f t="shared" si="61"/>
        <v>112.6096895594461</v>
      </c>
      <c r="AS58" s="168" t="str">
        <f t="shared" si="62"/>
        <v>107.168377851912+65.5362586251772i</v>
      </c>
      <c r="AT58" s="190">
        <f t="shared" si="63"/>
        <v>41.98108716397244</v>
      </c>
      <c r="AU58" s="169">
        <f t="shared" si="64"/>
        <v>31.446873699271254</v>
      </c>
      <c r="AV58" s="225"/>
      <c r="AX58">
        <f t="shared" si="65"/>
        <v>0</v>
      </c>
      <c r="AY58">
        <f t="shared" si="66"/>
        <v>0</v>
      </c>
    </row>
    <row r="59" spans="1:51" x14ac:dyDescent="0.2">
      <c r="A59" s="98" t="s">
        <v>220</v>
      </c>
      <c r="B59" s="187">
        <f>CHF</f>
        <v>5.0000000000000002E-11</v>
      </c>
      <c r="C59" s="206" t="s">
        <v>193</v>
      </c>
      <c r="E59" s="98" t="s">
        <v>223</v>
      </c>
      <c r="N59" s="170">
        <v>41</v>
      </c>
      <c r="O59" s="199">
        <f t="shared" si="41"/>
        <v>25.703957827688647</v>
      </c>
      <c r="P59" s="189" t="str">
        <f t="shared" si="32"/>
        <v>1757.57575757576</v>
      </c>
      <c r="Q59" s="160" t="str">
        <f t="shared" si="33"/>
        <v>1+9.31332410585282i</v>
      </c>
      <c r="R59" s="160">
        <f t="shared" si="42"/>
        <v>9.366856778058434</v>
      </c>
      <c r="S59" s="160">
        <f t="shared" si="43"/>
        <v>1.463833080950834</v>
      </c>
      <c r="T59" s="160" t="str">
        <f t="shared" si="34"/>
        <v>1+0.0452207644446032i</v>
      </c>
      <c r="U59" s="160">
        <f t="shared" si="44"/>
        <v>1.0010219365912789</v>
      </c>
      <c r="V59" s="160">
        <f t="shared" si="45"/>
        <v>4.5189977964523294E-2</v>
      </c>
      <c r="W59" s="98" t="str">
        <f t="shared" si="35"/>
        <v>1-0.00002910413783079i</v>
      </c>
      <c r="X59" s="160">
        <f t="shared" si="46"/>
        <v>1.0000000004235254</v>
      </c>
      <c r="Y59" s="160">
        <f t="shared" si="47"/>
        <v>-2.9104137822572437E-5</v>
      </c>
      <c r="Z59" s="98" t="str">
        <f t="shared" si="36"/>
        <v>0.999999735722621-0.000684175806476724i</v>
      </c>
      <c r="AA59" s="160">
        <f t="shared" si="48"/>
        <v>0.99999996977092254</v>
      </c>
      <c r="AB59" s="160">
        <f t="shared" si="49"/>
        <v>-6.8417588053546483E-4</v>
      </c>
      <c r="AC59" s="171" t="str">
        <f t="shared" si="50"/>
        <v>28.5903346999478-185.640810477854i</v>
      </c>
      <c r="AD59" s="190">
        <f t="shared" si="51"/>
        <v>45.475275640050306</v>
      </c>
      <c r="AE59" s="169">
        <f t="shared" si="52"/>
        <v>-81.244729590322876</v>
      </c>
      <c r="AF59" s="98" t="str">
        <f t="shared" si="37"/>
        <v>-0.0000114342530449913</v>
      </c>
      <c r="AG59" s="98" t="str">
        <f t="shared" si="38"/>
        <v>0.0000193884027556236i</v>
      </c>
      <c r="AH59" s="98">
        <f t="shared" si="53"/>
        <v>1.9388402755623599E-5</v>
      </c>
      <c r="AI59" s="98">
        <f t="shared" si="54"/>
        <v>1.5707963267948966</v>
      </c>
      <c r="AJ59" s="98" t="str">
        <f t="shared" si="39"/>
        <v>1+0.00017757901192026i</v>
      </c>
      <c r="AK59" s="98">
        <f t="shared" si="55"/>
        <v>1.0000000157671525</v>
      </c>
      <c r="AL59" s="98">
        <f t="shared" si="56"/>
        <v>1.7757901005364975E-4</v>
      </c>
      <c r="AM59" s="98" t="str">
        <f t="shared" si="40"/>
        <v>1+0.426367207620544i</v>
      </c>
      <c r="AN59" s="98">
        <f t="shared" si="57"/>
        <v>1.0871011892800688</v>
      </c>
      <c r="AO59" s="98">
        <f t="shared" si="58"/>
        <v>0.40302811441639824</v>
      </c>
      <c r="AP59" s="168" t="str">
        <f t="shared" si="59"/>
        <v>-0.251344062036089+0.589791668764226i</v>
      </c>
      <c r="AQ59" s="98">
        <f t="shared" si="60"/>
        <v>-3.8612853926129191</v>
      </c>
      <c r="AR59" s="169">
        <f t="shared" si="61"/>
        <v>113.081635453369</v>
      </c>
      <c r="AS59" s="168" t="str">
        <f t="shared" si="62"/>
        <v>102.303392544021+63.5220565983855i</v>
      </c>
      <c r="AT59" s="190">
        <f t="shared" si="63"/>
        <v>41.613990247437407</v>
      </c>
      <c r="AU59" s="169">
        <f t="shared" si="64"/>
        <v>31.836905863046045</v>
      </c>
      <c r="AV59" s="225"/>
      <c r="AX59">
        <f t="shared" si="65"/>
        <v>0</v>
      </c>
      <c r="AY59">
        <f t="shared" si="66"/>
        <v>0</v>
      </c>
    </row>
    <row r="60" spans="1:51" x14ac:dyDescent="0.2">
      <c r="N60" s="170">
        <v>42</v>
      </c>
      <c r="O60" s="199">
        <f t="shared" si="41"/>
        <v>26.302679918953825</v>
      </c>
      <c r="P60" s="189" t="str">
        <f t="shared" si="32"/>
        <v>1757.57575757576</v>
      </c>
      <c r="Q60" s="160" t="str">
        <f t="shared" si="33"/>
        <v>1+9.5302592923586i</v>
      </c>
      <c r="R60" s="160">
        <f t="shared" si="42"/>
        <v>9.5825801420905155</v>
      </c>
      <c r="S60" s="160">
        <f t="shared" si="43"/>
        <v>1.4662499553556168</v>
      </c>
      <c r="T60" s="160" t="str">
        <f t="shared" si="34"/>
        <v>1+0.0462740913617411i</v>
      </c>
      <c r="U60" s="160">
        <f t="shared" si="44"/>
        <v>1.0010700732373108</v>
      </c>
      <c r="V60" s="160">
        <f t="shared" si="45"/>
        <v>4.6241104958167176E-2</v>
      </c>
      <c r="W60" s="98" t="str">
        <f t="shared" si="35"/>
        <v>1-0.0000297820602886205i</v>
      </c>
      <c r="X60" s="160">
        <f t="shared" si="46"/>
        <v>1.0000000004434855</v>
      </c>
      <c r="Y60" s="160">
        <f t="shared" si="47"/>
        <v>-2.9782060279815225E-5</v>
      </c>
      <c r="Z60" s="98" t="str">
        <f t="shared" si="36"/>
        <v>0.999999723267612-0.000700112308255664i</v>
      </c>
      <c r="AA60" s="160">
        <f t="shared" si="48"/>
        <v>0.99999996834627192</v>
      </c>
      <c r="AB60" s="160">
        <f t="shared" si="49"/>
        <v>-7.00112387611034E-4</v>
      </c>
      <c r="AC60" s="171" t="str">
        <f t="shared" si="50"/>
        <v>27.702952920188-181.507962691783i</v>
      </c>
      <c r="AD60" s="190">
        <f t="shared" si="51"/>
        <v>45.277921719543102</v>
      </c>
      <c r="AE60" s="169">
        <f t="shared" si="52"/>
        <v>-81.322106900362058</v>
      </c>
      <c r="AF60" s="98" t="str">
        <f t="shared" si="37"/>
        <v>-0.0000114342530449913</v>
      </c>
      <c r="AG60" s="98" t="str">
        <f t="shared" si="38"/>
        <v>0.0000198400166713465i</v>
      </c>
      <c r="AH60" s="98">
        <f t="shared" si="53"/>
        <v>1.98400166713465E-5</v>
      </c>
      <c r="AI60" s="98">
        <f t="shared" si="54"/>
        <v>1.5707963267948966</v>
      </c>
      <c r="AJ60" s="98" t="str">
        <f t="shared" si="39"/>
        <v>1+0.000181715358474142i</v>
      </c>
      <c r="AK60" s="98">
        <f t="shared" si="55"/>
        <v>1.0000000165102356</v>
      </c>
      <c r="AL60" s="98">
        <f t="shared" si="56"/>
        <v>1.8171535647403309E-4</v>
      </c>
      <c r="AM60" s="98" t="str">
        <f t="shared" si="40"/>
        <v>1+0.436298575696415i</v>
      </c>
      <c r="AN60" s="98">
        <f t="shared" si="57"/>
        <v>1.0910345765165834</v>
      </c>
      <c r="AO60" s="98">
        <f t="shared" si="58"/>
        <v>0.41140158825904033</v>
      </c>
      <c r="AP60" s="168" t="str">
        <f t="shared" si="59"/>
        <v>-0.251344061662551+0.576368426953028i</v>
      </c>
      <c r="AQ60" s="98">
        <f t="shared" si="60"/>
        <v>-4.0299145312681812</v>
      </c>
      <c r="AR60" s="169">
        <f t="shared" si="61"/>
        <v>113.56116316922325</v>
      </c>
      <c r="AS60" s="168" t="str">
        <f t="shared" si="62"/>
        <v>97.6524862291054+61.5880559636101i</v>
      </c>
      <c r="AT60" s="190">
        <f t="shared" si="63"/>
        <v>41.248007188274926</v>
      </c>
      <c r="AU60" s="169">
        <f t="shared" si="64"/>
        <v>32.239056268861205</v>
      </c>
      <c r="AV60" s="225"/>
      <c r="AX60">
        <f t="shared" si="65"/>
        <v>0</v>
      </c>
      <c r="AY60">
        <f t="shared" si="66"/>
        <v>0</v>
      </c>
    </row>
    <row r="61" spans="1:51" x14ac:dyDescent="0.2">
      <c r="A61" s="98" t="s">
        <v>264</v>
      </c>
      <c r="B61" s="211">
        <f>-(RFBB*gm_ea)/(RFBB+RFBT)</f>
        <v>-1.14342530449913E-5</v>
      </c>
      <c r="C61" s="98" t="s">
        <v>180</v>
      </c>
      <c r="N61" s="170">
        <v>43</v>
      </c>
      <c r="O61" s="199">
        <f t="shared" si="41"/>
        <v>26.915348039269158</v>
      </c>
      <c r="P61" s="189" t="str">
        <f t="shared" si="32"/>
        <v>1757.57575757576</v>
      </c>
      <c r="Q61" s="160" t="str">
        <f t="shared" si="33"/>
        <v>1+9.75224754848911i</v>
      </c>
      <c r="R61" s="160">
        <f t="shared" si="42"/>
        <v>9.8033837141576701</v>
      </c>
      <c r="S61" s="160">
        <f t="shared" si="43"/>
        <v>1.4686130000828188</v>
      </c>
      <c r="T61" s="160" t="str">
        <f t="shared" si="34"/>
        <v>1+0.0473519534146291i</v>
      </c>
      <c r="U61" s="160">
        <f t="shared" si="44"/>
        <v>1.0011204760128429</v>
      </c>
      <c r="V61" s="160">
        <f t="shared" si="45"/>
        <v>4.7316609982604944E-2</v>
      </c>
      <c r="W61" s="98" t="str">
        <f t="shared" si="35"/>
        <v>1-0.0000304757735890284i</v>
      </c>
      <c r="X61" s="160">
        <f t="shared" si="46"/>
        <v>1.0000000004643863</v>
      </c>
      <c r="Y61" s="160">
        <f t="shared" si="47"/>
        <v>-3.0475773579593377E-5</v>
      </c>
      <c r="Z61" s="98" t="str">
        <f t="shared" si="36"/>
        <v>0.999999710225616-0.000716420018847526i</v>
      </c>
      <c r="AA61" s="160">
        <f t="shared" si="48"/>
        <v>0.99999996685447901</v>
      </c>
      <c r="AB61" s="160">
        <f t="shared" si="49"/>
        <v>-7.1642010387833687E-4</v>
      </c>
      <c r="AC61" s="171" t="str">
        <f t="shared" si="50"/>
        <v>26.8546591708119-177.463056378937i</v>
      </c>
      <c r="AD61" s="190">
        <f t="shared" si="51"/>
        <v>45.080488214526042</v>
      </c>
      <c r="AE61" s="169">
        <f t="shared" si="52"/>
        <v>-81.394982874814644</v>
      </c>
      <c r="AF61" s="98" t="str">
        <f t="shared" si="37"/>
        <v>-0.0000114342530449913</v>
      </c>
      <c r="AG61" s="98" t="str">
        <f t="shared" si="38"/>
        <v>0.0000203021500265222i</v>
      </c>
      <c r="AH61" s="98">
        <f t="shared" si="53"/>
        <v>2.0302150026522201E-5</v>
      </c>
      <c r="AI61" s="98">
        <f t="shared" si="54"/>
        <v>1.5707963267948966</v>
      </c>
      <c r="AJ61" s="98" t="str">
        <f t="shared" si="39"/>
        <v>1+0.000185948052916375i</v>
      </c>
      <c r="AK61" s="98">
        <f t="shared" si="55"/>
        <v>1.000000017288339</v>
      </c>
      <c r="AL61" s="98">
        <f t="shared" si="56"/>
        <v>1.8594805077321968E-4</v>
      </c>
      <c r="AM61" s="98" t="str">
        <f t="shared" si="40"/>
        <v>1+0.446461275052217i</v>
      </c>
      <c r="AN61" s="98">
        <f t="shared" si="57"/>
        <v>1.0951381968141058</v>
      </c>
      <c r="AO61" s="98">
        <f t="shared" si="58"/>
        <v>0.41990722583496704</v>
      </c>
      <c r="AP61" s="168" t="str">
        <f t="shared" si="59"/>
        <v>-0.251344061271408+0.563250783310933i</v>
      </c>
      <c r="AQ61" s="98">
        <f t="shared" si="60"/>
        <v>-4.1973062873721743</v>
      </c>
      <c r="AR61" s="169">
        <f t="shared" si="61"/>
        <v>114.04825778887238</v>
      </c>
      <c r="AS61" s="168" t="str">
        <f t="shared" si="62"/>
        <v>93.2064464141372+59.7301931294268i</v>
      </c>
      <c r="AT61" s="190">
        <f t="shared" si="63"/>
        <v>40.883181927153871</v>
      </c>
      <c r="AU61" s="169">
        <f t="shared" si="64"/>
        <v>32.653274914057725</v>
      </c>
      <c r="AV61" s="225"/>
      <c r="AX61">
        <f t="shared" si="65"/>
        <v>0</v>
      </c>
      <c r="AY61">
        <f t="shared" si="66"/>
        <v>0</v>
      </c>
    </row>
    <row r="62" spans="1:51" x14ac:dyDescent="0.2">
      <c r="A62" s="98" t="s">
        <v>263</v>
      </c>
      <c r="B62" s="211">
        <f>1/(RCOMP*CCOMP)</f>
        <v>378.78787878787875</v>
      </c>
      <c r="E62" s="98" t="s">
        <v>278</v>
      </c>
      <c r="N62" s="170">
        <v>44</v>
      </c>
      <c r="O62" s="199">
        <f t="shared" si="41"/>
        <v>27.542287033381665</v>
      </c>
      <c r="P62" s="189" t="str">
        <f t="shared" si="32"/>
        <v>1757.57575757576</v>
      </c>
      <c r="Q62" s="160" t="str">
        <f t="shared" si="33"/>
        <v>1+9.97940657535609i</v>
      </c>
      <c r="R62" s="160">
        <f t="shared" si="42"/>
        <v>10.029384607056425</v>
      </c>
      <c r="S62" s="160">
        <f t="shared" si="43"/>
        <v>1.4709233624307745</v>
      </c>
      <c r="T62" s="160" t="str">
        <f t="shared" si="34"/>
        <v>1+0.0484549220999948i</v>
      </c>
      <c r="U62" s="160">
        <f t="shared" si="44"/>
        <v>1.0011732514783425</v>
      </c>
      <c r="V62" s="160">
        <f t="shared" si="45"/>
        <v>4.8417053326788015E-2</v>
      </c>
      <c r="W62" s="98" t="str">
        <f t="shared" si="35"/>
        <v>1-0.0000311856455479877i</v>
      </c>
      <c r="X62" s="160">
        <f t="shared" si="46"/>
        <v>1.0000000004862721</v>
      </c>
      <c r="Y62" s="160">
        <f t="shared" si="47"/>
        <v>-3.1185645537877887E-5</v>
      </c>
      <c r="Z62" s="98" t="str">
        <f t="shared" si="36"/>
        <v>0.99999969656897-0.000733107584816321i</v>
      </c>
      <c r="AA62" s="160">
        <f t="shared" si="48"/>
        <v>0.99999996529238089</v>
      </c>
      <c r="AB62" s="160">
        <f t="shared" si="49"/>
        <v>-7.3310767592847594E-4</v>
      </c>
      <c r="AC62" s="171" t="str">
        <f t="shared" si="50"/>
        <v>26.0437679118961-173.504489224911i</v>
      </c>
      <c r="AD62" s="190">
        <f t="shared" si="51"/>
        <v>44.882980419461596</v>
      </c>
      <c r="AE62" s="169">
        <f t="shared" si="52"/>
        <v>-81.463390672501916</v>
      </c>
      <c r="AF62" s="98" t="str">
        <f t="shared" si="37"/>
        <v>-0.0000114342530449913</v>
      </c>
      <c r="AG62" s="98" t="str">
        <f t="shared" si="38"/>
        <v>0.0000207750478503727i</v>
      </c>
      <c r="AH62" s="98">
        <f t="shared" si="53"/>
        <v>2.0775047850372699E-5</v>
      </c>
      <c r="AI62" s="98">
        <f t="shared" si="54"/>
        <v>1.5707963267948966</v>
      </c>
      <c r="AJ62" s="98" t="str">
        <f t="shared" si="39"/>
        <v>1+0.000190279339477578i</v>
      </c>
      <c r="AK62" s="98">
        <f t="shared" si="55"/>
        <v>1.0000000181031135</v>
      </c>
      <c r="AL62" s="98">
        <f t="shared" si="56"/>
        <v>1.9027933718114573E-4</v>
      </c>
      <c r="AM62" s="98" t="str">
        <f t="shared" si="40"/>
        <v>1+0.456860694085665i</v>
      </c>
      <c r="AN62" s="98">
        <f t="shared" si="57"/>
        <v>1.0994187981840384</v>
      </c>
      <c r="AO62" s="98">
        <f t="shared" si="58"/>
        <v>0.4285446131172605</v>
      </c>
      <c r="AP62" s="168" t="str">
        <f t="shared" si="59"/>
        <v>-0.25134406086183+0.550431782689648i</v>
      </c>
      <c r="AQ62" s="98">
        <f t="shared" si="60"/>
        <v>-4.3634216623142512</v>
      </c>
      <c r="AR62" s="169">
        <f t="shared" si="61"/>
        <v>114.54289546173661</v>
      </c>
      <c r="AS62" s="168" t="str">
        <f t="shared" si="62"/>
        <v>88.9564389216056+57.9446404992472i</v>
      </c>
      <c r="AT62" s="190">
        <f t="shared" si="63"/>
        <v>40.519558757147351</v>
      </c>
      <c r="AU62" s="169">
        <f t="shared" si="64"/>
        <v>33.079504789234711</v>
      </c>
      <c r="AV62" s="225"/>
      <c r="AX62">
        <f t="shared" si="65"/>
        <v>0</v>
      </c>
      <c r="AY62">
        <f t="shared" si="66"/>
        <v>0</v>
      </c>
    </row>
    <row r="63" spans="1:51" x14ac:dyDescent="0.2">
      <c r="A63" s="98" t="s">
        <v>268</v>
      </c>
      <c r="B63" s="211">
        <f>(CCOMP+CHF)</f>
        <v>1.2005000000000002E-7</v>
      </c>
      <c r="E63" s="98" t="s">
        <v>279</v>
      </c>
      <c r="N63" s="170">
        <v>45</v>
      </c>
      <c r="O63" s="199">
        <f t="shared" si="41"/>
        <v>28.183829312644548</v>
      </c>
      <c r="P63" s="189" t="str">
        <f t="shared" si="32"/>
        <v>1757.57575757576</v>
      </c>
      <c r="Q63" s="160" t="str">
        <f t="shared" si="33"/>
        <v>1+10.2118568156824i</v>
      </c>
      <c r="R63" s="160">
        <f t="shared" si="42"/>
        <v>10.260702686658409</v>
      </c>
      <c r="S63" s="160">
        <f t="shared" si="43"/>
        <v>1.4731821686725985</v>
      </c>
      <c r="T63" s="160" t="str">
        <f t="shared" si="34"/>
        <v>1+0.0495835822264345i</v>
      </c>
      <c r="U63" s="160">
        <f t="shared" si="44"/>
        <v>1.0012285111933268</v>
      </c>
      <c r="V63" s="160">
        <f t="shared" si="45"/>
        <v>4.954300779340335E-2</v>
      </c>
      <c r="W63" s="98" t="str">
        <f t="shared" si="35"/>
        <v>1-0.0000319120525490073i</v>
      </c>
      <c r="X63" s="160">
        <f t="shared" si="46"/>
        <v>1.0000000005091896</v>
      </c>
      <c r="Y63" s="160">
        <f t="shared" si="47"/>
        <v>-3.1912052538174449E-5</v>
      </c>
      <c r="Z63" s="98" t="str">
        <f t="shared" si="36"/>
        <v>0.999999682268706-0.000750183854130409i</v>
      </c>
      <c r="AA63" s="160">
        <f t="shared" si="48"/>
        <v>0.99999996365666322</v>
      </c>
      <c r="AB63" s="160">
        <f t="shared" si="49"/>
        <v>-7.5018395175884152E-4</v>
      </c>
      <c r="AC63" s="171" t="str">
        <f t="shared" si="50"/>
        <v>25.2686631250205-169.630669714679i</v>
      </c>
      <c r="AD63" s="190">
        <f t="shared" si="51"/>
        <v>44.685403483092855</v>
      </c>
      <c r="AE63" s="169">
        <f t="shared" si="52"/>
        <v>-81.527361519555726</v>
      </c>
      <c r="AF63" s="98" t="str">
        <f t="shared" si="37"/>
        <v>-0.0000114342530449913</v>
      </c>
      <c r="AG63" s="98" t="str">
        <f t="shared" si="38"/>
        <v>0.0000212589608795837i</v>
      </c>
      <c r="AH63" s="98">
        <f t="shared" si="53"/>
        <v>2.12589608795837E-5</v>
      </c>
      <c r="AI63" s="98">
        <f t="shared" si="54"/>
        <v>1.5707963267948966</v>
      </c>
      <c r="AJ63" s="98" t="str">
        <f t="shared" si="39"/>
        <v>1+0.000194711514663216i</v>
      </c>
      <c r="AK63" s="98">
        <f t="shared" si="55"/>
        <v>1.0000000189562868</v>
      </c>
      <c r="AL63" s="98">
        <f t="shared" si="56"/>
        <v>1.9471151220254448E-4</v>
      </c>
      <c r="AM63" s="98" t="str">
        <f t="shared" si="40"/>
        <v>1+0.467502346706382i</v>
      </c>
      <c r="AN63" s="98">
        <f t="shared" si="57"/>
        <v>1.1038833471775784</v>
      </c>
      <c r="AO63" s="98">
        <f t="shared" si="58"/>
        <v>0.43731317362447042</v>
      </c>
      <c r="AP63" s="168" t="str">
        <f t="shared" si="59"/>
        <v>-0.251344060432951+0.537904628285364i</v>
      </c>
      <c r="AQ63" s="98">
        <f t="shared" si="60"/>
        <v>-4.5282212021022552</v>
      </c>
      <c r="AR63" s="169">
        <f t="shared" si="61"/>
        <v>115.04504302628213</v>
      </c>
      <c r="AS63" s="168" t="str">
        <f t="shared" si="62"/>
        <v>84.8939939471167+56.2277921455805i</v>
      </c>
      <c r="AT63" s="190">
        <f t="shared" si="63"/>
        <v>40.157182280990604</v>
      </c>
      <c r="AU63" s="169">
        <f t="shared" si="64"/>
        <v>33.51768150672644</v>
      </c>
      <c r="AV63" s="225"/>
      <c r="AX63">
        <f t="shared" si="65"/>
        <v>0</v>
      </c>
      <c r="AY63">
        <f t="shared" si="66"/>
        <v>0</v>
      </c>
    </row>
    <row r="64" spans="1:51" x14ac:dyDescent="0.2">
      <c r="A64" s="98" t="s">
        <v>269</v>
      </c>
      <c r="B64" s="211">
        <f>(CCOMP+CHF)/(RCOMP*CHF*CCOMP)</f>
        <v>909469.69696969702</v>
      </c>
      <c r="E64" s="98" t="s">
        <v>280</v>
      </c>
      <c r="N64" s="170">
        <v>46</v>
      </c>
      <c r="O64" s="199">
        <f t="shared" si="41"/>
        <v>28.840315031266066</v>
      </c>
      <c r="P64" s="189" t="str">
        <f t="shared" si="32"/>
        <v>1757.57575757576</v>
      </c>
      <c r="Q64" s="160" t="str">
        <f t="shared" si="33"/>
        <v>1+10.4497215176622i</v>
      </c>
      <c r="R64" s="160">
        <f t="shared" si="42"/>
        <v>10.497460635634333</v>
      </c>
      <c r="S64" s="160">
        <f t="shared" si="43"/>
        <v>1.4753905242074921</v>
      </c>
      <c r="T64" s="160" t="str">
        <f t="shared" si="34"/>
        <v>1+0.050738532224487i</v>
      </c>
      <c r="U64" s="160">
        <f t="shared" si="44"/>
        <v>1.0012863719497511</v>
      </c>
      <c r="V64" s="160">
        <f t="shared" si="45"/>
        <v>5.0695058952283434E-2</v>
      </c>
      <c r="W64" s="98" t="str">
        <f t="shared" si="35"/>
        <v>1-0.0000326553797426944i</v>
      </c>
      <c r="X64" s="160">
        <f t="shared" si="46"/>
        <v>1.0000000005331868</v>
      </c>
      <c r="Y64" s="160">
        <f t="shared" si="47"/>
        <v>-3.265537973108679E-5</v>
      </c>
      <c r="Z64" s="98" t="str">
        <f t="shared" si="36"/>
        <v>0.999999667294492-0.000767657880853815i</v>
      </c>
      <c r="AA64" s="160">
        <f t="shared" si="48"/>
        <v>0.99999996194385765</v>
      </c>
      <c r="AB64" s="160">
        <f t="shared" si="49"/>
        <v>-7.6765798546456416E-4</v>
      </c>
      <c r="AC64" s="171" t="str">
        <f t="shared" si="50"/>
        <v>24.5277957236994-165.840018493569i</v>
      </c>
      <c r="AD64" s="190">
        <f t="shared" si="51"/>
        <v>44.487762418235384</v>
      </c>
      <c r="AE64" s="169">
        <f t="shared" si="52"/>
        <v>-81.586924703311013</v>
      </c>
      <c r="AF64" s="98" t="str">
        <f t="shared" si="37"/>
        <v>-0.0000114342530449913</v>
      </c>
      <c r="AG64" s="98" t="str">
        <f t="shared" si="38"/>
        <v>0.0000217541456912487i</v>
      </c>
      <c r="AH64" s="98">
        <f t="shared" si="53"/>
        <v>2.17541456912487E-5</v>
      </c>
      <c r="AI64" s="98">
        <f t="shared" si="54"/>
        <v>1.5707963267948966</v>
      </c>
      <c r="AJ64" s="98" t="str">
        <f t="shared" si="39"/>
        <v>1+0.00019924692847124i</v>
      </c>
      <c r="AK64" s="98">
        <f t="shared" si="55"/>
        <v>1.000000019849669</v>
      </c>
      <c r="AL64" s="98">
        <f t="shared" si="56"/>
        <v>1.9924692583458297E-4</v>
      </c>
      <c r="AM64" s="98" t="str">
        <f t="shared" si="40"/>
        <v>1+0.478391875259448i</v>
      </c>
      <c r="AN64" s="98">
        <f t="shared" si="57"/>
        <v>1.1085390323819235</v>
      </c>
      <c r="AO64" s="98">
        <f t="shared" si="58"/>
        <v>0.44621216198702779</v>
      </c>
      <c r="AP64" s="168" t="str">
        <f t="shared" si="59"/>
        <v>-0.251344059983858+0.525662678034998i</v>
      </c>
      <c r="AQ64" s="98">
        <f t="shared" si="60"/>
        <v>-4.6916650549983929</v>
      </c>
      <c r="AR64" s="169">
        <f t="shared" si="61"/>
        <v>115.55465764133321</v>
      </c>
      <c r="AS64" s="168" t="str">
        <f t="shared" si="62"/>
        <v>81.0109924870538+54.5762503423869i</v>
      </c>
      <c r="AT64" s="190">
        <f t="shared" si="63"/>
        <v>39.796097363236989</v>
      </c>
      <c r="AU64" s="169">
        <f t="shared" si="64"/>
        <v>33.967732938022181</v>
      </c>
      <c r="AV64" s="225"/>
      <c r="AX64">
        <f t="shared" si="65"/>
        <v>0</v>
      </c>
      <c r="AY64">
        <f t="shared" si="66"/>
        <v>0</v>
      </c>
    </row>
    <row r="65" spans="1:51" x14ac:dyDescent="0.2">
      <c r="N65" s="170">
        <v>47</v>
      </c>
      <c r="O65" s="199">
        <f t="shared" si="41"/>
        <v>29.512092266663863</v>
      </c>
      <c r="P65" s="189" t="str">
        <f t="shared" si="32"/>
        <v>1757.57575757576</v>
      </c>
      <c r="Q65" s="160" t="str">
        <f t="shared" si="33"/>
        <v>1+10.6931268003091i</v>
      </c>
      <c r="R65" s="160">
        <f t="shared" si="42"/>
        <v>10.739784018661117</v>
      </c>
      <c r="S65" s="160">
        <f t="shared" si="43"/>
        <v>1.4775495137291268</v>
      </c>
      <c r="T65" s="160" t="str">
        <f t="shared" si="34"/>
        <v>1+0.0519203844639287i</v>
      </c>
      <c r="U65" s="160">
        <f t="shared" si="44"/>
        <v>1.0013469560161863</v>
      </c>
      <c r="V65" s="160">
        <f t="shared" si="45"/>
        <v>5.1873805397035573E-2</v>
      </c>
      <c r="W65" s="98" t="str">
        <f t="shared" si="35"/>
        <v>1-0.000033416021250966i</v>
      </c>
      <c r="X65" s="160">
        <f t="shared" si="46"/>
        <v>1.0000000005583152</v>
      </c>
      <c r="Y65" s="160">
        <f t="shared" si="47"/>
        <v>-3.3416021238528216E-5</v>
      </c>
      <c r="Z65" s="98" t="str">
        <f t="shared" si="36"/>
        <v>0.999999651614564-0.000785538929946803i</v>
      </c>
      <c r="AA65" s="160">
        <f t="shared" si="48"/>
        <v>0.9999999601503291</v>
      </c>
      <c r="AB65" s="160">
        <f t="shared" si="49"/>
        <v>-7.8553904203924007E-4</v>
      </c>
      <c r="AC65" s="171" t="str">
        <f t="shared" si="50"/>
        <v>23.8196810352241-162.130969601203i</v>
      </c>
      <c r="AD65" s="190">
        <f t="shared" si="51"/>
        <v>44.290062111365842</v>
      </c>
      <c r="AE65" s="169">
        <f t="shared" si="52"/>
        <v>-81.642107566986482</v>
      </c>
      <c r="AF65" s="98" t="str">
        <f t="shared" si="37"/>
        <v>-0.0000114342530449913</v>
      </c>
      <c r="AG65" s="98" t="str">
        <f t="shared" si="38"/>
        <v>0.0000222608648389094i</v>
      </c>
      <c r="AH65" s="98">
        <f t="shared" si="53"/>
        <v>2.22608648389094E-5</v>
      </c>
      <c r="AI65" s="98">
        <f t="shared" si="54"/>
        <v>1.5707963267948966</v>
      </c>
      <c r="AJ65" s="98" t="str">
        <f t="shared" si="39"/>
        <v>1+0.000203887985638085i</v>
      </c>
      <c r="AK65" s="98">
        <f t="shared" si="55"/>
        <v>1.0000000207851552</v>
      </c>
      <c r="AL65" s="98">
        <f t="shared" si="56"/>
        <v>2.0388798281285609E-4</v>
      </c>
      <c r="AM65" s="98" t="str">
        <f t="shared" si="40"/>
        <v>1+0.489535053517042i</v>
      </c>
      <c r="AN65" s="98">
        <f t="shared" si="57"/>
        <v>1.1133932677279548</v>
      </c>
      <c r="AO65" s="98">
        <f t="shared" si="58"/>
        <v>0.45524065773178696</v>
      </c>
      <c r="AP65" s="168" t="str">
        <f t="shared" si="59"/>
        <v>-0.251344059513601+0.513699441094484i</v>
      </c>
      <c r="AQ65" s="98">
        <f t="shared" si="60"/>
        <v>-4.8537130340985248</v>
      </c>
      <c r="AR65" s="169">
        <f t="shared" si="61"/>
        <v>116.07168642988256</v>
      </c>
      <c r="AS65" s="168" t="str">
        <f t="shared" si="62"/>
        <v>77.2996531405324+52.9868129072861i</v>
      </c>
      <c r="AT65" s="190">
        <f t="shared" si="63"/>
        <v>39.436349077267323</v>
      </c>
      <c r="AU65" s="169">
        <f t="shared" si="64"/>
        <v>34.429578862896058</v>
      </c>
      <c r="AV65" s="225"/>
      <c r="AX65">
        <f t="shared" si="65"/>
        <v>0</v>
      </c>
      <c r="AY65">
        <f t="shared" si="66"/>
        <v>0</v>
      </c>
    </row>
    <row r="66" spans="1:51" x14ac:dyDescent="0.2">
      <c r="N66" s="170">
        <v>48</v>
      </c>
      <c r="O66" s="199">
        <f t="shared" si="41"/>
        <v>30.199517204020164</v>
      </c>
      <c r="P66" s="189" t="str">
        <f t="shared" si="32"/>
        <v>1757.57575757576</v>
      </c>
      <c r="Q66" s="160" t="str">
        <f t="shared" si="33"/>
        <v>1+10.9422017203259i</v>
      </c>
      <c r="R66" s="160">
        <f t="shared" si="42"/>
        <v>10.987801349146382</v>
      </c>
      <c r="S66" s="160">
        <f t="shared" si="43"/>
        <v>1.479660201409478</v>
      </c>
      <c r="T66" s="160" t="str">
        <f t="shared" si="34"/>
        <v>1+0.0531297655784608i</v>
      </c>
      <c r="U66" s="160">
        <f t="shared" si="44"/>
        <v>1.0014103913932699</v>
      </c>
      <c r="V66" s="160">
        <f t="shared" si="45"/>
        <v>5.3079859004781585E-2</v>
      </c>
      <c r="W66" s="98" t="str">
        <f t="shared" si="35"/>
        <v>1-0.0000341943803760183i</v>
      </c>
      <c r="X66" s="160">
        <f t="shared" si="46"/>
        <v>1.0000000005846277</v>
      </c>
      <c r="Y66" s="160">
        <f t="shared" si="47"/>
        <v>-3.4194380362690974E-5</v>
      </c>
      <c r="Z66" s="98" t="str">
        <f t="shared" si="36"/>
        <v>0.999999635195664-0.000803836482178286i</v>
      </c>
      <c r="AA66" s="160">
        <f t="shared" si="48"/>
        <v>0.99999995827227461</v>
      </c>
      <c r="AB66" s="160">
        <f t="shared" si="49"/>
        <v>-8.0383660228749564E-4</v>
      </c>
      <c r="AC66" s="171" t="str">
        <f t="shared" si="50"/>
        <v>23.1428963543938-158.501971586583i</v>
      </c>
      <c r="AD66" s="190">
        <f t="shared" si="51"/>
        <v>44.092307332021946</v>
      </c>
      <c r="AE66" s="169">
        <f t="shared" si="52"/>
        <v>-81.692935505065591</v>
      </c>
      <c r="AF66" s="98" t="str">
        <f t="shared" si="37"/>
        <v>-0.0000114342530449913</v>
      </c>
      <c r="AG66" s="98" t="str">
        <f t="shared" si="38"/>
        <v>0.000022779386991765i</v>
      </c>
      <c r="AH66" s="98">
        <f t="shared" si="53"/>
        <v>2.2779386991764999E-5</v>
      </c>
      <c r="AI66" s="98">
        <f t="shared" si="54"/>
        <v>1.5707963267948966</v>
      </c>
      <c r="AJ66" s="98" t="str">
        <f t="shared" si="39"/>
        <v>1+0.000208637146913691i</v>
      </c>
      <c r="AK66" s="98">
        <f t="shared" si="55"/>
        <v>1.0000000217647294</v>
      </c>
      <c r="AL66" s="98">
        <f t="shared" si="56"/>
        <v>2.086371438864037E-4</v>
      </c>
      <c r="AM66" s="98" t="str">
        <f t="shared" si="40"/>
        <v>1+0.500937789739773i</v>
      </c>
      <c r="AN66" s="98">
        <f t="shared" si="57"/>
        <v>1.1184536955946673</v>
      </c>
      <c r="AO66" s="98">
        <f t="shared" si="58"/>
        <v>0.46439755933368365</v>
      </c>
      <c r="AP66" s="168" t="str">
        <f t="shared" si="59"/>
        <v>-0.25134405902118+0.502008574397248i</v>
      </c>
      <c r="AQ66" s="98">
        <f t="shared" si="60"/>
        <v>-5.0143246848773302</v>
      </c>
      <c r="AR66" s="169">
        <f t="shared" si="61"/>
        <v>116.59606613820196</v>
      </c>
      <c r="AS66" s="168" t="str">
        <f t="shared" si="62"/>
        <v>73.7525192881138+51.456461307724i</v>
      </c>
      <c r="AT66" s="190">
        <f t="shared" si="63"/>
        <v>39.077982647144609</v>
      </c>
      <c r="AU66" s="169">
        <f t="shared" si="64"/>
        <v>34.903130633136378</v>
      </c>
      <c r="AV66" s="225"/>
      <c r="AX66">
        <f t="shared" si="65"/>
        <v>0</v>
      </c>
      <c r="AY66">
        <f t="shared" si="66"/>
        <v>0</v>
      </c>
    </row>
    <row r="67" spans="1:51" x14ac:dyDescent="0.2">
      <c r="N67" s="170">
        <v>49</v>
      </c>
      <c r="O67" s="199">
        <f t="shared" si="41"/>
        <v>30.902954325135919</v>
      </c>
      <c r="P67" s="189" t="str">
        <f t="shared" si="32"/>
        <v>1757.57575757576</v>
      </c>
      <c r="Q67" s="160" t="str">
        <f t="shared" si="33"/>
        <v>1+11.1970783405319i</v>
      </c>
      <c r="R67" s="160">
        <f t="shared" si="42"/>
        <v>11.241644157506883</v>
      </c>
      <c r="S67" s="160">
        <f t="shared" si="43"/>
        <v>1.4817236310965993</v>
      </c>
      <c r="T67" s="160" t="str">
        <f t="shared" si="34"/>
        <v>1+0.0543673167979581i</v>
      </c>
      <c r="U67" s="160">
        <f t="shared" si="44"/>
        <v>1.0014768120809436</v>
      </c>
      <c r="V67" s="160">
        <f t="shared" si="45"/>
        <v>5.4313845198877685E-2</v>
      </c>
      <c r="W67" s="98" t="str">
        <f t="shared" si="35"/>
        <v>1-0.000034990869814162i</v>
      </c>
      <c r="X67" s="160">
        <f t="shared" si="46"/>
        <v>1.0000000006121805</v>
      </c>
      <c r="Y67" s="160">
        <f t="shared" si="47"/>
        <v>-3.4990869799881516E-5</v>
      </c>
      <c r="Z67" s="98" t="str">
        <f t="shared" si="36"/>
        <v>0.999999618002966-0.000822560239152652i</v>
      </c>
      <c r="AA67" s="160">
        <f t="shared" si="48"/>
        <v>0.99999995630571159</v>
      </c>
      <c r="AB67" s="160">
        <f t="shared" si="49"/>
        <v>-8.2256036785198765E-4</v>
      </c>
      <c r="AC67" s="171" t="str">
        <f t="shared" si="50"/>
        <v>22.4960785692824-154.951488512021i</v>
      </c>
      <c r="AD67" s="190">
        <f t="shared" si="51"/>
        <v>43.894502742025054</v>
      </c>
      <c r="AE67" s="169">
        <f t="shared" si="52"/>
        <v>-81.739431959300262</v>
      </c>
      <c r="AF67" s="98" t="str">
        <f t="shared" si="37"/>
        <v>-0.0000114342530449913</v>
      </c>
      <c r="AG67" s="98" t="str">
        <f t="shared" si="38"/>
        <v>0.0000233099870771245i</v>
      </c>
      <c r="AH67" s="98">
        <f t="shared" si="53"/>
        <v>2.3309987077124501E-5</v>
      </c>
      <c r="AI67" s="98">
        <f t="shared" si="54"/>
        <v>1.5707963267948966</v>
      </c>
      <c r="AJ67" s="98" t="str">
        <f t="shared" si="39"/>
        <v>1+0.00021349693036623i</v>
      </c>
      <c r="AK67" s="98">
        <f t="shared" si="55"/>
        <v>1.0000000227904693</v>
      </c>
      <c r="AL67" s="98">
        <f t="shared" si="56"/>
        <v>2.1349692712243322E-4</v>
      </c>
      <c r="AM67" s="98" t="str">
        <f t="shared" si="40"/>
        <v>1+0.512606129809319i</v>
      </c>
      <c r="AN67" s="98">
        <f t="shared" si="57"/>
        <v>1.1237281896962843</v>
      </c>
      <c r="AO67" s="98">
        <f t="shared" si="58"/>
        <v>0.47368157858554705</v>
      </c>
      <c r="AP67" s="168" t="str">
        <f t="shared" si="59"/>
        <v>-0.251344058505552+0.490583879291016i</v>
      </c>
      <c r="AQ67" s="98">
        <f t="shared" si="60"/>
        <v>-5.1734593576859966</v>
      </c>
      <c r="AR67" s="169">
        <f t="shared" si="61"/>
        <v>117.12772281318311</v>
      </c>
      <c r="AS67" s="168" t="str">
        <f t="shared" si="62"/>
        <v>70.3624466480813+49.9823494874418i</v>
      </c>
      <c r="AT67" s="190">
        <f t="shared" si="63"/>
        <v>38.721043384339055</v>
      </c>
      <c r="AU67" s="169">
        <f t="shared" si="64"/>
        <v>35.388290853882872</v>
      </c>
      <c r="AV67" s="225"/>
      <c r="AX67">
        <f t="shared" si="65"/>
        <v>0</v>
      </c>
      <c r="AY67">
        <f t="shared" si="66"/>
        <v>0</v>
      </c>
    </row>
    <row r="68" spans="1:51" x14ac:dyDescent="0.2">
      <c r="A68" s="214" t="str">
        <f>"Crossover Frequency = "&amp;B68</f>
        <v>Crossover Frequency = 66.1 kHz</v>
      </c>
      <c r="B68" t="str">
        <f>ROUND(D68,1)&amp;" kHz"</f>
        <v>66.1 kHz</v>
      </c>
      <c r="C68" s="215"/>
      <c r="D68" s="216">
        <f>AY12</f>
        <v>66.069344800759737</v>
      </c>
      <c r="N68" s="170">
        <v>50</v>
      </c>
      <c r="O68" s="199">
        <f t="shared" si="41"/>
        <v>31.622776601683803</v>
      </c>
      <c r="P68" s="189" t="str">
        <f t="shared" si="32"/>
        <v>1757.57575757576</v>
      </c>
      <c r="Q68" s="160" t="str">
        <f t="shared" si="33"/>
        <v>1+11.4578917998849i</v>
      </c>
      <c r="R68" s="160">
        <f t="shared" si="42"/>
        <v>11.501447061038434</v>
      </c>
      <c r="S68" s="160">
        <f t="shared" si="43"/>
        <v>1.4837408265249328</v>
      </c>
      <c r="T68" s="160" t="str">
        <f t="shared" si="34"/>
        <v>1+0.0556336942884582i</v>
      </c>
      <c r="U68" s="160">
        <f t="shared" si="44"/>
        <v>1.0015463583580051</v>
      </c>
      <c r="V68" s="160">
        <f t="shared" si="45"/>
        <v>5.5576403214473678E-2</v>
      </c>
      <c r="W68" s="98" t="str">
        <f t="shared" si="35"/>
        <v>1-0.0000358059118746401i</v>
      </c>
      <c r="X68" s="160">
        <f t="shared" si="46"/>
        <v>1.0000000006410317</v>
      </c>
      <c r="Y68" s="160">
        <f t="shared" si="47"/>
        <v>-3.5805911859338288E-5</v>
      </c>
      <c r="Z68" s="98" t="str">
        <f t="shared" si="36"/>
        <v>0.9999996-0.000841720128453689i</v>
      </c>
      <c r="AA68" s="160">
        <f t="shared" si="48"/>
        <v>0.99999995424646615</v>
      </c>
      <c r="AB68" s="160">
        <f t="shared" si="49"/>
        <v>-8.4172026635751136E-4</v>
      </c>
      <c r="AC68" s="171" t="str">
        <f t="shared" si="50"/>
        <v>21.8779218589238-151.47800085319i</v>
      </c>
      <c r="AD68" s="190">
        <f t="shared" si="51"/>
        <v>43.69665290453586</v>
      </c>
      <c r="AE68" s="169">
        <f t="shared" si="52"/>
        <v>-81.781618415262656</v>
      </c>
      <c r="AF68" s="98" t="str">
        <f t="shared" si="37"/>
        <v>-0.0000114342530449913</v>
      </c>
      <c r="AG68" s="98" t="str">
        <f t="shared" si="38"/>
        <v>0.0000238529464261765i</v>
      </c>
      <c r="AH68" s="98">
        <f t="shared" si="53"/>
        <v>2.3852946426176498E-5</v>
      </c>
      <c r="AI68" s="98">
        <f t="shared" si="54"/>
        <v>1.5707963267948966</v>
      </c>
      <c r="AJ68" s="98" t="str">
        <f t="shared" si="39"/>
        <v>1+0.000218469912717215i</v>
      </c>
      <c r="AK68" s="98">
        <f t="shared" si="55"/>
        <v>1.000000023864551</v>
      </c>
      <c r="AL68" s="98">
        <f t="shared" si="56"/>
        <v>2.1846990924142415E-4</v>
      </c>
      <c r="AM68" s="98" t="str">
        <f t="shared" si="40"/>
        <v>1+0.524546260434034i</v>
      </c>
      <c r="AN68" s="98">
        <f t="shared" si="57"/>
        <v>1.1292248577388515</v>
      </c>
      <c r="AO68" s="98">
        <f t="shared" si="58"/>
        <v>0.48309123533883236</v>
      </c>
      <c r="AP68" s="168" t="str">
        <f t="shared" si="59"/>
        <v>-0.251344057965623+0.479419298251217i</v>
      </c>
      <c r="AQ68" s="98">
        <f t="shared" si="60"/>
        <v>-5.3310762851491544</v>
      </c>
      <c r="AR68" s="169">
        <f t="shared" si="61"/>
        <v>117.66657150092615</v>
      </c>
      <c r="AS68" s="168" t="str">
        <f t="shared" si="62"/>
        <v>67.1225912096569+48.5617933717611i</v>
      </c>
      <c r="AT68" s="190">
        <f t="shared" si="63"/>
        <v>38.365576619386701</v>
      </c>
      <c r="AU68" s="169">
        <f t="shared" si="64"/>
        <v>35.884953085663497</v>
      </c>
      <c r="AV68" s="225"/>
      <c r="AX68">
        <f t="shared" si="65"/>
        <v>0</v>
      </c>
      <c r="AY68">
        <f t="shared" si="66"/>
        <v>0</v>
      </c>
    </row>
    <row r="69" spans="1:51" x14ac:dyDescent="0.2">
      <c r="A69" s="214" t="str">
        <f>"Phase Margin = "&amp;B69</f>
        <v>Phase Margin = -96°</v>
      </c>
      <c r="B69" s="217" t="str">
        <f>ROUND(D69,0)&amp;"°"</f>
        <v>-96°</v>
      </c>
      <c r="C69" s="218"/>
      <c r="D69" s="23">
        <f>AY14</f>
        <v>-96.366905456734472</v>
      </c>
      <c r="N69" s="170">
        <v>51</v>
      </c>
      <c r="O69" s="199">
        <f t="shared" si="41"/>
        <v>32.359365692962832</v>
      </c>
      <c r="P69" s="189" t="str">
        <f t="shared" si="32"/>
        <v>1757.57575757576</v>
      </c>
      <c r="Q69" s="160" t="str">
        <f t="shared" si="33"/>
        <v>1+11.7247803851333i</v>
      </c>
      <c r="R69" s="160">
        <f t="shared" si="42"/>
        <v>11.767347835413323</v>
      </c>
      <c r="S69" s="160">
        <f t="shared" si="43"/>
        <v>1.4857127915368125</v>
      </c>
      <c r="T69" s="160" t="str">
        <f t="shared" si="34"/>
        <v>1+0.056929569500069i</v>
      </c>
      <c r="U69" s="160">
        <f t="shared" si="44"/>
        <v>1.0016191770745322</v>
      </c>
      <c r="V69" s="160">
        <f t="shared" si="45"/>
        <v>5.6868186366747335E-2</v>
      </c>
      <c r="W69" s="98" t="str">
        <f t="shared" si="35"/>
        <v>1-0.0000366399387035414i</v>
      </c>
      <c r="X69" s="160">
        <f t="shared" si="46"/>
        <v>1.0000000006712424</v>
      </c>
      <c r="Y69" s="160">
        <f t="shared" si="47"/>
        <v>-3.6639938687145204E-5</v>
      </c>
      <c r="Z69" s="98" t="str">
        <f t="shared" si="36"/>
        <v>0.999999581148581-0.000861326308908315i</v>
      </c>
      <c r="AA69" s="160">
        <f t="shared" si="48"/>
        <v>0.99999995209017278</v>
      </c>
      <c r="AB69" s="160">
        <f t="shared" si="49"/>
        <v>-8.6132645667492155E-4</v>
      </c>
      <c r="AC69" s="171" t="str">
        <f t="shared" si="50"/>
        <v>21.2871754625649-148.080006302293i</v>
      </c>
      <c r="AD69" s="190">
        <f t="shared" si="51"/>
        <v>43.498762292959505</v>
      </c>
      <c r="AE69" s="169">
        <f t="shared" si="52"/>
        <v>-81.819514399379216</v>
      </c>
      <c r="AF69" s="98" t="str">
        <f t="shared" si="37"/>
        <v>-0.0000114342530449913</v>
      </c>
      <c r="AG69" s="98" t="str">
        <f t="shared" si="38"/>
        <v>0.0000244085529231546i</v>
      </c>
      <c r="AH69" s="98">
        <f t="shared" si="53"/>
        <v>2.44085529231546E-5</v>
      </c>
      <c r="AI69" s="98">
        <f t="shared" si="54"/>
        <v>1.5707963267948966</v>
      </c>
      <c r="AJ69" s="98" t="str">
        <f t="shared" si="39"/>
        <v>1+0.000223558730707714i</v>
      </c>
      <c r="AK69" s="98">
        <f t="shared" si="55"/>
        <v>1.0000000249892527</v>
      </c>
      <c r="AL69" s="98">
        <f t="shared" si="56"/>
        <v>2.23558726983337E-4</v>
      </c>
      <c r="AM69" s="98" t="str">
        <f t="shared" si="40"/>
        <v>1+0.536764512429222i</v>
      </c>
      <c r="AN69" s="98">
        <f t="shared" si="57"/>
        <v>1.1349520438341791</v>
      </c>
      <c r="AO69" s="98">
        <f t="shared" si="58"/>
        <v>0.4926248526693916</v>
      </c>
      <c r="AP69" s="168" t="str">
        <f t="shared" si="59"/>
        <v>-0.25134405740025+0.468508911669208i</v>
      </c>
      <c r="AQ69" s="98">
        <f t="shared" si="60"/>
        <v>-5.4871346643663674</v>
      </c>
      <c r="AR69" s="169">
        <f t="shared" si="61"/>
        <v>118.21251596968069</v>
      </c>
      <c r="AS69" s="168" t="str">
        <f t="shared" si="62"/>
        <v>64.0263975413046+47.1922610123507i</v>
      </c>
      <c r="AT69" s="190">
        <f t="shared" si="63"/>
        <v>38.011627628593132</v>
      </c>
      <c r="AU69" s="169">
        <f t="shared" si="64"/>
        <v>36.393001570301529</v>
      </c>
      <c r="AV69" s="225"/>
      <c r="AX69">
        <f t="shared" si="65"/>
        <v>0</v>
      </c>
      <c r="AY69">
        <f t="shared" si="66"/>
        <v>0</v>
      </c>
    </row>
    <row r="70" spans="1:51" x14ac:dyDescent="0.2">
      <c r="N70" s="170">
        <v>52</v>
      </c>
      <c r="O70" s="199">
        <f t="shared" si="41"/>
        <v>33.113112148259127</v>
      </c>
      <c r="P70" s="189" t="str">
        <f t="shared" si="32"/>
        <v>1757.57575757576</v>
      </c>
      <c r="Q70" s="160" t="str">
        <f t="shared" si="33"/>
        <v>1+11.9978856041378i</v>
      </c>
      <c r="R70" s="160">
        <f t="shared" si="42"/>
        <v>12.039487487845031</v>
      </c>
      <c r="S70" s="160">
        <f t="shared" si="43"/>
        <v>1.4876405103139501</v>
      </c>
      <c r="T70" s="160" t="str">
        <f t="shared" si="34"/>
        <v>1+0.058255629522981i</v>
      </c>
      <c r="U70" s="160">
        <f t="shared" si="44"/>
        <v>1.0016954219577521</v>
      </c>
      <c r="V70" s="160">
        <f t="shared" si="45"/>
        <v>5.8189862321635213E-2</v>
      </c>
      <c r="W70" s="98" t="str">
        <f t="shared" si="35"/>
        <v>1-0.0000374933925129304i</v>
      </c>
      <c r="X70" s="160">
        <f t="shared" si="46"/>
        <v>1.0000000007028771</v>
      </c>
      <c r="Y70" s="160">
        <f t="shared" si="47"/>
        <v>-3.7493392495361565E-5</v>
      </c>
      <c r="Z70" s="98" t="str">
        <f t="shared" si="36"/>
        <v>0.999999561408722-0.00088138917597293i</v>
      </c>
      <c r="AA70" s="160">
        <f t="shared" si="48"/>
        <v>0.99999994983225671</v>
      </c>
      <c r="AB70" s="160">
        <f t="shared" si="49"/>
        <v>-8.8138933430770045E-4</v>
      </c>
      <c r="AC70" s="171" t="str">
        <f t="shared" si="50"/>
        <v>20.7226415199069-144.756020480846i</v>
      </c>
      <c r="AD70" s="190">
        <f t="shared" si="51"/>
        <v>43.30083529971003</v>
      </c>
      <c r="AE70" s="169">
        <f t="shared" si="52"/>
        <v>-81.853137476386252</v>
      </c>
      <c r="AF70" s="98" t="str">
        <f t="shared" si="37"/>
        <v>-0.0000114342530449913</v>
      </c>
      <c r="AG70" s="98" t="str">
        <f t="shared" si="38"/>
        <v>0.000024977101157978i</v>
      </c>
      <c r="AH70" s="98">
        <f t="shared" si="53"/>
        <v>2.4977101157977999E-5</v>
      </c>
      <c r="AI70" s="98">
        <f t="shared" si="54"/>
        <v>1.5707963267948966</v>
      </c>
      <c r="AJ70" s="98" t="str">
        <f t="shared" si="39"/>
        <v>1+0.000228766082496385i</v>
      </c>
      <c r="AK70" s="98">
        <f t="shared" si="55"/>
        <v>1.0000000261669599</v>
      </c>
      <c r="AL70" s="98">
        <f t="shared" si="56"/>
        <v>2.2876607850564313E-4</v>
      </c>
      <c r="AM70" s="98" t="str">
        <f t="shared" si="40"/>
        <v>1+0.54926736407382i</v>
      </c>
      <c r="AN70" s="98">
        <f t="shared" si="57"/>
        <v>1.1409183306602635</v>
      </c>
      <c r="AO70" s="98">
        <f t="shared" si="58"/>
        <v>0.50228055252330417</v>
      </c>
      <c r="AP70" s="168" t="str">
        <f t="shared" si="59"/>
        <v>-0.251344056808231+0.457846934713601i</v>
      </c>
      <c r="AQ70" s="98">
        <f t="shared" si="60"/>
        <v>-5.6415937437783121</v>
      </c>
      <c r="AR70" s="169">
        <f t="shared" si="61"/>
        <v>118.76544846029026</v>
      </c>
      <c r="AS70" s="168" t="str">
        <f t="shared" si="62"/>
        <v>61.0675874710985+45.8713633341294i</v>
      </c>
      <c r="AT70" s="190">
        <f t="shared" si="63"/>
        <v>37.659241555931715</v>
      </c>
      <c r="AU70" s="169">
        <f t="shared" si="64"/>
        <v>36.912310983904021</v>
      </c>
      <c r="AV70" s="225"/>
      <c r="AX70">
        <f t="shared" si="65"/>
        <v>0</v>
      </c>
      <c r="AY70">
        <f t="shared" si="66"/>
        <v>0</v>
      </c>
    </row>
    <row r="71" spans="1:51" x14ac:dyDescent="0.2">
      <c r="N71" s="170">
        <v>53</v>
      </c>
      <c r="O71" s="199">
        <f t="shared" si="41"/>
        <v>33.884415613920268</v>
      </c>
      <c r="P71" s="189" t="str">
        <f t="shared" si="32"/>
        <v>1757.57575757576</v>
      </c>
      <c r="Q71" s="160" t="str">
        <f t="shared" si="33"/>
        <v>1+12.2773522609003i</v>
      </c>
      <c r="R71" s="160">
        <f t="shared" si="42"/>
        <v>12.318010331958392</v>
      </c>
      <c r="S71" s="160">
        <f t="shared" si="43"/>
        <v>1.4895249476177368</v>
      </c>
      <c r="T71" s="160" t="str">
        <f t="shared" si="34"/>
        <v>1+0.05961257745177i</v>
      </c>
      <c r="U71" s="160">
        <f t="shared" si="44"/>
        <v>1.0017752539319602</v>
      </c>
      <c r="V71" s="160">
        <f t="shared" si="45"/>
        <v>5.9542113368855225E-2</v>
      </c>
      <c r="W71" s="98" t="str">
        <f t="shared" si="35"/>
        <v>1-0.0000383667258153133i</v>
      </c>
      <c r="X71" s="160">
        <f t="shared" si="46"/>
        <v>1.0000000007360028</v>
      </c>
      <c r="Y71" s="160">
        <f t="shared" si="47"/>
        <v>-3.8366725796487952E-5</v>
      </c>
      <c r="Z71" s="98" t="str">
        <f t="shared" si="36"/>
        <v>0.999999540738551-0.000901919367245205i</v>
      </c>
      <c r="AA71" s="160">
        <f t="shared" si="48"/>
        <v>0.99999994746792753</v>
      </c>
      <c r="AB71" s="160">
        <f t="shared" si="49"/>
        <v>-9.0191953690396773E-4</v>
      </c>
      <c r="AC71" s="171" t="str">
        <f t="shared" si="50"/>
        <v>20.183172981579-141.504577568277i</v>
      </c>
      <c r="AD71" s="190">
        <f t="shared" si="51"/>
        <v>43.102876244847394</v>
      </c>
      <c r="AE71" s="169">
        <f t="shared" si="52"/>
        <v>-81.882503247153323</v>
      </c>
      <c r="AF71" s="98" t="str">
        <f t="shared" si="37"/>
        <v>-0.0000114342530449913</v>
      </c>
      <c r="AG71" s="98" t="str">
        <f t="shared" si="38"/>
        <v>0.0000255588925824464i</v>
      </c>
      <c r="AH71" s="98">
        <f t="shared" si="53"/>
        <v>2.5558892582446399E-5</v>
      </c>
      <c r="AI71" s="98">
        <f t="shared" si="54"/>
        <v>1.5707963267948966</v>
      </c>
      <c r="AJ71" s="98" t="str">
        <f t="shared" si="39"/>
        <v>1+0.000234094729090071i</v>
      </c>
      <c r="AK71" s="98">
        <f t="shared" si="55"/>
        <v>1.0000000274001708</v>
      </c>
      <c r="AL71" s="98">
        <f t="shared" si="56"/>
        <v>2.3409472481391403E-4</v>
      </c>
      <c r="AM71" s="98" t="str">
        <f t="shared" si="40"/>
        <v>1+0.56206144454526i</v>
      </c>
      <c r="AN71" s="98">
        <f t="shared" si="57"/>
        <v>1.1471325413588025</v>
      </c>
      <c r="AO71" s="98">
        <f t="shared" si="58"/>
        <v>0.51205625189818205</v>
      </c>
      <c r="AP71" s="168" t="str">
        <f t="shared" si="59"/>
        <v>-0.251344056188309+0.447427714263087i</v>
      </c>
      <c r="AQ71" s="98">
        <f t="shared" si="60"/>
        <v>-5.7944129145087606</v>
      </c>
      <c r="AR71" s="169">
        <f t="shared" si="61"/>
        <v>119.32524946731536</v>
      </c>
      <c r="AS71" s="168" t="str">
        <f t="shared" si="62"/>
        <v>58.2401491351975+44.5968454489483i</v>
      </c>
      <c r="AT71" s="190">
        <f t="shared" si="63"/>
        <v>37.308463330338625</v>
      </c>
      <c r="AU71" s="169">
        <f t="shared" si="64"/>
        <v>37.442746220162036</v>
      </c>
      <c r="AV71" s="225"/>
      <c r="AX71">
        <f t="shared" si="65"/>
        <v>0</v>
      </c>
      <c r="AY71">
        <f t="shared" si="66"/>
        <v>0</v>
      </c>
    </row>
    <row r="72" spans="1:51" x14ac:dyDescent="0.2">
      <c r="N72" s="170">
        <v>54</v>
      </c>
      <c r="O72" s="199">
        <f t="shared" si="41"/>
        <v>34.67368504525318</v>
      </c>
      <c r="P72" s="189" t="str">
        <f t="shared" si="32"/>
        <v>1757.57575757576</v>
      </c>
      <c r="Q72" s="160" t="str">
        <f t="shared" si="33"/>
        <v>1+12.5633285323415i</v>
      </c>
      <c r="R72" s="160">
        <f t="shared" si="42"/>
        <v>12.603064064406956</v>
      </c>
      <c r="S72" s="160">
        <f t="shared" si="43"/>
        <v>1.4913670490373092</v>
      </c>
      <c r="T72" s="160" t="str">
        <f t="shared" si="34"/>
        <v>1+0.06100113275819i</v>
      </c>
      <c r="U72" s="160">
        <f t="shared" si="44"/>
        <v>1.0018588414531173</v>
      </c>
      <c r="V72" s="160">
        <f t="shared" si="45"/>
        <v>6.0925636697003939E-2</v>
      </c>
      <c r="W72" s="98" t="str">
        <f t="shared" si="35"/>
        <v>1-0.0000392604016635672i</v>
      </c>
      <c r="X72" s="160">
        <f t="shared" si="46"/>
        <v>1.0000000007706895</v>
      </c>
      <c r="Y72" s="160">
        <f t="shared" si="47"/>
        <v>-3.9260401643395477E-5</v>
      </c>
      <c r="Z72" s="98" t="str">
        <f t="shared" si="36"/>
        <v>0.999999519094226-0.00092292776810431i</v>
      </c>
      <c r="AA72" s="160">
        <f t="shared" si="48"/>
        <v>0.99999994499217282</v>
      </c>
      <c r="AB72" s="160">
        <f t="shared" si="49"/>
        <v>-9.2292794989694792E-4</v>
      </c>
      <c r="AC72" s="171" t="str">
        <f t="shared" si="50"/>
        <v>19.667671588929-138.3242308522i</v>
      </c>
      <c r="AD72" s="190">
        <f t="shared" si="51"/>
        <v>42.904889384600949</v>
      </c>
      <c r="AE72" s="169">
        <f t="shared" si="52"/>
        <v>-81.907625346824645</v>
      </c>
      <c r="AF72" s="98" t="str">
        <f t="shared" si="37"/>
        <v>-0.0000114342530449913</v>
      </c>
      <c r="AG72" s="98" t="str">
        <f t="shared" si="38"/>
        <v>0.000026154235670074i</v>
      </c>
      <c r="AH72" s="98">
        <f t="shared" si="53"/>
        <v>2.6154235670073999E-5</v>
      </c>
      <c r="AI72" s="98">
        <f t="shared" si="54"/>
        <v>1.5707963267948966</v>
      </c>
      <c r="AJ72" s="98" t="str">
        <f t="shared" si="39"/>
        <v>1+0.000239547495807731i</v>
      </c>
      <c r="AK72" s="98">
        <f t="shared" si="55"/>
        <v>1.000000028691501</v>
      </c>
      <c r="AL72" s="98">
        <f t="shared" si="56"/>
        <v>2.3954749122574628E-4</v>
      </c>
      <c r="AM72" s="98" t="str">
        <f t="shared" si="40"/>
        <v>1+0.575153537434362i</v>
      </c>
      <c r="AN72" s="98">
        <f t="shared" si="57"/>
        <v>1.1536037411621289</v>
      </c>
      <c r="AO72" s="98">
        <f t="shared" si="58"/>
        <v>0.52194965961524653</v>
      </c>
      <c r="AP72" s="168" t="str">
        <f t="shared" si="59"/>
        <v>-0.251344055539173+0.437245725909066i</v>
      </c>
      <c r="AQ72" s="98">
        <f t="shared" si="60"/>
        <v>-5.9455518059456249</v>
      </c>
      <c r="AR72" s="169">
        <f t="shared" si="61"/>
        <v>119.89178755400336</v>
      </c>
      <c r="AS72" s="168" t="str">
        <f t="shared" si="62"/>
        <v>55.5383263896094+43.3665785025711i</v>
      </c>
      <c r="AT72" s="190">
        <f t="shared" si="63"/>
        <v>36.959337578655315</v>
      </c>
      <c r="AU72" s="169">
        <f t="shared" si="64"/>
        <v>37.984162207178713</v>
      </c>
      <c r="AV72" s="225"/>
      <c r="AX72">
        <f t="shared" si="65"/>
        <v>0</v>
      </c>
      <c r="AY72">
        <f t="shared" si="66"/>
        <v>0</v>
      </c>
    </row>
    <row r="73" spans="1:51" x14ac:dyDescent="0.2">
      <c r="N73" s="170">
        <v>55</v>
      </c>
      <c r="O73" s="199">
        <f t="shared" si="41"/>
        <v>35.481338923357555</v>
      </c>
      <c r="P73" s="189" t="str">
        <f t="shared" si="32"/>
        <v>1757.57575757576</v>
      </c>
      <c r="Q73" s="160" t="str">
        <f t="shared" si="33"/>
        <v>1+12.8559660468659i</v>
      </c>
      <c r="R73" s="160">
        <f t="shared" si="42"/>
        <v>12.894799843276701</v>
      </c>
      <c r="S73" s="160">
        <f t="shared" si="43"/>
        <v>1.4931677412443662</v>
      </c>
      <c r="T73" s="160" t="str">
        <f t="shared" si="34"/>
        <v>1+0.0624220316726437i</v>
      </c>
      <c r="U73" s="160">
        <f t="shared" si="44"/>
        <v>1.001946360858774</v>
      </c>
      <c r="V73" s="160">
        <f t="shared" si="45"/>
        <v>6.2341144670470777E-2</v>
      </c>
      <c r="W73" s="98" t="str">
        <f t="shared" si="35"/>
        <v>1-0.000040174893896456i</v>
      </c>
      <c r="X73" s="160">
        <f t="shared" si="46"/>
        <v>1.0000000008070109</v>
      </c>
      <c r="Y73" s="160">
        <f t="shared" si="47"/>
        <v>-4.017489387484161E-5</v>
      </c>
      <c r="Z73" s="98" t="str">
        <f t="shared" si="36"/>
        <v>0.999999496429835-0.000944425517482457i</v>
      </c>
      <c r="AA73" s="160">
        <f t="shared" si="48"/>
        <v>0.99999994239973922</v>
      </c>
      <c r="AB73" s="160">
        <f t="shared" si="49"/>
        <v>-9.4442571227677677E-4</v>
      </c>
      <c r="AC73" s="171" t="str">
        <f t="shared" si="50"/>
        <v>19.1750859220673-135.213553205846i</v>
      </c>
      <c r="AD73" s="190">
        <f t="shared" si="51"/>
        <v>42.706878919790583</v>
      </c>
      <c r="AE73" s="169">
        <f t="shared" si="52"/>
        <v>-81.92851544323625</v>
      </c>
      <c r="AF73" s="98" t="str">
        <f t="shared" si="37"/>
        <v>-0.0000114342530449913</v>
      </c>
      <c r="AG73" s="98" t="str">
        <f t="shared" si="38"/>
        <v>0.000026763446079646i</v>
      </c>
      <c r="AH73" s="98">
        <f t="shared" si="53"/>
        <v>2.6763446079646001E-5</v>
      </c>
      <c r="AI73" s="98">
        <f t="shared" si="54"/>
        <v>1.5707963267948966</v>
      </c>
      <c r="AJ73" s="98" t="str">
        <f t="shared" si="39"/>
        <v>1+0.000245127273778455i</v>
      </c>
      <c r="AK73" s="98">
        <f t="shared" si="55"/>
        <v>1.0000000300436898</v>
      </c>
      <c r="AL73" s="98">
        <f t="shared" si="56"/>
        <v>2.4512726886876995E-4</v>
      </c>
      <c r="AM73" s="98" t="str">
        <f t="shared" si="40"/>
        <v>1+0.588550584342069i</v>
      </c>
      <c r="AN73" s="98">
        <f t="shared" si="57"/>
        <v>1.1603412387437546</v>
      </c>
      <c r="AO73" s="98">
        <f t="shared" si="58"/>
        <v>0.53195827373664539</v>
      </c>
      <c r="AP73" s="168" t="str">
        <f t="shared" si="59"/>
        <v>-0.251344054859444+0.427295571026541i</v>
      </c>
      <c r="AQ73" s="98">
        <f t="shared" si="60"/>
        <v>-6.0949703852712886</v>
      </c>
      <c r="AR73" s="169">
        <f t="shared" si="61"/>
        <v>120.46491920422497</v>
      </c>
      <c r="AS73" s="168" t="str">
        <f t="shared" si="62"/>
        <v>52.9566085796889+42.1785520232632i</v>
      </c>
      <c r="AT73" s="190">
        <f t="shared" si="63"/>
        <v>36.611908534519287</v>
      </c>
      <c r="AU73" s="169">
        <f t="shared" si="64"/>
        <v>38.536403760988691</v>
      </c>
      <c r="AV73" s="225"/>
      <c r="AX73">
        <f t="shared" si="65"/>
        <v>0</v>
      </c>
      <c r="AY73">
        <f t="shared" si="66"/>
        <v>0</v>
      </c>
    </row>
    <row r="74" spans="1:51" x14ac:dyDescent="0.2">
      <c r="N74" s="170">
        <v>56</v>
      </c>
      <c r="O74" s="199">
        <f t="shared" si="41"/>
        <v>36.307805477010156</v>
      </c>
      <c r="P74" s="189" t="str">
        <f t="shared" si="32"/>
        <v>1757.57575757576</v>
      </c>
      <c r="Q74" s="160" t="str">
        <f t="shared" si="33"/>
        <v>1+13.1554199647573i</v>
      </c>
      <c r="R74" s="160">
        <f t="shared" si="42"/>
        <v>13.193372368319443</v>
      </c>
      <c r="S74" s="160">
        <f t="shared" si="43"/>
        <v>1.4949279322538283</v>
      </c>
      <c r="T74" s="160" t="str">
        <f t="shared" si="34"/>
        <v>1+0.0638760275745438i</v>
      </c>
      <c r="U74" s="160">
        <f t="shared" si="44"/>
        <v>1.0020379967340081</v>
      </c>
      <c r="V74" s="160">
        <f t="shared" si="45"/>
        <v>6.3789365107906823E-2</v>
      </c>
      <c r="W74" s="98" t="str">
        <f t="shared" si="35"/>
        <v>1-0.0000411106873898664i</v>
      </c>
      <c r="X74" s="160">
        <f t="shared" si="46"/>
        <v>1.0000000008450443</v>
      </c>
      <c r="Y74" s="160">
        <f t="shared" si="47"/>
        <v>-4.1110687366706167E-5</v>
      </c>
      <c r="Z74" s="98" t="str">
        <f t="shared" si="36"/>
        <v>0.999999472697305-0.000966424013770926i</v>
      </c>
      <c r="AA74" s="160">
        <f t="shared" si="48"/>
        <v>0.99999993968512946</v>
      </c>
      <c r="AB74" s="160">
        <f t="shared" si="49"/>
        <v>-9.6642422249679759E-4</v>
      </c>
      <c r="AC74" s="171" t="str">
        <f t="shared" si="50"/>
        <v>18.7044095149905-132.171137497886i</v>
      </c>
      <c r="AD74" s="190">
        <f t="shared" si="51"/>
        <v>42.508849004160837</v>
      </c>
      <c r="AE74" s="169">
        <f t="shared" si="52"/>
        <v>-81.94518323557196</v>
      </c>
      <c r="AF74" s="98" t="str">
        <f t="shared" si="37"/>
        <v>-0.0000114342530449913</v>
      </c>
      <c r="AG74" s="98" t="str">
        <f t="shared" si="38"/>
        <v>0.0000273868468225856i</v>
      </c>
      <c r="AH74" s="98">
        <f t="shared" si="53"/>
        <v>2.73868468225856E-5</v>
      </c>
      <c r="AI74" s="98">
        <f t="shared" si="54"/>
        <v>1.5707963267948966</v>
      </c>
      <c r="AJ74" s="98" t="str">
        <f t="shared" si="39"/>
        <v>1+0.000250837021474379i</v>
      </c>
      <c r="AK74" s="98">
        <f t="shared" si="55"/>
        <v>1.0000000314596051</v>
      </c>
      <c r="AL74" s="98">
        <f t="shared" si="56"/>
        <v>2.5083701621355666E-4</v>
      </c>
      <c r="AM74" s="98" t="str">
        <f t="shared" si="40"/>
        <v>1+0.602259688559984i</v>
      </c>
      <c r="AN74" s="98">
        <f t="shared" si="57"/>
        <v>1.1673545872888704</v>
      </c>
      <c r="AO74" s="98">
        <f t="shared" si="58"/>
        <v>0.54207937968115538</v>
      </c>
      <c r="AP74" s="168" t="str">
        <f t="shared" si="59"/>
        <v>-0.251344054147681+0.417571973911683i</v>
      </c>
      <c r="AQ74" s="98">
        <f t="shared" si="60"/>
        <v>-6.2426290606006409</v>
      </c>
      <c r="AR74" s="169">
        <f t="shared" si="61"/>
        <v>121.04448871442521</v>
      </c>
      <c r="AS74" s="168" t="str">
        <f t="shared" si="62"/>
        <v>50.4897206612086+41.0308667420563i</v>
      </c>
      <c r="AT74" s="190">
        <f t="shared" si="63"/>
        <v>36.266219943560202</v>
      </c>
      <c r="AU74" s="169">
        <f t="shared" si="64"/>
        <v>39.099305478853232</v>
      </c>
      <c r="AV74" s="225"/>
      <c r="AX74">
        <f t="shared" si="65"/>
        <v>0</v>
      </c>
      <c r="AY74">
        <f t="shared" si="66"/>
        <v>0</v>
      </c>
    </row>
    <row r="75" spans="1:51" x14ac:dyDescent="0.2">
      <c r="N75" s="170">
        <v>57</v>
      </c>
      <c r="O75" s="199">
        <f t="shared" si="41"/>
        <v>37.15352290971726</v>
      </c>
      <c r="P75" s="189" t="str">
        <f t="shared" si="32"/>
        <v>1757.57575757576</v>
      </c>
      <c r="Q75" s="160" t="str">
        <f t="shared" si="33"/>
        <v>1+13.4618490604464i</v>
      </c>
      <c r="R75" s="160">
        <f t="shared" si="42"/>
        <v>13.4989399630579</v>
      </c>
      <c r="S75" s="160">
        <f t="shared" si="43"/>
        <v>1.4966485116894674</v>
      </c>
      <c r="T75" s="160" t="str">
        <f t="shared" si="34"/>
        <v>1+0.0653638913917629i</v>
      </c>
      <c r="U75" s="160">
        <f t="shared" si="44"/>
        <v>1.0021339422940798</v>
      </c>
      <c r="V75" s="160">
        <f t="shared" si="45"/>
        <v>6.5271041561938567E-2</v>
      </c>
      <c r="W75" s="98" t="str">
        <f t="shared" si="35"/>
        <v>1-0.000042068278313895i</v>
      </c>
      <c r="X75" s="160">
        <f t="shared" si="46"/>
        <v>1.00000000088487</v>
      </c>
      <c r="Y75" s="160">
        <f t="shared" si="47"/>
        <v>-4.2068278289078364E-5</v>
      </c>
      <c r="Z75" s="98" t="str">
        <f t="shared" si="36"/>
        <v>0.999999447846294-0.000988934920863628i</v>
      </c>
      <c r="AA75" s="160">
        <f t="shared" si="48"/>
        <v>0.99999993684258326</v>
      </c>
      <c r="AB75" s="160">
        <f t="shared" si="49"/>
        <v>-9.8893514451742779E-4</v>
      </c>
      <c r="AC75" s="171" t="str">
        <f t="shared" si="50"/>
        <v>18.2546790365027-129.19559693949i</v>
      </c>
      <c r="AD75" s="190">
        <f t="shared" si="51"/>
        <v>42.310803752638279</v>
      </c>
      <c r="AE75" s="169">
        <f t="shared" si="52"/>
        <v>-81.957636453224822</v>
      </c>
      <c r="AF75" s="98" t="str">
        <f t="shared" si="37"/>
        <v>-0.0000114342530449913</v>
      </c>
      <c r="AG75" s="98" t="str">
        <f t="shared" si="38"/>
        <v>0.0000280247684342183i</v>
      </c>
      <c r="AH75" s="98">
        <f t="shared" si="53"/>
        <v>2.80247684342183E-5</v>
      </c>
      <c r="AI75" s="98">
        <f t="shared" si="54"/>
        <v>1.5707963267948966</v>
      </c>
      <c r="AJ75" s="98" t="str">
        <f t="shared" si="39"/>
        <v>1+0.000256679766279309i</v>
      </c>
      <c r="AK75" s="98">
        <f t="shared" si="55"/>
        <v>1.0000000329422507</v>
      </c>
      <c r="AL75" s="98">
        <f t="shared" si="56"/>
        <v>2.5667976064223632E-4</v>
      </c>
      <c r="AM75" s="98" t="str">
        <f t="shared" si="40"/>
        <v>1+0.616288118836621i</v>
      </c>
      <c r="AN75" s="98">
        <f t="shared" si="57"/>
        <v>1.174653585283415</v>
      </c>
      <c r="AO75" s="98">
        <f t="shared" si="58"/>
        <v>0.55231004908922843</v>
      </c>
      <c r="AP75" s="168" t="str">
        <f t="shared" si="59"/>
        <v>-0.251344053402373+0.408069778984594i</v>
      </c>
      <c r="AQ75" s="98">
        <f t="shared" si="60"/>
        <v>-6.3884887873315659</v>
      </c>
      <c r="AR75" s="169">
        <f t="shared" si="61"/>
        <v>121.63032812850493</v>
      </c>
      <c r="AS75" s="168" t="str">
        <f t="shared" si="62"/>
        <v>48.1326136662865+39.921727856371i</v>
      </c>
      <c r="AT75" s="190">
        <f t="shared" si="63"/>
        <v>35.922314965306718</v>
      </c>
      <c r="AU75" s="169">
        <f t="shared" si="64"/>
        <v>39.672691675280099</v>
      </c>
      <c r="AV75" s="225"/>
      <c r="AX75">
        <f t="shared" si="65"/>
        <v>0</v>
      </c>
      <c r="AY75">
        <f t="shared" si="66"/>
        <v>0</v>
      </c>
    </row>
    <row r="76" spans="1:51" x14ac:dyDescent="0.2">
      <c r="N76" s="170">
        <v>58</v>
      </c>
      <c r="O76" s="199">
        <f t="shared" si="41"/>
        <v>38.018939632056139</v>
      </c>
      <c r="P76" s="189" t="str">
        <f t="shared" si="32"/>
        <v>1757.57575757576</v>
      </c>
      <c r="Q76" s="160" t="str">
        <f t="shared" si="33"/>
        <v>1+13.7754158066961i</v>
      </c>
      <c r="R76" s="160">
        <f t="shared" si="42"/>
        <v>13.811664658808251</v>
      </c>
      <c r="S76" s="160">
        <f t="shared" si="43"/>
        <v>1.4983303510537318</v>
      </c>
      <c r="T76" s="160" t="str">
        <f t="shared" si="34"/>
        <v>1+0.0668864120093913i</v>
      </c>
      <c r="U76" s="160">
        <f t="shared" si="44"/>
        <v>1.0022343997845464</v>
      </c>
      <c r="V76" s="160">
        <f t="shared" si="45"/>
        <v>6.6786933599803949E-2</v>
      </c>
      <c r="W76" s="98" t="str">
        <f t="shared" si="35"/>
        <v>1-0.0000430481743959252i</v>
      </c>
      <c r="X76" s="160">
        <f t="shared" si="46"/>
        <v>1.0000000009265726</v>
      </c>
      <c r="Y76" s="160">
        <f t="shared" si="47"/>
        <v>-4.3048174369333695E-5</v>
      </c>
      <c r="Z76" s="98" t="str">
        <f t="shared" si="36"/>
        <v>0.999999421824092-0.00101197017434147i</v>
      </c>
      <c r="AA76" s="160">
        <f t="shared" si="48"/>
        <v>0.99999993386607378</v>
      </c>
      <c r="AB76" s="160">
        <f t="shared" si="49"/>
        <v>-1.0119704139908313E-3</v>
      </c>
      <c r="AC76" s="171" t="str">
        <f t="shared" si="50"/>
        <v>17.824972535573-126.285565373255i</v>
      </c>
      <c r="AD76" s="190">
        <f t="shared" si="51"/>
        <v>42.112747249527075</v>
      </c>
      <c r="AE76" s="169">
        <f t="shared" si="52"/>
        <v>-81.965880854837948</v>
      </c>
      <c r="AF76" s="98" t="str">
        <f t="shared" si="37"/>
        <v>-0.0000114342530449913</v>
      </c>
      <c r="AG76" s="98" t="str">
        <f t="shared" si="38"/>
        <v>0.0000286775491490265i</v>
      </c>
      <c r="AH76" s="98">
        <f t="shared" si="53"/>
        <v>2.8677549149026501E-5</v>
      </c>
      <c r="AI76" s="98">
        <f t="shared" si="54"/>
        <v>1.5707963267948966</v>
      </c>
      <c r="AJ76" s="98" t="str">
        <f t="shared" si="39"/>
        <v>1+0.000262658606093879i</v>
      </c>
      <c r="AK76" s="98">
        <f t="shared" si="55"/>
        <v>1.000000034494771</v>
      </c>
      <c r="AL76" s="98">
        <f t="shared" si="56"/>
        <v>2.6265860005364683E-4</v>
      </c>
      <c r="AM76" s="98" t="str">
        <f t="shared" si="40"/>
        <v>1+0.630643313231403i</v>
      </c>
      <c r="AN76" s="98">
        <f t="shared" si="57"/>
        <v>1.1822482770228433</v>
      </c>
      <c r="AO76" s="98">
        <f t="shared" si="58"/>
        <v>0.56264713948557543</v>
      </c>
      <c r="AP76" s="168" t="str">
        <f t="shared" si="59"/>
        <v>-0.251344052621938+0.398783948055747i</v>
      </c>
      <c r="AQ76" s="98">
        <f t="shared" si="60"/>
        <v>-6.5325111772605213</v>
      </c>
      <c r="AR76" s="169">
        <f t="shared" si="61"/>
        <v>122.22225721839604</v>
      </c>
      <c r="AS76" s="168" t="str">
        <f t="shared" si="62"/>
        <v>45.8804555070331+38.8494387102877i</v>
      </c>
      <c r="AT76" s="190">
        <f t="shared" si="63"/>
        <v>35.580236072266544</v>
      </c>
      <c r="AU76" s="169">
        <f t="shared" si="64"/>
        <v>40.256376363558147</v>
      </c>
      <c r="AV76" s="225"/>
      <c r="AX76">
        <f t="shared" si="65"/>
        <v>0</v>
      </c>
      <c r="AY76">
        <f t="shared" si="66"/>
        <v>0</v>
      </c>
    </row>
    <row r="77" spans="1:51" x14ac:dyDescent="0.2">
      <c r="N77" s="170">
        <v>59</v>
      </c>
      <c r="O77" s="199">
        <f t="shared" si="41"/>
        <v>38.904514499428053</v>
      </c>
      <c r="P77" s="189" t="str">
        <f t="shared" si="32"/>
        <v>1757.57575757576</v>
      </c>
      <c r="Q77" s="160" t="str">
        <f t="shared" si="33"/>
        <v>1+14.0962864607456i</v>
      </c>
      <c r="R77" s="160">
        <f t="shared" si="42"/>
        <v>14.131712280661525</v>
      </c>
      <c r="S77" s="160">
        <f t="shared" si="43"/>
        <v>1.4999743040010007</v>
      </c>
      <c r="T77" s="160" t="str">
        <f t="shared" si="34"/>
        <v>1+0.0684443966880134i</v>
      </c>
      <c r="U77" s="160">
        <f t="shared" si="44"/>
        <v>1.0023395808996003</v>
      </c>
      <c r="V77" s="160">
        <f t="shared" si="45"/>
        <v>6.8337817084543062E-2</v>
      </c>
      <c r="W77" s="98" t="str">
        <f t="shared" si="35"/>
        <v>1-0.00004405089518983i</v>
      </c>
      <c r="X77" s="160">
        <f t="shared" si="46"/>
        <v>1.0000000009702406</v>
      </c>
      <c r="Y77" s="160">
        <f t="shared" si="47"/>
        <v>-4.4050895161336685E-5</v>
      </c>
      <c r="Z77" s="98" t="str">
        <f t="shared" si="36"/>
        <v>0.999999394575501-0.00103554198780076i</v>
      </c>
      <c r="AA77" s="160">
        <f t="shared" si="48"/>
        <v>0.99999993074928617</v>
      </c>
      <c r="AB77" s="160">
        <f t="shared" si="49"/>
        <v>-1.0355422445896747E-3</v>
      </c>
      <c r="AC77" s="171" t="str">
        <f t="shared" si="50"/>
        <v>17.4144077496958-123.439697508321i</v>
      </c>
      <c r="AD77" s="190">
        <f t="shared" si="51"/>
        <v>41.914683556655362</v>
      </c>
      <c r="AE77" s="169">
        <f t="shared" si="52"/>
        <v>-81.969920227503167</v>
      </c>
      <c r="AF77" s="98" t="str">
        <f t="shared" si="37"/>
        <v>-0.0000114342530449913</v>
      </c>
      <c r="AG77" s="98" t="str">
        <f t="shared" si="38"/>
        <v>0.0000293455350799857i</v>
      </c>
      <c r="AH77" s="98">
        <f t="shared" si="53"/>
        <v>2.9345535079985699E-5</v>
      </c>
      <c r="AI77" s="98">
        <f t="shared" si="54"/>
        <v>1.5707963267948966</v>
      </c>
      <c r="AJ77" s="98" t="str">
        <f t="shared" si="39"/>
        <v>1+0.000268776710978097i</v>
      </c>
      <c r="AK77" s="98">
        <f t="shared" si="55"/>
        <v>1.0000000361204595</v>
      </c>
      <c r="AL77" s="98">
        <f t="shared" si="56"/>
        <v>2.6877670450587164E-4</v>
      </c>
      <c r="AM77" s="98" t="str">
        <f t="shared" si="40"/>
        <v>1+0.645332883058411i</v>
      </c>
      <c r="AN77" s="98">
        <f t="shared" si="57"/>
        <v>1.1901489528443407</v>
      </c>
      <c r="AO77" s="98">
        <f t="shared" si="58"/>
        <v>0.57308729478384157</v>
      </c>
      <c r="AP77" s="168" t="str">
        <f t="shared" si="59"/>
        <v>-0.251344051804724+0.389709557654671i</v>
      </c>
      <c r="AQ77" s="98">
        <f t="shared" si="60"/>
        <v>-6.6746586099635339</v>
      </c>
      <c r="AR77" s="169">
        <f t="shared" si="61"/>
        <v>122.82008351288408</v>
      </c>
      <c r="AS77" s="168" t="str">
        <f t="shared" si="62"/>
        <v>43.728622109406+37.8123948662429i</v>
      </c>
      <c r="AT77" s="190">
        <f t="shared" si="63"/>
        <v>35.240024946691825</v>
      </c>
      <c r="AU77" s="169">
        <f t="shared" si="64"/>
        <v>40.85016328538093</v>
      </c>
      <c r="AV77" s="225"/>
      <c r="AX77">
        <f t="shared" si="65"/>
        <v>0</v>
      </c>
      <c r="AY77">
        <f t="shared" si="66"/>
        <v>0</v>
      </c>
    </row>
    <row r="78" spans="1:51" x14ac:dyDescent="0.2">
      <c r="N78" s="170">
        <v>60</v>
      </c>
      <c r="O78" s="199">
        <f t="shared" si="41"/>
        <v>39.810717055349755</v>
      </c>
      <c r="P78" s="189" t="str">
        <f t="shared" si="32"/>
        <v>1757.57575757576</v>
      </c>
      <c r="Q78" s="160" t="str">
        <f t="shared" si="33"/>
        <v>1+14.4246311524631i</v>
      </c>
      <c r="R78" s="160">
        <f t="shared" si="42"/>
        <v>14.459252535473919</v>
      </c>
      <c r="S78" s="160">
        <f t="shared" si="43"/>
        <v>1.5015812066136172</v>
      </c>
      <c r="T78" s="160" t="str">
        <f t="shared" si="34"/>
        <v>1+0.070038671491728i</v>
      </c>
      <c r="U78" s="160">
        <f t="shared" si="44"/>
        <v>1.0024497072194327</v>
      </c>
      <c r="V78" s="160">
        <f t="shared" si="45"/>
        <v>6.9924484456351868E-2</v>
      </c>
      <c r="W78" s="98" t="str">
        <f t="shared" si="35"/>
        <v>1-0.0000450769723514469i</v>
      </c>
      <c r="X78" s="160">
        <f t="shared" si="46"/>
        <v>1.0000000010159666</v>
      </c>
      <c r="Y78" s="160">
        <f t="shared" si="47"/>
        <v>-4.5076972320915765E-5</v>
      </c>
      <c r="Z78" s="98" t="str">
        <f t="shared" si="36"/>
        <v>0.999999366042723-0.001059662859329i</v>
      </c>
      <c r="AA78" s="160">
        <f t="shared" si="48"/>
        <v>0.99999992748560895</v>
      </c>
      <c r="AB78" s="160">
        <f t="shared" si="49"/>
        <v>-1.0596631344832771E-3</v>
      </c>
      <c r="AC78" s="171" t="str">
        <f t="shared" si="50"/>
        <v>17.022140474763-120.656669105723i</v>
      </c>
      <c r="AD78" s="190">
        <f t="shared" si="51"/>
        <v>41.71661672148457</v>
      </c>
      <c r="AE78" s="169">
        <f t="shared" si="52"/>
        <v>-81.969756386100528</v>
      </c>
      <c r="AF78" s="98" t="str">
        <f t="shared" si="37"/>
        <v>-0.0000114342530449913</v>
      </c>
      <c r="AG78" s="98" t="str">
        <f t="shared" si="38"/>
        <v>0.0000300290804020784i</v>
      </c>
      <c r="AH78" s="98">
        <f t="shared" si="53"/>
        <v>3.0029080402078401E-5</v>
      </c>
      <c r="AI78" s="98">
        <f t="shared" si="54"/>
        <v>1.5707963267948966</v>
      </c>
      <c r="AJ78" s="98" t="str">
        <f t="shared" si="39"/>
        <v>1+0.000275037324832156i</v>
      </c>
      <c r="AK78" s="98">
        <f t="shared" si="55"/>
        <v>1.0000000378227643</v>
      </c>
      <c r="AL78" s="98">
        <f t="shared" si="56"/>
        <v>2.7503731789704159E-4</v>
      </c>
      <c r="AM78" s="98" t="str">
        <f t="shared" si="40"/>
        <v>1+0.660364616922006i</v>
      </c>
      <c r="AN78" s="98">
        <f t="shared" si="57"/>
        <v>1.1983661490890618</v>
      </c>
      <c r="AO78" s="98">
        <f t="shared" si="58"/>
        <v>0.5836269466736439</v>
      </c>
      <c r="AP78" s="168" t="str">
        <f t="shared" si="59"/>
        <v>-0.251344050948996+0.380841796419457i</v>
      </c>
      <c r="AQ78" s="98">
        <f t="shared" si="60"/>
        <v>-6.814894345893431</v>
      </c>
      <c r="AR78" s="169">
        <f t="shared" si="61"/>
        <v>123.42360237698247</v>
      </c>
      <c r="AS78" s="168" t="str">
        <f t="shared" si="62"/>
        <v>41.6726888694617+36.8090785443581i</v>
      </c>
      <c r="AT78" s="190">
        <f t="shared" si="63"/>
        <v>34.901722375591135</v>
      </c>
      <c r="AU78" s="169">
        <f t="shared" si="64"/>
        <v>41.453845990881987</v>
      </c>
      <c r="AV78" s="225"/>
      <c r="AX78">
        <f t="shared" si="65"/>
        <v>0</v>
      </c>
      <c r="AY78">
        <f t="shared" si="66"/>
        <v>0</v>
      </c>
    </row>
    <row r="79" spans="1:51" x14ac:dyDescent="0.2">
      <c r="N79" s="170">
        <v>61</v>
      </c>
      <c r="O79" s="199">
        <f t="shared" si="41"/>
        <v>40.738027780411279</v>
      </c>
      <c r="P79" s="189" t="str">
        <f t="shared" si="32"/>
        <v>1757.57575757576</v>
      </c>
      <c r="Q79" s="160" t="str">
        <f t="shared" si="33"/>
        <v>1+14.7606239745501i</v>
      </c>
      <c r="R79" s="160">
        <f t="shared" si="42"/>
        <v>14.794459101909174</v>
      </c>
      <c r="S79" s="160">
        <f t="shared" si="43"/>
        <v>1.5031518776800452</v>
      </c>
      <c r="T79" s="160" t="str">
        <f t="shared" si="34"/>
        <v>1+0.0716700817261391i</v>
      </c>
      <c r="U79" s="160">
        <f t="shared" si="44"/>
        <v>1.0025650106674535</v>
      </c>
      <c r="V79" s="160">
        <f t="shared" si="45"/>
        <v>7.1547745013666966E-2</v>
      </c>
      <c r="W79" s="98" t="str">
        <f t="shared" si="35"/>
        <v>1-0.000046126949920469i</v>
      </c>
      <c r="X79" s="160">
        <f t="shared" si="46"/>
        <v>1.0000000010638477</v>
      </c>
      <c r="Y79" s="160">
        <f t="shared" si="47"/>
        <v>-4.6126949887754295E-5</v>
      </c>
      <c r="Z79" s="98" t="str">
        <f t="shared" si="36"/>
        <v>0.999999336165237-0.00108434557813155i</v>
      </c>
      <c r="AA79" s="160">
        <f t="shared" si="48"/>
        <v>0.99999992406812077</v>
      </c>
      <c r="AB79" s="160">
        <f t="shared" si="49"/>
        <v>-1.0843458729646669E-3</v>
      </c>
      <c r="AC79" s="171" t="str">
        <f t="shared" si="50"/>
        <v>16.6473629949199-117.93517711783i</v>
      </c>
      <c r="AD79" s="190">
        <f t="shared" si="51"/>
        <v>41.518550785196958</v>
      </c>
      <c r="AE79" s="169">
        <f t="shared" si="52"/>
        <v>-81.965389172767317</v>
      </c>
      <c r="AF79" s="98" t="str">
        <f t="shared" si="37"/>
        <v>-0.0000114342530449913</v>
      </c>
      <c r="AG79" s="98" t="str">
        <f t="shared" si="38"/>
        <v>0.0000307285475400822i</v>
      </c>
      <c r="AH79" s="98">
        <f t="shared" si="53"/>
        <v>3.0728547540082198E-5</v>
      </c>
      <c r="AI79" s="98">
        <f t="shared" si="54"/>
        <v>1.5707963267948966</v>
      </c>
      <c r="AJ79" s="98" t="str">
        <f t="shared" si="39"/>
        <v>1+0.000281443767116391i</v>
      </c>
      <c r="AK79" s="98">
        <f t="shared" si="55"/>
        <v>1.0000000396052962</v>
      </c>
      <c r="AL79" s="98">
        <f t="shared" si="56"/>
        <v>2.8144375968528206E-4</v>
      </c>
      <c r="AM79" s="98" t="str">
        <f t="shared" si="40"/>
        <v>1+0.675746484846454i</v>
      </c>
      <c r="AN79" s="98">
        <f t="shared" si="57"/>
        <v>1.2069106478038625</v>
      </c>
      <c r="AO79" s="98">
        <f t="shared" si="58"/>
        <v>0.59426231692512466</v>
      </c>
      <c r="AP79" s="168" t="str">
        <f t="shared" si="59"/>
        <v>-0.251344050052938+0.372175962545719i</v>
      </c>
      <c r="AQ79" s="98">
        <f t="shared" si="60"/>
        <v>-6.9531826405962116</v>
      </c>
      <c r="AR79" s="169">
        <f t="shared" si="61"/>
        <v>124.03259714387512</v>
      </c>
      <c r="AS79" s="168" t="str">
        <f t="shared" si="62"/>
        <v>39.7084224239837+35.8380534069883i</v>
      </c>
      <c r="AT79" s="190">
        <f t="shared" si="63"/>
        <v>34.565368144600761</v>
      </c>
      <c r="AU79" s="169">
        <f t="shared" si="64"/>
        <v>42.06720797110782</v>
      </c>
      <c r="AV79" s="225"/>
      <c r="AX79">
        <f t="shared" si="65"/>
        <v>0</v>
      </c>
      <c r="AY79">
        <f t="shared" si="66"/>
        <v>0</v>
      </c>
    </row>
    <row r="80" spans="1:51" x14ac:dyDescent="0.2">
      <c r="N80" s="170">
        <v>62</v>
      </c>
      <c r="O80" s="199">
        <f t="shared" si="41"/>
        <v>41.686938347033561</v>
      </c>
      <c r="P80" s="189" t="str">
        <f t="shared" si="32"/>
        <v>1757.57575757576</v>
      </c>
      <c r="Q80" s="160" t="str">
        <f t="shared" si="33"/>
        <v>1+15.1044430748485i</v>
      </c>
      <c r="R80" s="160">
        <f t="shared" si="42"/>
        <v>15.137509722584451</v>
      </c>
      <c r="S80" s="160">
        <f t="shared" si="43"/>
        <v>1.5046871189745903</v>
      </c>
      <c r="T80" s="160" t="str">
        <f t="shared" si="34"/>
        <v>1+0.0733394923865473i</v>
      </c>
      <c r="U80" s="160">
        <f t="shared" si="44"/>
        <v>1.0026857339882305</v>
      </c>
      <c r="V80" s="160">
        <f t="shared" si="45"/>
        <v>7.3208425193509383E-2</v>
      </c>
      <c r="W80" s="98" t="str">
        <f t="shared" si="35"/>
        <v>1-0.0000472013846089013i</v>
      </c>
      <c r="X80" s="160">
        <f t="shared" si="46"/>
        <v>1.0000000011139853</v>
      </c>
      <c r="Y80" s="160">
        <f t="shared" si="47"/>
        <v>-4.7201384573846866E-5</v>
      </c>
      <c r="Z80" s="98" t="str">
        <f t="shared" si="36"/>
        <v>0.999999304879668-0.00110960323131264i</v>
      </c>
      <c r="AA80" s="160">
        <f t="shared" si="48"/>
        <v>0.99999992048957198</v>
      </c>
      <c r="AB80" s="160">
        <f t="shared" si="49"/>
        <v>-1.1096035472320134E-3</v>
      </c>
      <c r="AC80" s="171" t="str">
        <f t="shared" si="50"/>
        <v>16.2893025708301-115.273939785391i</v>
      </c>
      <c r="AD80" s="190">
        <f t="shared" si="51"/>
        <v>41.3204897907708</v>
      </c>
      <c r="AE80" s="169">
        <f t="shared" si="52"/>
        <v>-81.956816456490017</v>
      </c>
      <c r="AF80" s="98" t="str">
        <f t="shared" si="37"/>
        <v>-0.0000114342530449913</v>
      </c>
      <c r="AG80" s="98" t="str">
        <f t="shared" si="38"/>
        <v>0.0000314443073607321i</v>
      </c>
      <c r="AH80" s="98">
        <f t="shared" si="53"/>
        <v>3.14443073607321E-5</v>
      </c>
      <c r="AI80" s="98">
        <f t="shared" si="54"/>
        <v>1.5707963267948966</v>
      </c>
      <c r="AJ80" s="98" t="str">
        <f t="shared" si="39"/>
        <v>1+0.0002879994346113i</v>
      </c>
      <c r="AK80" s="98">
        <f t="shared" si="55"/>
        <v>1.0000000414718364</v>
      </c>
      <c r="AL80" s="98">
        <f t="shared" si="56"/>
        <v>2.8799942664872329E-4</v>
      </c>
      <c r="AM80" s="98" t="str">
        <f t="shared" si="40"/>
        <v>1+0.691486642501731i</v>
      </c>
      <c r="AN80" s="98">
        <f t="shared" si="57"/>
        <v>1.2157934761949978</v>
      </c>
      <c r="AO80" s="98">
        <f t="shared" si="58"/>
        <v>0.60498942064034167</v>
      </c>
      <c r="AP80" s="168" t="str">
        <f t="shared" si="59"/>
        <v>-0.251344049114652+0.363707461293632i</v>
      </c>
      <c r="AQ80" s="98">
        <f t="shared" si="60"/>
        <v>-7.0894888594069361</v>
      </c>
      <c r="AR80" s="169">
        <f t="shared" si="61"/>
        <v>124.64683930110731</v>
      </c>
      <c r="AS80" s="168" t="str">
        <f t="shared" si="62"/>
        <v>37.8317727272534+34.8979596673392i</v>
      </c>
      <c r="AT80" s="190">
        <f t="shared" si="63"/>
        <v>34.231000931363866</v>
      </c>
      <c r="AU80" s="169">
        <f t="shared" si="64"/>
        <v>42.690022844617317</v>
      </c>
      <c r="AV80" s="225"/>
      <c r="AX80">
        <f t="shared" si="65"/>
        <v>0</v>
      </c>
      <c r="AY80">
        <f t="shared" si="66"/>
        <v>0</v>
      </c>
    </row>
    <row r="81" spans="14:51" x14ac:dyDescent="0.2">
      <c r="N81" s="170">
        <v>63</v>
      </c>
      <c r="O81" s="199">
        <f t="shared" si="41"/>
        <v>42.657951880159267</v>
      </c>
      <c r="P81" s="189" t="str">
        <f t="shared" si="32"/>
        <v>1757.57575757576</v>
      </c>
      <c r="Q81" s="160" t="str">
        <f t="shared" si="33"/>
        <v>1+15.456270750796i</v>
      </c>
      <c r="R81" s="160">
        <f t="shared" si="42"/>
        <v>15.488586298365384</v>
      </c>
      <c r="S81" s="160">
        <f t="shared" si="43"/>
        <v>1.5061877155381271</v>
      </c>
      <c r="T81" s="160" t="str">
        <f t="shared" si="34"/>
        <v>1+0.0750477886165815i</v>
      </c>
      <c r="U81" s="160">
        <f t="shared" si="44"/>
        <v>1.0028121312470442</v>
      </c>
      <c r="V81" s="160">
        <f t="shared" si="45"/>
        <v>7.4907368850578235E-2</v>
      </c>
      <c r="W81" s="98" t="str">
        <f t="shared" si="35"/>
        <v>1-0.0000483008460962373i</v>
      </c>
      <c r="X81" s="160">
        <f t="shared" si="46"/>
        <v>1.0000000011664858</v>
      </c>
      <c r="Y81" s="160">
        <f t="shared" si="47"/>
        <v>-4.8300846058675798E-5</v>
      </c>
      <c r="Z81" s="98" t="str">
        <f t="shared" si="36"/>
        <v>0.999999272119657-0.00113544921081431i</v>
      </c>
      <c r="AA81" s="160">
        <f t="shared" si="48"/>
        <v>0.99999991674237354</v>
      </c>
      <c r="AB81" s="160">
        <f t="shared" si="49"/>
        <v>-1.1354495493280125E-3</v>
      </c>
      <c r="AC81" s="171" t="str">
        <f t="shared" si="50"/>
        <v>15.9472199847698-112.671696695612i</v>
      </c>
      <c r="AD81" s="190">
        <f t="shared" si="51"/>
        <v>41.122437791060804</v>
      </c>
      <c r="AE81" s="169">
        <f t="shared" si="52"/>
        <v>-81.94403413281735</v>
      </c>
      <c r="AF81" s="98" t="str">
        <f t="shared" si="37"/>
        <v>-0.0000114342530449913</v>
      </c>
      <c r="AG81" s="98" t="str">
        <f t="shared" si="38"/>
        <v>0.0000321767393693593i</v>
      </c>
      <c r="AH81" s="98">
        <f t="shared" si="53"/>
        <v>3.2176739369359301E-5</v>
      </c>
      <c r="AI81" s="98">
        <f t="shared" si="54"/>
        <v>1.5707963267948966</v>
      </c>
      <c r="AJ81" s="98" t="str">
        <f t="shared" si="39"/>
        <v>1+0.000294707803218562i</v>
      </c>
      <c r="AK81" s="98">
        <f t="shared" si="55"/>
        <v>1.0000000434263436</v>
      </c>
      <c r="AL81" s="98">
        <f t="shared" si="56"/>
        <v>2.9470779468650736E-4</v>
      </c>
      <c r="AM81" s="98" t="str">
        <f t="shared" si="40"/>
        <v>1+0.707593435527768i</v>
      </c>
      <c r="AN81" s="98">
        <f t="shared" si="57"/>
        <v>1.2250259058493373</v>
      </c>
      <c r="AO81" s="98">
        <f t="shared" si="58"/>
        <v>0.61580407047430552</v>
      </c>
      <c r="AP81" s="168" t="str">
        <f t="shared" si="59"/>
        <v>-0.251344048132144+0.355431802551734i</v>
      </c>
      <c r="AQ81" s="98">
        <f t="shared" si="60"/>
        <v>-7.2237795919459717</v>
      </c>
      <c r="AR81" s="169">
        <f t="shared" si="61"/>
        <v>125.26608873232928</v>
      </c>
      <c r="AS81" s="168" t="str">
        <f t="shared" si="62"/>
        <v>36.0388654256578+33.987509502268i</v>
      </c>
      <c r="AT81" s="190">
        <f t="shared" si="63"/>
        <v>33.898658199114841</v>
      </c>
      <c r="AU81" s="169">
        <f t="shared" si="64"/>
        <v>43.322054599511901</v>
      </c>
      <c r="AV81" s="225"/>
      <c r="AX81">
        <f t="shared" si="65"/>
        <v>0</v>
      </c>
      <c r="AY81">
        <f t="shared" si="66"/>
        <v>0</v>
      </c>
    </row>
    <row r="82" spans="14:51" x14ac:dyDescent="0.2">
      <c r="N82" s="170">
        <v>64</v>
      </c>
      <c r="O82" s="199">
        <f t="shared" si="41"/>
        <v>43.651583224016633</v>
      </c>
      <c r="P82" s="189" t="str">
        <f t="shared" si="32"/>
        <v>1757.57575757576</v>
      </c>
      <c r="Q82" s="160" t="str">
        <f t="shared" si="33"/>
        <v>1+15.8162935460835i</v>
      </c>
      <c r="R82" s="160">
        <f t="shared" si="42"/>
        <v>15.84787498486414</v>
      </c>
      <c r="S82" s="160">
        <f t="shared" si="43"/>
        <v>1.5076544359593644</v>
      </c>
      <c r="T82" s="160" t="str">
        <f t="shared" si="34"/>
        <v>1+0.0767958761775151i</v>
      </c>
      <c r="U82" s="160">
        <f t="shared" si="44"/>
        <v>1.0029444683519981</v>
      </c>
      <c r="V82" s="160">
        <f t="shared" si="45"/>
        <v>7.6645437534539881E-2</v>
      </c>
      <c r="W82" s="98" t="str">
        <f t="shared" si="35"/>
        <v>1-0.0000494259173315108i</v>
      </c>
      <c r="X82" s="160">
        <f t="shared" si="46"/>
        <v>1.0000000012214605</v>
      </c>
      <c r="Y82" s="160">
        <f t="shared" si="47"/>
        <v>-4.9425917291262928E-5</v>
      </c>
      <c r="Z82" s="98" t="str">
        <f t="shared" si="36"/>
        <v>0.999999237815713-0.00116189722051699i</v>
      </c>
      <c r="AA82" s="160">
        <f t="shared" si="48"/>
        <v>0.99999991281857525</v>
      </c>
      <c r="AB82" s="160">
        <f t="shared" si="49"/>
        <v>-1.1618975832409532E-3</v>
      </c>
      <c r="AC82" s="171" t="str">
        <f t="shared" si="50"/>
        <v>15.6204081409367-110.127208804347i</v>
      </c>
      <c r="AD82" s="190">
        <f t="shared" si="51"/>
        <v>40.924398856892907</v>
      </c>
      <c r="AE82" s="169">
        <f t="shared" si="52"/>
        <v>-81.927036123698727</v>
      </c>
      <c r="AF82" s="98" t="str">
        <f t="shared" si="37"/>
        <v>-0.0000114342530449913</v>
      </c>
      <c r="AG82" s="98" t="str">
        <f t="shared" si="38"/>
        <v>0.0000329262319111096i</v>
      </c>
      <c r="AH82" s="98">
        <f t="shared" si="53"/>
        <v>3.2926231911109602E-5</v>
      </c>
      <c r="AI82" s="98">
        <f t="shared" si="54"/>
        <v>1.5707963267948966</v>
      </c>
      <c r="AJ82" s="98" t="str">
        <f t="shared" si="39"/>
        <v>1+0.00030157242980401i</v>
      </c>
      <c r="AK82" s="98">
        <f t="shared" si="55"/>
        <v>1.0000000454729641</v>
      </c>
      <c r="AL82" s="98">
        <f t="shared" si="56"/>
        <v>3.0157242066174877E-4</v>
      </c>
      <c r="AM82" s="98" t="str">
        <f t="shared" si="40"/>
        <v>1+0.724075403959427i</v>
      </c>
      <c r="AN82" s="98">
        <f t="shared" si="57"/>
        <v>1.2346194517417128</v>
      </c>
      <c r="AO82" s="98">
        <f t="shared" si="58"/>
        <v>0.62670188184125875</v>
      </c>
      <c r="AP82" s="168" t="str">
        <f t="shared" si="59"/>
        <v>-0.251344047103332+0.347344598456217i</v>
      </c>
      <c r="AQ82" s="98">
        <f t="shared" si="60"/>
        <v>-7.3560227657022388</v>
      </c>
      <c r="AR82" s="169">
        <f t="shared" si="61"/>
        <v>125.89009401548914</v>
      </c>
      <c r="AS82" s="168" t="str">
        <f t="shared" si="62"/>
        <v>34.325994521701+33.1054827505142i</v>
      </c>
      <c r="AT82" s="190">
        <f t="shared" si="63"/>
        <v>33.568376091190672</v>
      </c>
      <c r="AU82" s="169">
        <f t="shared" si="64"/>
        <v>43.963057891790491</v>
      </c>
      <c r="AV82" s="225"/>
      <c r="AX82">
        <f t="shared" si="65"/>
        <v>0</v>
      </c>
      <c r="AY82">
        <f t="shared" si="66"/>
        <v>0</v>
      </c>
    </row>
    <row r="83" spans="14:51" x14ac:dyDescent="0.2">
      <c r="N83" s="170">
        <v>65</v>
      </c>
      <c r="O83" s="199">
        <f t="shared" si="41"/>
        <v>44.668359215096324</v>
      </c>
      <c r="P83" s="189" t="str">
        <f t="shared" ref="P83:P146" si="67">COMPLEX(Adc,0)</f>
        <v>1757.57575757576</v>
      </c>
      <c r="Q83" s="160" t="str">
        <f t="shared" ref="Q83:Q146" si="68">IMSUM(COMPLEX(1,0),IMDIV(COMPLEX(0,2*PI()*O83),COMPLEX(wp_lf,0)))</f>
        <v>1+16.1847023495626i</v>
      </c>
      <c r="R83" s="160">
        <f t="shared" si="42"/>
        <v>16.215566291188757</v>
      </c>
      <c r="S83" s="160">
        <f t="shared" si="43"/>
        <v>1.5090880326561751</v>
      </c>
      <c r="T83" s="160" t="str">
        <f t="shared" ref="T83:T146" si="69">IMSUM(COMPLEX(1,0),IMDIV(COMPLEX(0,2*PI()*O83),COMPLEX(wz_esr,0)))</f>
        <v>1+0.0785846819285117i</v>
      </c>
      <c r="U83" s="160">
        <f t="shared" si="44"/>
        <v>1.0030830235996446</v>
      </c>
      <c r="V83" s="160">
        <f t="shared" si="45"/>
        <v>7.8423510764906668E-2</v>
      </c>
      <c r="W83" s="98" t="str">
        <f t="shared" ref="W83:W146" si="70">IMSUB(COMPLEX(1,0),IMDIV(COMPLEX(0,2*PI()*O83),COMPLEX(wz_rhp,0)))</f>
        <v>1-0.0000505771948423829i</v>
      </c>
      <c r="X83" s="160">
        <f t="shared" si="46"/>
        <v>1.0000000012790262</v>
      </c>
      <c r="Y83" s="160">
        <f t="shared" si="47"/>
        <v>-5.0577194799256519E-5</v>
      </c>
      <c r="Z83" s="98" t="str">
        <f t="shared" ref="Z83:Z146" si="71">IF(Dc_Mode_Loop="CCM",IMSUM(COMPLEX(1,0),IMDIV(COMPLEX(0,2*PI()*O83),COMPLEX(Q*(wsl/2),0)),IMDIV(IMPOWER(COMPLEX(0,2*PI()*O83),2),IMPOWER(COMPLEX(wsl/2,0),2))),COMPLEX(1,0))</f>
        <v>0.999999201895074-0.00118896128350552i</v>
      </c>
      <c r="AA83" s="160">
        <f t="shared" si="48"/>
        <v>0.99999990870985522</v>
      </c>
      <c r="AB83" s="160">
        <f t="shared" si="49"/>
        <v>-1.1889616721712445E-3</v>
      </c>
      <c r="AC83" s="171" t="str">
        <f t="shared" si="50"/>
        <v>15.3081907193685-107.639258425375i</v>
      </c>
      <c r="AD83" s="190">
        <f t="shared" si="51"/>
        <v>40.726377085188545</v>
      </c>
      <c r="AE83" s="169">
        <f t="shared" si="52"/>
        <v>-81.90581437745486</v>
      </c>
      <c r="AF83" s="98" t="str">
        <f t="shared" ref="AF83:AF146" si="72">COMPLEX(Adc_ea,0)</f>
        <v>-0.0000114342530449913</v>
      </c>
      <c r="AG83" s="98" t="str">
        <f t="shared" ref="AG83:AG146" si="73">COMPLEX(0,2*PI()*O83*wp0_ea)</f>
        <v>0.0000336931823768494i</v>
      </c>
      <c r="AH83" s="98">
        <f t="shared" si="53"/>
        <v>3.3693182376849399E-5</v>
      </c>
      <c r="AI83" s="98">
        <f t="shared" si="54"/>
        <v>1.5707963267948966</v>
      </c>
      <c r="AJ83" s="98" t="str">
        <f t="shared" ref="AJ83:AJ146" si="74">IMSUM(COMPLEX(1,0),IMDIV(COMPLEX(0,2*PI()*O83),COMPLEX(wp1_ea,0)))</f>
        <v>1+0.000308596954083523i</v>
      </c>
      <c r="AK83" s="98">
        <f t="shared" si="55"/>
        <v>1.0000000476160389</v>
      </c>
      <c r="AL83" s="98">
        <f t="shared" si="56"/>
        <v>3.0859694428741363E-4</v>
      </c>
      <c r="AM83" s="98" t="str">
        <f t="shared" ref="AM83:AM146" si="75">IMSUM(COMPLEX(1,0),IMDIV(COMPLEX(0,2*PI()*O83),COMPLEX(wz_ea,0)))</f>
        <v>1+0.740941286754538i</v>
      </c>
      <c r="AN83" s="98">
        <f t="shared" si="57"/>
        <v>1.2445858710500737</v>
      </c>
      <c r="AO83" s="98">
        <f t="shared" si="58"/>
        <v>0.63767827911399722</v>
      </c>
      <c r="AP83" s="168" t="str">
        <f t="shared" si="59"/>
        <v>-0.251344046026033+0.339441561064423i</v>
      </c>
      <c r="AQ83" s="98">
        <f t="shared" si="60"/>
        <v>-7.4861877579642435</v>
      </c>
      <c r="AR83" s="169">
        <f t="shared" si="61"/>
        <v>126.51859277791897</v>
      </c>
      <c r="AS83" s="168" t="str">
        <f t="shared" si="62"/>
        <v>32.6896153189819+32.2507228787299i</v>
      </c>
      <c r="AT83" s="190">
        <f t="shared" si="63"/>
        <v>33.240189327224307</v>
      </c>
      <c r="AU83" s="169">
        <f t="shared" si="64"/>
        <v>44.61277840046413</v>
      </c>
      <c r="AV83" s="225"/>
      <c r="AX83">
        <f t="shared" si="65"/>
        <v>0</v>
      </c>
      <c r="AY83">
        <f t="shared" si="66"/>
        <v>0</v>
      </c>
    </row>
    <row r="84" spans="14:51" x14ac:dyDescent="0.2">
      <c r="N84" s="170">
        <v>66</v>
      </c>
      <c r="O84" s="199">
        <f t="shared" ref="O84:O118" si="76">10^(1+(N84/100))</f>
        <v>45.70881896148753</v>
      </c>
      <c r="P84" s="189" t="str">
        <f t="shared" si="67"/>
        <v>1757.57575757576</v>
      </c>
      <c r="Q84" s="160" t="str">
        <f t="shared" si="68"/>
        <v>1+16.5616924964572i</v>
      </c>
      <c r="R84" s="160">
        <f t="shared" ref="R84:R147" si="77">IMABS(Q84)</f>
        <v>16.5918551809979</v>
      </c>
      <c r="S84" s="160">
        <f t="shared" ref="S84:S147" si="78">IMARGUMENT(Q84)</f>
        <v>1.5104892421565863</v>
      </c>
      <c r="T84" s="160" t="str">
        <f t="shared" si="69"/>
        <v>1+0.080415154318058i</v>
      </c>
      <c r="U84" s="160">
        <f t="shared" ref="U84:U147" si="79">IMABS(T84)</f>
        <v>1.0032280882451392</v>
      </c>
      <c r="V84" s="160">
        <f t="shared" ref="V84:V147" si="80">IMARGUMENT(T84)</f>
        <v>8.0242486302856145E-2</v>
      </c>
      <c r="W84" s="98" t="str">
        <f t="shared" si="70"/>
        <v>1-0.0000517552890514287i</v>
      </c>
      <c r="X84" s="160">
        <f t="shared" ref="X84:X147" si="81">IMABS(W84)</f>
        <v>1.0000000013393049</v>
      </c>
      <c r="Y84" s="160">
        <f t="shared" ref="Y84:Y147" si="82">IMARGUMENT(W84)</f>
        <v>-5.1755289005217959E-5</v>
      </c>
      <c r="Z84" s="98" t="str">
        <f t="shared" si="71"/>
        <v>0.999999164281548-0.00121665574950433i</v>
      </c>
      <c r="AA84" s="160">
        <f t="shared" ref="AA84:AA147" si="83">IMABS(Z84)</f>
        <v>0.99999990440749909</v>
      </c>
      <c r="AB84" s="160">
        <f t="shared" ref="AB84:AB147" si="84">IMARGUMENT(Z84)</f>
        <v>-1.216656165967151E-3</v>
      </c>
      <c r="AC84" s="171" t="str">
        <f t="shared" ref="AC84:AC147" si="85">(IMDIV(IMPRODUCT(P84,T84,W84),IMPRODUCT(Q84,Z84)))</f>
        <v>15.0099208818554-105.206649189514i</v>
      </c>
      <c r="AD84" s="190">
        <f t="shared" ref="AD84:AD147" si="86">20*LOG(IMABS(AC84))</f>
        <v>40.52837660713152</v>
      </c>
      <c r="AE84" s="169">
        <f t="shared" ref="AE84:AE147" si="87">(180/PI())*IMARGUMENT(AC84)</f>
        <v>-81.880358868895556</v>
      </c>
      <c r="AF84" s="98" t="str">
        <f t="shared" si="72"/>
        <v>-0.0000114342530449913</v>
      </c>
      <c r="AG84" s="98" t="str">
        <f t="shared" si="73"/>
        <v>0.0000344779974138674i</v>
      </c>
      <c r="AH84" s="98">
        <f t="shared" ref="AH84:AH147" si="88">IMABS(AG84)</f>
        <v>3.4477997413867402E-5</v>
      </c>
      <c r="AI84" s="98">
        <f t="shared" ref="AI84:AI147" si="89">IMARGUMENT(AG84)</f>
        <v>1.5707963267948966</v>
      </c>
      <c r="AJ84" s="98" t="str">
        <f t="shared" si="74"/>
        <v>1+0.000315785100552855i</v>
      </c>
      <c r="AK84" s="98">
        <f t="shared" ref="AK84:AK147" si="90">IMABS(AJ84)</f>
        <v>1.0000000498601136</v>
      </c>
      <c r="AL84" s="98">
        <f t="shared" ref="AL84:AL147" si="91">IMARGUMENT(AJ84)</f>
        <v>3.1578509005613471E-4</v>
      </c>
      <c r="AM84" s="98" t="str">
        <f t="shared" si="75"/>
        <v>1+0.758200026427404i</v>
      </c>
      <c r="AN84" s="98">
        <f t="shared" ref="AN84:AN147" si="92">IMABS(AM84)</f>
        <v>1.2549371618031384</v>
      </c>
      <c r="AO84" s="98">
        <f t="shared" ref="AO84:AO147" si="93">IMARGUMENT(AM84)</f>
        <v>0.6487285028157318</v>
      </c>
      <c r="AP84" s="168" t="str">
        <f t="shared" ref="AP84:AP147" si="94">IMPRODUCT(AF84,IMDIV(AM84,IMPRODUCT(AG84,AJ84)))</f>
        <v>-0.251344044897964+0.331718500081313i</v>
      </c>
      <c r="AQ84" s="98">
        <f t="shared" ref="AQ84:AQ147" si="95">20*LOG(IMABS(AP84))</f>
        <v>-7.6142455053383653</v>
      </c>
      <c r="AR84" s="169">
        <f t="shared" ref="AR84:AR147" si="96">(180/PI())*IMARGUMENT(AP84)</f>
        <v>127.15131210828881</v>
      </c>
      <c r="AS84" s="168" t="str">
        <f t="shared" ref="AS84:AS147" si="97">IMPRODUCT(AC84,AP84)</f>
        <v>31.1263376396825+31.4221331987218i</v>
      </c>
      <c r="AT84" s="190">
        <f t="shared" ref="AT84:AT147" si="98">20*LOG(IMABS(AS84))</f>
        <v>32.914131101793153</v>
      </c>
      <c r="AU84" s="169">
        <f t="shared" ref="AU84:AU147" si="99">(180/PI())*IMARGUMENT(AS84)</f>
        <v>45.270953239393265</v>
      </c>
      <c r="AV84" s="225"/>
      <c r="AX84">
        <f t="shared" ref="AX84:AX147" si="100">SUM((AT85&lt;0)*(AT84&gt;0))*O84</f>
        <v>0</v>
      </c>
      <c r="AY84">
        <f t="shared" ref="AY84:AY147" si="101">IF(AX84&gt;0,AU84,0)</f>
        <v>0</v>
      </c>
    </row>
    <row r="85" spans="14:51" x14ac:dyDescent="0.2">
      <c r="N85" s="170">
        <v>67</v>
      </c>
      <c r="O85" s="199">
        <f t="shared" si="76"/>
        <v>46.773514128719818</v>
      </c>
      <c r="P85" s="189" t="str">
        <f t="shared" si="67"/>
        <v>1757.57575757576</v>
      </c>
      <c r="Q85" s="160" t="str">
        <f t="shared" si="68"/>
        <v>1+16.9474638719334i</v>
      </c>
      <c r="R85" s="160">
        <f t="shared" si="77"/>
        <v>16.976941175915286</v>
      </c>
      <c r="S85" s="160">
        <f t="shared" si="78"/>
        <v>1.5118587853790511</v>
      </c>
      <c r="T85" s="160" t="str">
        <f t="shared" si="69"/>
        <v>1+0.0822882638868442i</v>
      </c>
      <c r="U85" s="160">
        <f t="shared" si="79"/>
        <v>1.0033799670979637</v>
      </c>
      <c r="V85" s="160">
        <f t="shared" si="80"/>
        <v>8.2103280419284594E-2</v>
      </c>
      <c r="W85" s="98" t="str">
        <f t="shared" si="70"/>
        <v>1-0.0000529608245997918i</v>
      </c>
      <c r="X85" s="160">
        <f t="shared" si="81"/>
        <v>1.0000000014024244</v>
      </c>
      <c r="Y85" s="160">
        <f t="shared" si="82"/>
        <v>-5.2960824550276094E-5</v>
      </c>
      <c r="Z85" s="98" t="str">
        <f t="shared" si="71"/>
        <v>0.99999912489535-0.00124499530248587i</v>
      </c>
      <c r="AA85" s="160">
        <f t="shared" si="83"/>
        <v>0.99999989990237936</v>
      </c>
      <c r="AB85" s="160">
        <f t="shared" si="84"/>
        <v>-1.2449957487338174E-3</v>
      </c>
      <c r="AC85" s="171" t="str">
        <f t="shared" si="85"/>
        <v>14.7249800282387-102.828205976133i</v>
      </c>
      <c r="AD85" s="190">
        <f t="shared" si="86"/>
        <v>40.330401596389621</v>
      </c>
      <c r="AE85" s="169">
        <f t="shared" si="87"/>
        <v>-81.850657599602542</v>
      </c>
      <c r="AF85" s="98" t="str">
        <f t="shared" si="72"/>
        <v>-0.0000114342530449913</v>
      </c>
      <c r="AG85" s="98" t="str">
        <f t="shared" si="73"/>
        <v>0.0000352810931414844i</v>
      </c>
      <c r="AH85" s="98">
        <f t="shared" si="88"/>
        <v>3.5281093141484403E-5</v>
      </c>
      <c r="AI85" s="98">
        <f t="shared" si="89"/>
        <v>1.5707963267948966</v>
      </c>
      <c r="AJ85" s="98" t="str">
        <f t="shared" si="74"/>
        <v>1+0.000323140680462409i</v>
      </c>
      <c r="AK85" s="98">
        <f t="shared" si="90"/>
        <v>1.0000000522099484</v>
      </c>
      <c r="AL85" s="98">
        <f t="shared" si="91"/>
        <v>3.2314066921497057E-4</v>
      </c>
      <c r="AM85" s="98" t="str">
        <f t="shared" si="75"/>
        <v>1+0.775860773790244i</v>
      </c>
      <c r="AN85" s="98">
        <f t="shared" si="92"/>
        <v>1.2656855613881342</v>
      </c>
      <c r="AO85" s="98">
        <f t="shared" si="93"/>
        <v>0.65984761779525913</v>
      </c>
      <c r="AP85" s="168" t="str">
        <f t="shared" si="94"/>
        <v>-0.251344043716731+0.324171320637727i</v>
      </c>
      <c r="AQ85" s="98">
        <f t="shared" si="95"/>
        <v>-7.7401686100818274</v>
      </c>
      <c r="AR85" s="169">
        <f t="shared" si="96"/>
        <v>127.78796902489481</v>
      </c>
      <c r="AS85" s="168" t="str">
        <f t="shared" si="97"/>
        <v>29.6329193061456+30.6186733202965i</v>
      </c>
      <c r="AT85" s="190">
        <f t="shared" si="98"/>
        <v>32.59023298630779</v>
      </c>
      <c r="AU85" s="169">
        <f t="shared" si="99"/>
        <v>45.937311425292322</v>
      </c>
      <c r="AV85" s="225"/>
      <c r="AX85">
        <f t="shared" si="100"/>
        <v>0</v>
      </c>
      <c r="AY85">
        <f t="shared" si="101"/>
        <v>0</v>
      </c>
    </row>
    <row r="86" spans="14:51" x14ac:dyDescent="0.2">
      <c r="N86" s="170">
        <v>68</v>
      </c>
      <c r="O86" s="199">
        <f t="shared" si="76"/>
        <v>47.863009232263877</v>
      </c>
      <c r="P86" s="189" t="str">
        <f t="shared" si="67"/>
        <v>1757.57575757576</v>
      </c>
      <c r="Q86" s="160" t="str">
        <f t="shared" si="68"/>
        <v>1+17.3422210170807i</v>
      </c>
      <c r="R86" s="160">
        <f t="shared" si="77"/>
        <v>17.371028461357014</v>
      </c>
      <c r="S86" s="160">
        <f t="shared" si="78"/>
        <v>1.5131973679116453</v>
      </c>
      <c r="T86" s="160" t="str">
        <f t="shared" si="69"/>
        <v>1+0.0842050037823571i</v>
      </c>
      <c r="U86" s="160">
        <f t="shared" si="79"/>
        <v>1.0035389791443015</v>
      </c>
      <c r="V86" s="160">
        <f t="shared" si="80"/>
        <v>8.4006828158331603E-2</v>
      </c>
      <c r="W86" s="98" t="str">
        <f t="shared" si="70"/>
        <v>1-0.0000541944406783771i</v>
      </c>
      <c r="X86" s="160">
        <f t="shared" si="81"/>
        <v>1.0000000014685186</v>
      </c>
      <c r="Y86" s="160">
        <f t="shared" si="82"/>
        <v>-5.4194440625320068E-5</v>
      </c>
      <c r="Z86" s="98" t="str">
        <f t="shared" si="71"/>
        <v>0.999999083652939-0.00127399496845625i</v>
      </c>
      <c r="AA86" s="160">
        <f t="shared" si="83"/>
        <v>0.99999989518494303</v>
      </c>
      <c r="AB86" s="160">
        <f t="shared" si="84"/>
        <v>-1.273995446619533E-3</v>
      </c>
      <c r="AC86" s="171" t="str">
        <f t="shared" si="85"/>
        <v>14.4527766015021-100.502774819467i</v>
      </c>
      <c r="AD86" s="190">
        <f t="shared" si="86"/>
        <v>40.132456277404131</v>
      </c>
      <c r="AE86" s="169">
        <f t="shared" si="87"/>
        <v>-81.816696598399673</v>
      </c>
      <c r="AF86" s="98" t="str">
        <f t="shared" si="72"/>
        <v>-0.0000114342530449913</v>
      </c>
      <c r="AG86" s="98" t="str">
        <f t="shared" si="73"/>
        <v>0.0000361028953716856i</v>
      </c>
      <c r="AH86" s="98">
        <f t="shared" si="88"/>
        <v>3.6102895371685602E-5</v>
      </c>
      <c r="AI86" s="98">
        <f t="shared" si="89"/>
        <v>1.5707963267948966</v>
      </c>
      <c r="AJ86" s="98" t="str">
        <f t="shared" si="74"/>
        <v>1+0.000330667593838018i</v>
      </c>
      <c r="AK86" s="98">
        <f t="shared" si="90"/>
        <v>1.0000000546705272</v>
      </c>
      <c r="AL86" s="98">
        <f t="shared" si="91"/>
        <v>3.3066758178617065E-4</v>
      </c>
      <c r="AM86" s="98" t="str">
        <f t="shared" si="75"/>
        <v>1+0.793932892805081i</v>
      </c>
      <c r="AN86" s="98">
        <f t="shared" si="92"/>
        <v>1.2768435449489668</v>
      </c>
      <c r="AO86" s="98">
        <f t="shared" si="93"/>
        <v>0.67103052236714511</v>
      </c>
      <c r="AP86" s="168" t="str">
        <f t="shared" si="94"/>
        <v>-0.251344042479827+0.316796021119221i</v>
      </c>
      <c r="AQ86" s="98">
        <f t="shared" si="95"/>
        <v>-7.8639314424743754</v>
      </c>
      <c r="AR86" s="169">
        <f t="shared" si="96"/>
        <v>128.42827099923829</v>
      </c>
      <c r="AS86" s="168" t="str">
        <f t="shared" si="97"/>
        <v>28.2062598781688+29.8393558250454i</v>
      </c>
      <c r="AT86" s="190">
        <f t="shared" si="98"/>
        <v>32.26852483492975</v>
      </c>
      <c r="AU86" s="169">
        <f t="shared" si="99"/>
        <v>46.611574400838585</v>
      </c>
      <c r="AV86" s="225"/>
      <c r="AX86">
        <f t="shared" si="100"/>
        <v>0</v>
      </c>
      <c r="AY86">
        <f t="shared" si="101"/>
        <v>0</v>
      </c>
    </row>
    <row r="87" spans="14:51" x14ac:dyDescent="0.2">
      <c r="N87" s="170">
        <v>69</v>
      </c>
      <c r="O87" s="199">
        <f t="shared" si="76"/>
        <v>48.977881936844632</v>
      </c>
      <c r="P87" s="189" t="str">
        <f t="shared" si="67"/>
        <v>1757.57575757576</v>
      </c>
      <c r="Q87" s="160" t="str">
        <f t="shared" si="68"/>
        <v>1+17.7461732373628i</v>
      </c>
      <c r="R87" s="160">
        <f t="shared" si="77"/>
        <v>17.774325994830061</v>
      </c>
      <c r="S87" s="160">
        <f t="shared" si="78"/>
        <v>1.5145056802898835</v>
      </c>
      <c r="T87" s="160" t="str">
        <f t="shared" si="69"/>
        <v>1+0.0861663902854606i</v>
      </c>
      <c r="U87" s="160">
        <f t="shared" si="79"/>
        <v>1.0037054581971876</v>
      </c>
      <c r="V87" s="160">
        <f t="shared" si="80"/>
        <v>8.5954083595554273E-2</v>
      </c>
      <c r="W87" s="98" t="str">
        <f t="shared" si="70"/>
        <v>1-0.0000554567913667584i</v>
      </c>
      <c r="X87" s="160">
        <f t="shared" si="81"/>
        <v>1.0000000015377277</v>
      </c>
      <c r="Y87" s="160">
        <f t="shared" si="82"/>
        <v>-5.5456791309906759E-5</v>
      </c>
      <c r="Z87" s="98" t="str">
        <f t="shared" si="71"/>
        <v>0.999999040466832-0.00130367012342222i</v>
      </c>
      <c r="AA87" s="160">
        <f t="shared" si="83"/>
        <v>0.99999989024518166</v>
      </c>
      <c r="AB87" s="160">
        <f t="shared" si="84"/>
        <v>-1.3036706357834017E-3</v>
      </c>
      <c r="AC87" s="171" t="str">
        <f t="shared" si="85"/>
        <v>14.1927449400713-98.2292227919947i</v>
      </c>
      <c r="AD87" s="190">
        <f t="shared" si="86"/>
        <v>39.934544933761494</v>
      </c>
      <c r="AE87" s="169">
        <f t="shared" si="87"/>
        <v>-81.778459922041847</v>
      </c>
      <c r="AF87" s="98" t="str">
        <f t="shared" si="72"/>
        <v>-0.0000114342530449913</v>
      </c>
      <c r="AG87" s="98" t="str">
        <f t="shared" si="73"/>
        <v>0.0000369438398348912i</v>
      </c>
      <c r="AH87" s="98">
        <f t="shared" si="88"/>
        <v>3.6943839834891201E-5</v>
      </c>
      <c r="AI87" s="98">
        <f t="shared" si="89"/>
        <v>1.5707963267948966</v>
      </c>
      <c r="AJ87" s="98" t="str">
        <f t="shared" si="74"/>
        <v>1+0.000338369831548783i</v>
      </c>
      <c r="AK87" s="98">
        <f t="shared" si="90"/>
        <v>1.0000000572470698</v>
      </c>
      <c r="AL87" s="98">
        <f t="shared" si="91"/>
        <v>3.3836981863499593E-4</v>
      </c>
      <c r="AM87" s="98" t="str">
        <f t="shared" si="75"/>
        <v>1+0.812425965548627i</v>
      </c>
      <c r="AN87" s="98">
        <f t="shared" si="92"/>
        <v>1.2884238237077188</v>
      </c>
      <c r="AO87" s="98">
        <f t="shared" si="93"/>
        <v>0.6822719583893655</v>
      </c>
      <c r="AP87" s="168" t="str">
        <f t="shared" si="94"/>
        <v>-0.251344041184629+0.309588691044365i</v>
      </c>
      <c r="AQ87" s="98">
        <f t="shared" si="95"/>
        <v>-7.9855102384570156</v>
      </c>
      <c r="AR87" s="169">
        <f t="shared" si="96"/>
        <v>129.07191653331353</v>
      </c>
      <c r="AS87" s="168" t="str">
        <f t="shared" si="97"/>
        <v>26.8433946377387+29.0832431472884i</v>
      </c>
      <c r="AT87" s="190">
        <f t="shared" si="98"/>
        <v>31.949034695304469</v>
      </c>
      <c r="AU87" s="169">
        <f t="shared" si="99"/>
        <v>47.293456611271687</v>
      </c>
      <c r="AV87" s="225"/>
      <c r="AX87">
        <f t="shared" si="100"/>
        <v>0</v>
      </c>
      <c r="AY87">
        <f t="shared" si="101"/>
        <v>0</v>
      </c>
    </row>
    <row r="88" spans="14:51" x14ac:dyDescent="0.2">
      <c r="N88" s="170">
        <v>70</v>
      </c>
      <c r="O88" s="199">
        <f t="shared" si="76"/>
        <v>50.118723362727238</v>
      </c>
      <c r="P88" s="189" t="str">
        <f t="shared" si="67"/>
        <v>1757.57575757576</v>
      </c>
      <c r="Q88" s="160" t="str">
        <f t="shared" si="68"/>
        <v>1+18.1595347135935i</v>
      </c>
      <c r="R88" s="160">
        <f t="shared" si="77"/>
        <v>18.187047616757575</v>
      </c>
      <c r="S88" s="160">
        <f t="shared" si="78"/>
        <v>1.5157843982728556</v>
      </c>
      <c r="T88" s="160" t="str">
        <f t="shared" si="69"/>
        <v>1+0.0881734633492401i</v>
      </c>
      <c r="U88" s="160">
        <f t="shared" si="79"/>
        <v>1.0038797535755961</v>
      </c>
      <c r="V88" s="160">
        <f t="shared" si="80"/>
        <v>8.7946020089861937E-2</v>
      </c>
      <c r="W88" s="98" t="str">
        <f t="shared" si="70"/>
        <v>1-0.0000567485459799797i</v>
      </c>
      <c r="X88" s="160">
        <f t="shared" si="81"/>
        <v>1.0000000016101986</v>
      </c>
      <c r="Y88" s="160">
        <f t="shared" si="82"/>
        <v>-5.6748545919062071E-5</v>
      </c>
      <c r="Z88" s="98" t="str">
        <f t="shared" si="71"/>
        <v>0.999998995245427-0.00133403650154375i</v>
      </c>
      <c r="AA88" s="160">
        <f t="shared" si="83"/>
        <v>0.99999988507261905</v>
      </c>
      <c r="AB88" s="160">
        <f t="shared" si="84"/>
        <v>-1.3340370505486388E-3</v>
      </c>
      <c r="AC88" s="171" t="str">
        <f t="shared" si="85"/>
        <v>13.9443441757622-96.0064378669463i</v>
      </c>
      <c r="AD88" s="190">
        <f t="shared" si="86"/>
        <v>39.736671916658047</v>
      </c>
      <c r="AE88" s="169">
        <f t="shared" si="87"/>
        <v>-81.735929656153985</v>
      </c>
      <c r="AF88" s="98" t="str">
        <f t="shared" si="72"/>
        <v>-0.0000114342530449913</v>
      </c>
      <c r="AG88" s="98" t="str">
        <f t="shared" si="73"/>
        <v>0.0000378043724109867i</v>
      </c>
      <c r="AH88" s="98">
        <f t="shared" si="88"/>
        <v>3.7804372410986698E-5</v>
      </c>
      <c r="AI88" s="98">
        <f t="shared" si="89"/>
        <v>1.5707963267948966</v>
      </c>
      <c r="AJ88" s="98" t="str">
        <f t="shared" si="74"/>
        <v>1+0.000346251477423088i</v>
      </c>
      <c r="AK88" s="98">
        <f t="shared" si="90"/>
        <v>1.0000000599450409</v>
      </c>
      <c r="AL88" s="98">
        <f t="shared" si="91"/>
        <v>3.4625146358571588E-4</v>
      </c>
      <c r="AM88" s="98" t="str">
        <f t="shared" si="75"/>
        <v>1+0.831349797292835i</v>
      </c>
      <c r="AN88" s="98">
        <f t="shared" si="92"/>
        <v>1.3004393432447503</v>
      </c>
      <c r="AO88" s="98">
        <f t="shared" si="93"/>
        <v>0.69356652224157134</v>
      </c>
      <c r="AP88" s="168" t="str">
        <f t="shared" si="94"/>
        <v>-0.251344039828392+0.30254550899135i</v>
      </c>
      <c r="AQ88" s="98">
        <f t="shared" si="95"/>
        <v>-8.1048831917816351</v>
      </c>
      <c r="AR88" s="169">
        <f t="shared" si="96"/>
        <v>129.71859578849478</v>
      </c>
      <c r="AS88" s="168" t="str">
        <f t="shared" si="97"/>
        <v>25.5414888130081+28.3494446492183i</v>
      </c>
      <c r="AT88" s="190">
        <f t="shared" si="98"/>
        <v>31.631788724876412</v>
      </c>
      <c r="AU88" s="169">
        <f t="shared" si="99"/>
        <v>47.982666132340768</v>
      </c>
      <c r="AV88" s="225"/>
      <c r="AX88">
        <f t="shared" si="100"/>
        <v>0</v>
      </c>
      <c r="AY88">
        <f t="shared" si="101"/>
        <v>0</v>
      </c>
    </row>
    <row r="89" spans="14:51" x14ac:dyDescent="0.2">
      <c r="N89" s="170">
        <v>71</v>
      </c>
      <c r="O89" s="199">
        <f t="shared" si="76"/>
        <v>51.28613839913649</v>
      </c>
      <c r="P89" s="189" t="str">
        <f t="shared" si="67"/>
        <v>1757.57575757576</v>
      </c>
      <c r="Q89" s="160" t="str">
        <f t="shared" si="68"/>
        <v>1+18.5825246154994i</v>
      </c>
      <c r="R89" s="160">
        <f t="shared" si="77"/>
        <v>18.609412163892792</v>
      </c>
      <c r="S89" s="160">
        <f t="shared" si="78"/>
        <v>1.517034183117435</v>
      </c>
      <c r="T89" s="160" t="str">
        <f t="shared" si="69"/>
        <v>1+0.0902272871504013i</v>
      </c>
      <c r="U89" s="160">
        <f t="shared" si="79"/>
        <v>1.0040622308136689</v>
      </c>
      <c r="V89" s="160">
        <f t="shared" si="80"/>
        <v>8.9983630528260888E-2</v>
      </c>
      <c r="W89" s="98" t="str">
        <f t="shared" si="70"/>
        <v>1-0.0000580703894234353i</v>
      </c>
      <c r="X89" s="160">
        <f t="shared" si="81"/>
        <v>1.000000001686085</v>
      </c>
      <c r="Y89" s="160">
        <f t="shared" si="82"/>
        <v>-5.8070389358160891E-5</v>
      </c>
      <c r="Z89" s="98" t="str">
        <f t="shared" si="71"/>
        <v>0.999998947892803-0.00136511020347645i</v>
      </c>
      <c r="AA89" s="160">
        <f t="shared" si="83"/>
        <v>0.99999987965628312</v>
      </c>
      <c r="AB89" s="160">
        <f t="shared" si="84"/>
        <v>-1.3651107917457769E-3</v>
      </c>
      <c r="AC89" s="171" t="str">
        <f t="shared" si="85"/>
        <v>13.7070571758374-93.8333287619157i</v>
      </c>
      <c r="AD89" s="190">
        <f t="shared" si="86"/>
        <v>39.538841653472545</v>
      </c>
      <c r="AE89" s="169">
        <f t="shared" si="87"/>
        <v>-81.689085916461678</v>
      </c>
      <c r="AF89" s="98" t="str">
        <f t="shared" si="72"/>
        <v>-0.0000114342530449913</v>
      </c>
      <c r="AG89" s="98" t="str">
        <f t="shared" si="73"/>
        <v>0.0000386849493657346i</v>
      </c>
      <c r="AH89" s="98">
        <f t="shared" si="88"/>
        <v>3.8684949365734597E-5</v>
      </c>
      <c r="AI89" s="98">
        <f t="shared" si="89"/>
        <v>1.5707963267948966</v>
      </c>
      <c r="AJ89" s="98" t="str">
        <f t="shared" si="74"/>
        <v>1+0.000354316710413904i</v>
      </c>
      <c r="AK89" s="98">
        <f t="shared" si="90"/>
        <v>1.0000000627701637</v>
      </c>
      <c r="AL89" s="98">
        <f t="shared" si="91"/>
        <v>3.5431669558689269E-4</v>
      </c>
      <c r="AM89" s="98" t="str">
        <f t="shared" si="75"/>
        <v>1+0.850714421703783i</v>
      </c>
      <c r="AN89" s="98">
        <f t="shared" si="92"/>
        <v>1.3129032817747093</v>
      </c>
      <c r="AO89" s="98">
        <f t="shared" si="93"/>
        <v>0.70490867665786572</v>
      </c>
      <c r="AP89" s="168" t="str">
        <f t="shared" si="94"/>
        <v>-0.251344038408236+0.295662740571822i</v>
      </c>
      <c r="AQ89" s="98">
        <f t="shared" si="95"/>
        <v>-8.2220305399385989</v>
      </c>
      <c r="AR89" s="169">
        <f t="shared" si="96"/>
        <v>130.36799126337954</v>
      </c>
      <c r="AS89" s="168" t="str">
        <f t="shared" si="97"/>
        <v>24.2978320334572+27.6371138780903i</v>
      </c>
      <c r="AT89" s="190">
        <f t="shared" si="98"/>
        <v>31.316811113533944</v>
      </c>
      <c r="AU89" s="169">
        <f t="shared" si="99"/>
        <v>48.678905346917865</v>
      </c>
      <c r="AV89" s="225"/>
      <c r="AX89">
        <f t="shared" si="100"/>
        <v>0</v>
      </c>
      <c r="AY89">
        <f t="shared" si="101"/>
        <v>0</v>
      </c>
    </row>
    <row r="90" spans="14:51" x14ac:dyDescent="0.2">
      <c r="N90" s="170">
        <v>72</v>
      </c>
      <c r="O90" s="199">
        <f t="shared" si="76"/>
        <v>52.480746024977286</v>
      </c>
      <c r="P90" s="189" t="str">
        <f t="shared" si="67"/>
        <v>1757.57575757576</v>
      </c>
      <c r="Q90" s="160" t="str">
        <f t="shared" si="68"/>
        <v>1+19.0153672179251i</v>
      </c>
      <c r="R90" s="160">
        <f t="shared" si="77"/>
        <v>19.041643585377301</v>
      </c>
      <c r="S90" s="160">
        <f t="shared" si="78"/>
        <v>1.5182556818503055</v>
      </c>
      <c r="T90" s="160" t="str">
        <f t="shared" si="69"/>
        <v>1+0.0923289506535091i</v>
      </c>
      <c r="U90" s="160">
        <f t="shared" si="79"/>
        <v>1.0042532724013291</v>
      </c>
      <c r="V90" s="160">
        <f t="shared" si="80"/>
        <v>9.206792756237514E-2</v>
      </c>
      <c r="W90" s="98" t="str">
        <f t="shared" si="70"/>
        <v>1-0.0000594230225560159i</v>
      </c>
      <c r="X90" s="160">
        <f t="shared" si="81"/>
        <v>1.0000000017655477</v>
      </c>
      <c r="Y90" s="160">
        <f t="shared" si="82"/>
        <v>-5.9423022486073113E-5</v>
      </c>
      <c r="Z90" s="98" t="str">
        <f t="shared" si="71"/>
        <v>0.999998898308519-0.00139690770490841i</v>
      </c>
      <c r="AA90" s="160">
        <f t="shared" si="83"/>
        <v>0.99999987398468593</v>
      </c>
      <c r="AB90" s="160">
        <f t="shared" si="84"/>
        <v>-1.3969083352503389E-3</v>
      </c>
      <c r="AC90" s="171" t="str">
        <f t="shared" si="85"/>
        <v>13.4803895276592-91.7088247653907i</v>
      </c>
      <c r="AD90" s="190">
        <f t="shared" si="86"/>
        <v>39.341058656458976</v>
      </c>
      <c r="AE90" s="169">
        <f t="shared" si="87"/>
        <v>-81.637906850357169</v>
      </c>
      <c r="AF90" s="98" t="str">
        <f t="shared" si="72"/>
        <v>-0.0000114342530449913</v>
      </c>
      <c r="AG90" s="98" t="str">
        <f t="shared" si="73"/>
        <v>0.000039586037592692i</v>
      </c>
      <c r="AH90" s="98">
        <f t="shared" si="88"/>
        <v>3.9586037592691997E-5</v>
      </c>
      <c r="AI90" s="98">
        <f t="shared" si="89"/>
        <v>1.5707963267948966</v>
      </c>
      <c r="AJ90" s="98" t="str">
        <f t="shared" si="74"/>
        <v>1+0.000362569806814518i</v>
      </c>
      <c r="AK90" s="98">
        <f t="shared" si="90"/>
        <v>1.0000000657284303</v>
      </c>
      <c r="AL90" s="98">
        <f t="shared" si="91"/>
        <v>3.6256979092708921E-4</v>
      </c>
      <c r="AM90" s="98" t="str">
        <f t="shared" si="75"/>
        <v>1+0.870530106161657i</v>
      </c>
      <c r="AN90" s="98">
        <f t="shared" si="92"/>
        <v>1.3258290484575399</v>
      </c>
      <c r="AO90" s="98">
        <f t="shared" si="93"/>
        <v>0.71629276335897796</v>
      </c>
      <c r="AP90" s="168" t="str">
        <f t="shared" si="94"/>
        <v>-0.251344036921152+0.288936736450856i</v>
      </c>
      <c r="AQ90" s="98">
        <f t="shared" si="95"/>
        <v>-8.3369346431632216</v>
      </c>
      <c r="AR90" s="169">
        <f t="shared" si="96"/>
        <v>131.01977851743351</v>
      </c>
      <c r="AS90" s="168" t="str">
        <f t="shared" si="97"/>
        <v>23.1098330083039+26.945445994036i</v>
      </c>
      <c r="AT90" s="190">
        <f t="shared" si="98"/>
        <v>31.004124013295751</v>
      </c>
      <c r="AU90" s="169">
        <f t="shared" si="99"/>
        <v>49.381871667076425</v>
      </c>
      <c r="AV90" s="225"/>
      <c r="AX90">
        <f t="shared" si="100"/>
        <v>0</v>
      </c>
      <c r="AY90">
        <f t="shared" si="101"/>
        <v>0</v>
      </c>
    </row>
    <row r="91" spans="14:51" x14ac:dyDescent="0.2">
      <c r="N91" s="170">
        <v>73</v>
      </c>
      <c r="O91" s="199">
        <f t="shared" si="76"/>
        <v>53.703179637025293</v>
      </c>
      <c r="P91" s="189" t="str">
        <f t="shared" si="67"/>
        <v>1757.57575757576</v>
      </c>
      <c r="Q91" s="160" t="str">
        <f t="shared" si="68"/>
        <v>1+19.4582920197479i</v>
      </c>
      <c r="R91" s="160">
        <f t="shared" si="77"/>
        <v>19.483971061510662</v>
      </c>
      <c r="S91" s="160">
        <f t="shared" si="78"/>
        <v>1.5194495275376094</v>
      </c>
      <c r="T91" s="160" t="str">
        <f t="shared" si="69"/>
        <v>1+0.0944795681883713i</v>
      </c>
      <c r="U91" s="160">
        <f t="shared" si="79"/>
        <v>1.0044532785575748</v>
      </c>
      <c r="V91" s="160">
        <f t="shared" si="80"/>
        <v>9.4199943835644701E-2</v>
      </c>
      <c r="W91" s="98" t="str">
        <f t="shared" si="70"/>
        <v>1-0.0000608071625617121i</v>
      </c>
      <c r="X91" s="160">
        <f t="shared" si="81"/>
        <v>1.0000000018487554</v>
      </c>
      <c r="Y91" s="160">
        <f t="shared" si="82"/>
        <v>-6.0807162486767052E-5</v>
      </c>
      <c r="Z91" s="98" t="str">
        <f t="shared" si="71"/>
        <v>0.999998846387399-0.00142944586529576i</v>
      </c>
      <c r="AA91" s="160">
        <f t="shared" si="83"/>
        <v>0.99999986804579666</v>
      </c>
      <c r="AB91" s="160">
        <f t="shared" si="84"/>
        <v>-1.4294465407192936E-3</v>
      </c>
      <c r="AC91" s="171" t="str">
        <f t="shared" si="85"/>
        <v>13.2638685644506-89.6318755478772i</v>
      </c>
      <c r="AD91" s="190">
        <f t="shared" si="86"/>
        <v>39.143327531570961</v>
      </c>
      <c r="AE91" s="169">
        <f t="shared" si="87"/>
        <v>-81.582368638851975</v>
      </c>
      <c r="AF91" s="98" t="str">
        <f t="shared" si="72"/>
        <v>-0.0000114342530449913</v>
      </c>
      <c r="AG91" s="98" t="str">
        <f t="shared" si="73"/>
        <v>0.0000405081148607642i</v>
      </c>
      <c r="AH91" s="98">
        <f t="shared" si="88"/>
        <v>4.0508114860764203E-5</v>
      </c>
      <c r="AI91" s="98">
        <f t="shared" si="89"/>
        <v>1.5707963267948966</v>
      </c>
      <c r="AJ91" s="98" t="str">
        <f t="shared" si="74"/>
        <v>1+0.000371015142525882i</v>
      </c>
      <c r="AK91" s="98">
        <f t="shared" si="90"/>
        <v>1.0000000688261157</v>
      </c>
      <c r="AL91" s="98">
        <f t="shared" si="91"/>
        <v>3.7101512550219543E-4</v>
      </c>
      <c r="AM91" s="98" t="str">
        <f t="shared" si="75"/>
        <v>1+0.890807357204643i</v>
      </c>
      <c r="AN91" s="98">
        <f t="shared" si="92"/>
        <v>1.3392302817849961</v>
      </c>
      <c r="AO91" s="98">
        <f t="shared" si="93"/>
        <v>0.7277130164200587</v>
      </c>
      <c r="AP91" s="168" t="str">
        <f t="shared" si="94"/>
        <v>-0.251344035363981+0.282363930412036i</v>
      </c>
      <c r="AQ91" s="98">
        <f t="shared" si="95"/>
        <v>-8.4495800558655336</v>
      </c>
      <c r="AR91" s="169">
        <f t="shared" si="96"/>
        <v>131.67362693677688</v>
      </c>
      <c r="AS91" s="168" t="str">
        <f t="shared" si="97"/>
        <v>21.9750144203746+26.2736753577725i</v>
      </c>
      <c r="AT91" s="190">
        <f t="shared" si="98"/>
        <v>30.693747475705422</v>
      </c>
      <c r="AU91" s="169">
        <f t="shared" si="99"/>
        <v>50.091258297924902</v>
      </c>
      <c r="AV91" s="225"/>
      <c r="AX91">
        <f t="shared" si="100"/>
        <v>0</v>
      </c>
      <c r="AY91">
        <f t="shared" si="101"/>
        <v>0</v>
      </c>
    </row>
    <row r="92" spans="14:51" x14ac:dyDescent="0.2">
      <c r="N92" s="170">
        <v>74</v>
      </c>
      <c r="O92" s="199">
        <f t="shared" si="76"/>
        <v>54.95408738576247</v>
      </c>
      <c r="P92" s="189" t="str">
        <f t="shared" si="67"/>
        <v>1757.57575757576</v>
      </c>
      <c r="Q92" s="160" t="str">
        <f t="shared" si="68"/>
        <v>1+19.9115338655606i</v>
      </c>
      <c r="R92" s="160">
        <f t="shared" si="77"/>
        <v>19.936629125290128</v>
      </c>
      <c r="S92" s="160">
        <f t="shared" si="78"/>
        <v>1.5206163395520136</v>
      </c>
      <c r="T92" s="160" t="str">
        <f t="shared" si="69"/>
        <v>1+0.0966802800408721i</v>
      </c>
      <c r="U92" s="160">
        <f t="shared" si="79"/>
        <v>1.0046626680377755</v>
      </c>
      <c r="V92" s="160">
        <f t="shared" si="80"/>
        <v>9.6380732200014946E-2</v>
      </c>
      <c r="W92" s="98" t="str">
        <f t="shared" si="70"/>
        <v>1-0.0000622235433298767i</v>
      </c>
      <c r="X92" s="160">
        <f t="shared" si="81"/>
        <v>1.0000000019358846</v>
      </c>
      <c r="Y92" s="160">
        <f t="shared" si="82"/>
        <v>-6.2223543249571633E-5</v>
      </c>
      <c r="Z92" s="98" t="str">
        <f t="shared" si="71"/>
        <v>0.999998792019312-0.00146274193680185i</v>
      </c>
      <c r="AA92" s="160">
        <f t="shared" si="83"/>
        <v>0.99999986182701883</v>
      </c>
      <c r="AB92" s="160">
        <f t="shared" si="84"/>
        <v>-1.4627426605311915E-3</v>
      </c>
      <c r="AC92" s="171" t="str">
        <f t="shared" si="85"/>
        <v>13.0570424307116-87.6014509592206i</v>
      </c>
      <c r="AD92" s="190">
        <f t="shared" si="86"/>
        <v>38.945652987432922</v>
      </c>
      <c r="AE92" s="169">
        <f t="shared" si="87"/>
        <v>-81.522445498973383</v>
      </c>
      <c r="AF92" s="98" t="str">
        <f t="shared" si="72"/>
        <v>-0.0000114342530449913</v>
      </c>
      <c r="AG92" s="98" t="str">
        <f t="shared" si="73"/>
        <v>0.0000414516700675239i</v>
      </c>
      <c r="AH92" s="98">
        <f t="shared" si="88"/>
        <v>4.1451670067523901E-5</v>
      </c>
      <c r="AI92" s="98">
        <f t="shared" si="89"/>
        <v>1.5707963267948966</v>
      </c>
      <c r="AJ92" s="98" t="str">
        <f t="shared" si="74"/>
        <v>1+0.000379657195376781i</v>
      </c>
      <c r="AK92" s="98">
        <f t="shared" si="90"/>
        <v>1.0000000720697904</v>
      </c>
      <c r="AL92" s="98">
        <f t="shared" si="91"/>
        <v>3.7965717713557226E-4</v>
      </c>
      <c r="AM92" s="98" t="str">
        <f t="shared" si="75"/>
        <v>1+0.911556926099651i</v>
      </c>
      <c r="AN92" s="98">
        <f t="shared" si="92"/>
        <v>1.3531208480842518</v>
      </c>
      <c r="AO92" s="98">
        <f t="shared" si="93"/>
        <v>0.73916357630219698</v>
      </c>
      <c r="AP92" s="168" t="str">
        <f t="shared" si="94"/>
        <v>-0.251344033733425+0.275940837466594i</v>
      </c>
      <c r="AQ92" s="98">
        <f t="shared" si="95"/>
        <v>-8.5599535898792087</v>
      </c>
      <c r="AR92" s="169">
        <f t="shared" si="96"/>
        <v>132.32920053800032</v>
      </c>
      <c r="AS92" s="168" t="str">
        <f t="shared" si="97"/>
        <v>20.8910080278126+25.6210732681587i</v>
      </c>
      <c r="AT92" s="190">
        <f t="shared" si="98"/>
        <v>30.385699397553715</v>
      </c>
      <c r="AU92" s="169">
        <f t="shared" si="99"/>
        <v>50.806755039026854</v>
      </c>
      <c r="AV92" s="225"/>
      <c r="AX92">
        <f t="shared" si="100"/>
        <v>0</v>
      </c>
      <c r="AY92">
        <f t="shared" si="101"/>
        <v>0</v>
      </c>
    </row>
    <row r="93" spans="14:51" x14ac:dyDescent="0.2">
      <c r="N93" s="170">
        <v>75</v>
      </c>
      <c r="O93" s="199">
        <f t="shared" si="76"/>
        <v>56.234132519034915</v>
      </c>
      <c r="P93" s="189" t="str">
        <f t="shared" si="67"/>
        <v>1757.57575757576</v>
      </c>
      <c r="Q93" s="160" t="str">
        <f t="shared" si="68"/>
        <v>1+20.3753330701891i</v>
      </c>
      <c r="R93" s="160">
        <f t="shared" si="77"/>
        <v>20.39985778678718</v>
      </c>
      <c r="S93" s="160">
        <f t="shared" si="78"/>
        <v>1.5217567238370255</v>
      </c>
      <c r="T93" s="160" t="str">
        <f t="shared" si="69"/>
        <v>1+0.0989322530575652i</v>
      </c>
      <c r="U93" s="160">
        <f t="shared" si="79"/>
        <v>1.0048818789763532</v>
      </c>
      <c r="V93" s="160">
        <f t="shared" si="80"/>
        <v>9.8611365920842228E-2</v>
      </c>
      <c r="W93" s="98" t="str">
        <f t="shared" si="70"/>
        <v>1-0.0000636729158443407i</v>
      </c>
      <c r="X93" s="160">
        <f t="shared" si="81"/>
        <v>1.00000000202712</v>
      </c>
      <c r="Y93" s="160">
        <f t="shared" si="82"/>
        <v>-6.3672915758292259E-5</v>
      </c>
      <c r="Z93" s="98" t="str">
        <f t="shared" si="71"/>
        <v>0.999998735088936-0.00149681357344451i</v>
      </c>
      <c r="AA93" s="160">
        <f t="shared" si="83"/>
        <v>0.99999985531516233</v>
      </c>
      <c r="AB93" s="160">
        <f t="shared" si="84"/>
        <v>-1.4968143489344562E-3</v>
      </c>
      <c r="AC93" s="171" t="str">
        <f t="shared" si="85"/>
        <v>12.8594791858677-85.6165408135713i</v>
      </c>
      <c r="AD93" s="190">
        <f t="shared" si="86"/>
        <v>38.748039844469062</v>
      </c>
      <c r="AE93" s="169">
        <f t="shared" si="87"/>
        <v>-81.458109686665907</v>
      </c>
      <c r="AF93" s="98" t="str">
        <f t="shared" si="72"/>
        <v>-0.0000114342530449913</v>
      </c>
      <c r="AG93" s="98" t="str">
        <f t="shared" si="73"/>
        <v>0.0000424172034984311i</v>
      </c>
      <c r="AH93" s="98">
        <f t="shared" si="88"/>
        <v>4.2417203498431102E-5</v>
      </c>
      <c r="AI93" s="98">
        <f t="shared" si="89"/>
        <v>1.5707963267948966</v>
      </c>
      <c r="AJ93" s="98" t="str">
        <f t="shared" si="74"/>
        <v>1+0.000388500547498025i</v>
      </c>
      <c r="AK93" s="98">
        <f t="shared" si="90"/>
        <v>1.000000075466335</v>
      </c>
      <c r="AL93" s="98">
        <f t="shared" si="91"/>
        <v>3.8850052795221776E-4</v>
      </c>
      <c r="AM93" s="98" t="str">
        <f t="shared" si="75"/>
        <v>1+0.932789814542757i</v>
      </c>
      <c r="AN93" s="98">
        <f t="shared" si="92"/>
        <v>1.3675148401807971</v>
      </c>
      <c r="AO93" s="98">
        <f t="shared" si="93"/>
        <v>0.75063850446821567</v>
      </c>
      <c r="AP93" s="168" t="str">
        <f t="shared" si="94"/>
        <v>-0.251344032026023+0.269664052005627i</v>
      </c>
      <c r="AQ93" s="98">
        <f t="shared" si="95"/>
        <v>-8.6680443689872604</v>
      </c>
      <c r="AR93" s="169">
        <f t="shared" si="96"/>
        <v>132.98615880545051</v>
      </c>
      <c r="AS93" s="168" t="str">
        <f t="shared" si="97"/>
        <v>19.8555499661621+24.9869458401467i</v>
      </c>
      <c r="AT93" s="190">
        <f t="shared" si="98"/>
        <v>30.079995475481812</v>
      </c>
      <c r="AU93" s="169">
        <f t="shared" si="99"/>
        <v>51.528049118784594</v>
      </c>
      <c r="AV93" s="225"/>
      <c r="AX93">
        <f t="shared" si="100"/>
        <v>0</v>
      </c>
      <c r="AY93">
        <f t="shared" si="101"/>
        <v>0</v>
      </c>
    </row>
    <row r="94" spans="14:51" x14ac:dyDescent="0.2">
      <c r="N94" s="170">
        <v>76</v>
      </c>
      <c r="O94" s="199">
        <f t="shared" si="76"/>
        <v>57.543993733715695</v>
      </c>
      <c r="P94" s="189" t="str">
        <f t="shared" si="67"/>
        <v>1757.57575757576</v>
      </c>
      <c r="Q94" s="160" t="str">
        <f t="shared" si="68"/>
        <v>1+20.8499355461108i</v>
      </c>
      <c r="R94" s="160">
        <f t="shared" si="77"/>
        <v>20.873902660426836</v>
      </c>
      <c r="S94" s="160">
        <f t="shared" si="78"/>
        <v>1.5228712731684069</v>
      </c>
      <c r="T94" s="160" t="str">
        <f t="shared" si="69"/>
        <v>1+0.101236681264353i</v>
      </c>
      <c r="U94" s="160">
        <f t="shared" si="79"/>
        <v>1.0051113697662664</v>
      </c>
      <c r="V94" s="160">
        <f t="shared" si="80"/>
        <v>0.10089293886865972</v>
      </c>
      <c r="W94" s="98" t="str">
        <f t="shared" si="70"/>
        <v>1-0.0000651560485815961i</v>
      </c>
      <c r="X94" s="160">
        <f t="shared" si="81"/>
        <v>1.0000000021226554</v>
      </c>
      <c r="Y94" s="160">
        <f t="shared" si="82"/>
        <v>-6.5156048489393542E-5</v>
      </c>
      <c r="Z94" s="98" t="str">
        <f t="shared" si="71"/>
        <v>0.999998675475514-0.00153167884045649i</v>
      </c>
      <c r="AA94" s="160">
        <f t="shared" si="83"/>
        <v>0.99999984849641488</v>
      </c>
      <c r="AB94" s="160">
        <f t="shared" si="84"/>
        <v>-1.5316796714089211E-3</v>
      </c>
      <c r="AC94" s="171" t="str">
        <f t="shared" si="85"/>
        <v>12.6707659447566-83.6761546633534i</v>
      </c>
      <c r="AD94" s="190">
        <f t="shared" si="86"/>
        <v>38.550493044202398</v>
      </c>
      <c r="AE94" s="169">
        <f t="shared" si="87"/>
        <v>-81.389331500268852</v>
      </c>
      <c r="AF94" s="98" t="str">
        <f t="shared" si="72"/>
        <v>-0.0000114342530449913</v>
      </c>
      <c r="AG94" s="98" t="str">
        <f t="shared" si="73"/>
        <v>0.0000434052270920912i</v>
      </c>
      <c r="AH94" s="98">
        <f t="shared" si="88"/>
        <v>4.34052270920912E-5</v>
      </c>
      <c r="AI94" s="98">
        <f t="shared" si="89"/>
        <v>1.5707963267948966</v>
      </c>
      <c r="AJ94" s="98" t="str">
        <f t="shared" si="74"/>
        <v>1+0.000397549887751965i</v>
      </c>
      <c r="AK94" s="98">
        <f t="shared" si="90"/>
        <v>1.0000000790229535</v>
      </c>
      <c r="AL94" s="98">
        <f t="shared" si="91"/>
        <v>3.975498668082553E-4</v>
      </c>
      <c r="AM94" s="98" t="str">
        <f t="shared" si="75"/>
        <v>1+0.954517280492468i</v>
      </c>
      <c r="AN94" s="98">
        <f t="shared" si="92"/>
        <v>1.3824265762631796</v>
      </c>
      <c r="AO94" s="98">
        <f t="shared" si="93"/>
        <v>0.76213179849667878</v>
      </c>
      <c r="AP94" s="168" t="str">
        <f t="shared" si="94"/>
        <v>-0.251344030238153+0.263530245994397i</v>
      </c>
      <c r="AQ94" s="98">
        <f t="shared" si="95"/>
        <v>-8.7738438742496765</v>
      </c>
      <c r="AR94" s="169">
        <f t="shared" si="96"/>
        <v>133.64415755706045</v>
      </c>
      <c r="AS94" s="168" t="str">
        <f t="shared" si="97"/>
        <v>18.8664762435393+24.3706320142774i</v>
      </c>
      <c r="AT94" s="190">
        <f t="shared" si="98"/>
        <v>29.776649169952719</v>
      </c>
      <c r="AU94" s="169">
        <f t="shared" si="99"/>
        <v>52.254826056791558</v>
      </c>
      <c r="AV94" s="225"/>
      <c r="AX94">
        <f t="shared" si="100"/>
        <v>0</v>
      </c>
      <c r="AY94">
        <f t="shared" si="101"/>
        <v>0</v>
      </c>
    </row>
    <row r="95" spans="14:51" x14ac:dyDescent="0.2">
      <c r="N95" s="170">
        <v>77</v>
      </c>
      <c r="O95" s="199">
        <f t="shared" si="76"/>
        <v>58.884365535558949</v>
      </c>
      <c r="P95" s="189" t="str">
        <f t="shared" si="67"/>
        <v>1757.57575757576</v>
      </c>
      <c r="Q95" s="160" t="str">
        <f t="shared" si="68"/>
        <v>1+21.3355929338406i</v>
      </c>
      <c r="R95" s="160">
        <f t="shared" si="77"/>
        <v>21.359015095236696</v>
      </c>
      <c r="S95" s="160">
        <f t="shared" si="78"/>
        <v>1.5239605674125465</v>
      </c>
      <c r="T95" s="160" t="str">
        <f t="shared" si="69"/>
        <v>1+0.103594786499573i</v>
      </c>
      <c r="U95" s="160">
        <f t="shared" si="79"/>
        <v>1.0053516199767583</v>
      </c>
      <c r="V95" s="160">
        <f t="shared" si="80"/>
        <v>0.10322656569633795</v>
      </c>
      <c r="W95" s="98" t="str">
        <f t="shared" si="70"/>
        <v>1-0.0000666737279182516i</v>
      </c>
      <c r="X95" s="160">
        <f t="shared" si="81"/>
        <v>1.0000000022226929</v>
      </c>
      <c r="Y95" s="160">
        <f t="shared" si="82"/>
        <v>-6.6673727819454773E-5</v>
      </c>
      <c r="Z95" s="98" t="str">
        <f t="shared" si="71"/>
        <v>0.999998613052598-0.00156735622386383i</v>
      </c>
      <c r="AA95" s="160">
        <f t="shared" si="83"/>
        <v>0.99999984135631348</v>
      </c>
      <c r="AB95" s="160">
        <f t="shared" si="84"/>
        <v>-1.5673571142453824E-3</v>
      </c>
      <c r="AC95" s="171" t="str">
        <f t="shared" si="85"/>
        <v>12.4905080536027-81.7793215635158i</v>
      </c>
      <c r="AD95" s="190">
        <f t="shared" si="86"/>
        <v>38.353017658737826</v>
      </c>
      <c r="AE95" s="169">
        <f t="shared" si="87"/>
        <v>-81.316079284643394</v>
      </c>
      <c r="AF95" s="98" t="str">
        <f t="shared" si="72"/>
        <v>-0.0000114342530449913</v>
      </c>
      <c r="AG95" s="98" t="str">
        <f t="shared" si="73"/>
        <v>0.0000444162647116917i</v>
      </c>
      <c r="AH95" s="98">
        <f t="shared" si="88"/>
        <v>4.4416264711691697E-5</v>
      </c>
      <c r="AI95" s="98">
        <f t="shared" si="89"/>
        <v>1.5707963267948966</v>
      </c>
      <c r="AJ95" s="98" t="str">
        <f t="shared" si="74"/>
        <v>1+0.000406810014218587i</v>
      </c>
      <c r="AK95" s="98">
        <f t="shared" si="90"/>
        <v>1.0000000827471904</v>
      </c>
      <c r="AL95" s="98">
        <f t="shared" si="91"/>
        <v>4.0680999177699782E-4</v>
      </c>
      <c r="AM95" s="98" t="str">
        <f t="shared" si="75"/>
        <v>1+0.976750844138826i</v>
      </c>
      <c r="AN95" s="98">
        <f t="shared" si="92"/>
        <v>1.3978705989918769</v>
      </c>
      <c r="AO95" s="98">
        <f t="shared" si="93"/>
        <v>0.77363740760216437</v>
      </c>
      <c r="AP95" s="168" t="str">
        <f t="shared" si="94"/>
        <v>-0.251344028366024+0.257536167207761i</v>
      </c>
      <c r="AQ95" s="98">
        <f t="shared" si="95"/>
        <v>-8.8773459797348302</v>
      </c>
      <c r="AR95" s="169">
        <f t="shared" si="96"/>
        <v>134.30284983345359</v>
      </c>
      <c r="AS95" s="168" t="str">
        <f t="shared" si="97"/>
        <v>17.9217184217881+23.771501689417i</v>
      </c>
      <c r="AT95" s="190">
        <f t="shared" si="98"/>
        <v>29.475671679002996</v>
      </c>
      <c r="AU95" s="169">
        <f t="shared" si="99"/>
        <v>52.986770548810185</v>
      </c>
      <c r="AV95" s="225"/>
      <c r="AX95">
        <f t="shared" si="100"/>
        <v>0</v>
      </c>
      <c r="AY95">
        <f t="shared" si="101"/>
        <v>0</v>
      </c>
    </row>
    <row r="96" spans="14:51" x14ac:dyDescent="0.2">
      <c r="N96" s="170">
        <v>78</v>
      </c>
      <c r="O96" s="199">
        <f t="shared" si="76"/>
        <v>60.255958607435822</v>
      </c>
      <c r="P96" s="189" t="str">
        <f t="shared" si="67"/>
        <v>1757.57575757576</v>
      </c>
      <c r="Q96" s="160" t="str">
        <f t="shared" si="68"/>
        <v>1+21.8325627353538i</v>
      </c>
      <c r="R96" s="160">
        <f t="shared" si="77"/>
        <v>21.855452308134904</v>
      </c>
      <c r="S96" s="160">
        <f t="shared" si="78"/>
        <v>1.5250251737816705</v>
      </c>
      <c r="T96" s="160" t="str">
        <f t="shared" si="69"/>
        <v>1+0.106007819061833i</v>
      </c>
      <c r="U96" s="160">
        <f t="shared" si="79"/>
        <v>1.0056031313108797</v>
      </c>
      <c r="V96" s="160">
        <f t="shared" si="80"/>
        <v>0.10561338200008701</v>
      </c>
      <c r="W96" s="98" t="str">
        <f t="shared" si="70"/>
        <v>1-0.0000682267585479805i</v>
      </c>
      <c r="X96" s="160">
        <f t="shared" si="81"/>
        <v>1.0000000023274451</v>
      </c>
      <c r="Y96" s="160">
        <f t="shared" si="82"/>
        <v>-6.8226758442117806E-5</v>
      </c>
      <c r="Z96" s="98" t="str">
        <f t="shared" si="71"/>
        <v>0.999998547687781-0.00160386464028748i</v>
      </c>
      <c r="AA96" s="160">
        <f t="shared" si="83"/>
        <v>0.99999983387971403</v>
      </c>
      <c r="AB96" s="160">
        <f t="shared" si="84"/>
        <v>-1.6038655943484798E-3</v>
      </c>
      <c r="AC96" s="171" t="str">
        <f t="shared" si="85"/>
        <v>12.3183283001537-79.9250898272191i</v>
      </c>
      <c r="AD96" s="190">
        <f t="shared" si="86"/>
        <v>38.155618900439563</v>
      </c>
      <c r="AE96" s="169">
        <f t="shared" si="87"/>
        <v>-81.238319436032967</v>
      </c>
      <c r="AF96" s="98" t="str">
        <f t="shared" si="72"/>
        <v>-0.0000114342530449913</v>
      </c>
      <c r="AG96" s="98" t="str">
        <f t="shared" si="73"/>
        <v>0.0000454508524227611i</v>
      </c>
      <c r="AH96" s="98">
        <f t="shared" si="88"/>
        <v>4.5450852422761101E-5</v>
      </c>
      <c r="AI96" s="98">
        <f t="shared" si="89"/>
        <v>1.5707963267948966</v>
      </c>
      <c r="AJ96" s="98" t="str">
        <f t="shared" si="74"/>
        <v>1+0.000416285836739513i</v>
      </c>
      <c r="AK96" s="98">
        <f t="shared" si="90"/>
        <v>1.0000000866469452</v>
      </c>
      <c r="AL96" s="98">
        <f t="shared" si="91"/>
        <v>4.1628581269291705E-4</v>
      </c>
      <c r="AM96" s="98" t="str">
        <f t="shared" si="75"/>
        <v>1+0.999502294011571i</v>
      </c>
      <c r="AN96" s="98">
        <f t="shared" si="92"/>
        <v>1.4138616748941153</v>
      </c>
      <c r="AO96" s="98">
        <f t="shared" si="93"/>
        <v>0.78514924846514711</v>
      </c>
      <c r="AP96" s="168" t="str">
        <f t="shared" si="94"/>
        <v>-0.251344026405664+0.251678637505801i</v>
      </c>
      <c r="AQ96" s="98">
        <f t="shared" si="95"/>
        <v>-8.9785469783375138</v>
      </c>
      <c r="AR96" s="169">
        <f t="shared" si="96"/>
        <v>134.96188680478289</v>
      </c>
      <c r="AS96" s="168" t="str">
        <f t="shared" si="97"/>
        <v>17.0192994766958+23.1889539709395i</v>
      </c>
      <c r="AT96" s="190">
        <f t="shared" si="98"/>
        <v>29.177071922102058</v>
      </c>
      <c r="AU96" s="169">
        <f t="shared" si="99"/>
        <v>53.723567368749961</v>
      </c>
      <c r="AV96" s="225"/>
      <c r="AX96">
        <f t="shared" si="100"/>
        <v>0</v>
      </c>
      <c r="AY96">
        <f t="shared" si="101"/>
        <v>0</v>
      </c>
    </row>
    <row r="97" spans="14:51" x14ac:dyDescent="0.2">
      <c r="N97" s="170">
        <v>79</v>
      </c>
      <c r="O97" s="199">
        <f t="shared" si="76"/>
        <v>61.659500186148257</v>
      </c>
      <c r="P97" s="189" t="str">
        <f t="shared" si="67"/>
        <v>1757.57575757576</v>
      </c>
      <c r="Q97" s="160" t="str">
        <f t="shared" si="68"/>
        <v>1+22.3411084506175i</v>
      </c>
      <c r="R97" s="160">
        <f t="shared" si="77"/>
        <v>22.363477520328821</v>
      </c>
      <c r="S97" s="160">
        <f t="shared" si="78"/>
        <v>1.5260656470857914</v>
      </c>
      <c r="T97" s="160" t="str">
        <f t="shared" si="69"/>
        <v>1+0.10847705837294i</v>
      </c>
      <c r="U97" s="160">
        <f t="shared" si="79"/>
        <v>1.0058664286043382</v>
      </c>
      <c r="V97" s="160">
        <f t="shared" si="80"/>
        <v>0.10805454446263486</v>
      </c>
      <c r="W97" s="98" t="str">
        <f t="shared" si="70"/>
        <v>1-0.0000698159639081796i</v>
      </c>
      <c r="X97" s="160">
        <f t="shared" si="81"/>
        <v>1.0000000024371343</v>
      </c>
      <c r="Y97" s="160">
        <f t="shared" si="82"/>
        <v>-6.981596379474568E-5</v>
      </c>
      <c r="Z97" s="98" t="str">
        <f t="shared" si="71"/>
        <v>0.999998479242415-0.00164122344697308i</v>
      </c>
      <c r="AA97" s="160">
        <f t="shared" si="83"/>
        <v>0.99999982605075766</v>
      </c>
      <c r="AB97" s="160">
        <f t="shared" si="84"/>
        <v>-1.641224469267835E-3</v>
      </c>
      <c r="AC97" s="171" t="str">
        <f t="shared" si="85"/>
        <v>12.1538661566989-78.1125267740618i</v>
      </c>
      <c r="AD97" s="190">
        <f t="shared" si="86"/>
        <v>37.958302131816581</v>
      </c>
      <c r="AE97" s="169">
        <f t="shared" si="87"/>
        <v>-81.156016407744602</v>
      </c>
      <c r="AF97" s="98" t="str">
        <f t="shared" si="72"/>
        <v>-0.0000114342530449913</v>
      </c>
      <c r="AG97" s="98" t="str">
        <f t="shared" si="73"/>
        <v>0.0000465095387773981i</v>
      </c>
      <c r="AH97" s="98">
        <f t="shared" si="88"/>
        <v>4.6509538777398101E-5</v>
      </c>
      <c r="AI97" s="98">
        <f t="shared" si="89"/>
        <v>1.5707963267948966</v>
      </c>
      <c r="AJ97" s="98" t="str">
        <f t="shared" si="74"/>
        <v>1+0.000425982379521275i</v>
      </c>
      <c r="AK97" s="98">
        <f t="shared" si="90"/>
        <v>1.0000000907304896</v>
      </c>
      <c r="AL97" s="98">
        <f t="shared" si="91"/>
        <v>4.2598235375488339E-4</v>
      </c>
      <c r="AM97" s="98" t="str">
        <f t="shared" si="75"/>
        <v>1+1.02278369323058i</v>
      </c>
      <c r="AN97" s="98">
        <f t="shared" si="92"/>
        <v>1.4304147940854028</v>
      </c>
      <c r="AO97" s="98">
        <f t="shared" si="93"/>
        <v>0.79666122127112216</v>
      </c>
      <c r="AP97" s="168" t="str">
        <f t="shared" si="94"/>
        <v>-0.251344024352916+0.24595455114873i</v>
      </c>
      <c r="AQ97" s="98">
        <f t="shared" si="95"/>
        <v>-9.0774455974531278</v>
      </c>
      <c r="AR97" s="169">
        <f t="shared" si="96"/>
        <v>135.62091868955599</v>
      </c>
      <c r="AS97" s="168" t="str">
        <f t="shared" si="97"/>
        <v>16.1573298305361+22.6224155270602i</v>
      </c>
      <c r="AT97" s="190">
        <f t="shared" si="98"/>
        <v>28.880856534363446</v>
      </c>
      <c r="AU97" s="169">
        <f t="shared" si="99"/>
        <v>54.464902281811412</v>
      </c>
      <c r="AV97" s="225"/>
      <c r="AX97">
        <f t="shared" si="100"/>
        <v>0</v>
      </c>
      <c r="AY97">
        <f t="shared" si="101"/>
        <v>0</v>
      </c>
    </row>
    <row r="98" spans="14:51" x14ac:dyDescent="0.2">
      <c r="N98" s="170">
        <v>80</v>
      </c>
      <c r="O98" s="199">
        <f t="shared" si="76"/>
        <v>63.095734448019364</v>
      </c>
      <c r="P98" s="189" t="str">
        <f t="shared" si="67"/>
        <v>1757.57575757576</v>
      </c>
      <c r="Q98" s="160" t="str">
        <f t="shared" si="68"/>
        <v>1+22.8614997173012i</v>
      </c>
      <c r="R98" s="160">
        <f t="shared" si="77"/>
        <v>22.883360096894926</v>
      </c>
      <c r="S98" s="160">
        <f t="shared" si="78"/>
        <v>1.5270825299812953</v>
      </c>
      <c r="T98" s="160" t="str">
        <f t="shared" si="69"/>
        <v>1+0.11100381365626i</v>
      </c>
      <c r="U98" s="160">
        <f t="shared" si="79"/>
        <v>1.0061420608672682</v>
      </c>
      <c r="V98" s="160">
        <f t="shared" si="80"/>
        <v>0.11055123097678954</v>
      </c>
      <c r="W98" s="98" t="str">
        <f t="shared" si="70"/>
        <v>1-0.0000714421866165661i</v>
      </c>
      <c r="X98" s="160">
        <f t="shared" si="81"/>
        <v>1.0000000025519931</v>
      </c>
      <c r="Y98" s="160">
        <f t="shared" si="82"/>
        <v>-7.1442186495019458E-5</v>
      </c>
      <c r="Z98" s="98" t="str">
        <f t="shared" si="71"/>
        <v>0.999998407571318-0.00167945245205441i</v>
      </c>
      <c r="AA98" s="160">
        <f t="shared" si="83"/>
        <v>0.99999981785283865</v>
      </c>
      <c r="AB98" s="160">
        <f t="shared" si="84"/>
        <v>-1.679453547462948E-3</v>
      </c>
      <c r="AC98" s="171" t="str">
        <f t="shared" si="85"/>
        <v>11.9967770547155-76.3407184718379i</v>
      </c>
      <c r="AD98" s="190">
        <f t="shared" si="86"/>
        <v>37.761072875626525</v>
      </c>
      <c r="AE98" s="169">
        <f t="shared" si="87"/>
        <v>-81.069132716749735</v>
      </c>
      <c r="AF98" s="98" t="str">
        <f t="shared" si="72"/>
        <v>-0.0000114342530449913</v>
      </c>
      <c r="AG98" s="98" t="str">
        <f t="shared" si="73"/>
        <v>0.0000475928851051215i</v>
      </c>
      <c r="AH98" s="98">
        <f t="shared" si="88"/>
        <v>4.75928851051215E-5</v>
      </c>
      <c r="AI98" s="98">
        <f t="shared" si="89"/>
        <v>1.5707963267948966</v>
      </c>
      <c r="AJ98" s="98" t="str">
        <f t="shared" si="74"/>
        <v>1+0.0004359047837992i</v>
      </c>
      <c r="AK98" s="98">
        <f t="shared" si="90"/>
        <v>1.0000000950064858</v>
      </c>
      <c r="AL98" s="98">
        <f t="shared" si="91"/>
        <v>4.3590475619001407E-4</v>
      </c>
      <c r="AM98" s="98" t="str">
        <f t="shared" si="75"/>
        <v>1+1.04660738590188i</v>
      </c>
      <c r="AN98" s="98">
        <f t="shared" si="92"/>
        <v>1.4475451703571696</v>
      </c>
      <c r="AO98" s="98">
        <f t="shared" si="93"/>
        <v>0.80816722585610579</v>
      </c>
      <c r="AP98" s="168" t="str">
        <f t="shared" si="94"/>
        <v>-0.251344022203424+0.240360873150189i</v>
      </c>
      <c r="AQ98" s="98">
        <f t="shared" si="95"/>
        <v>-9.1740430043675225</v>
      </c>
      <c r="AR98" s="169">
        <f t="shared" si="96"/>
        <v>136.27959567955165</v>
      </c>
      <c r="AS98" s="168" t="str">
        <f t="shared" si="97"/>
        <v>15.3340035503938+22.0713390464705i</v>
      </c>
      <c r="AT98" s="190">
        <f t="shared" si="98"/>
        <v>28.587029871258999</v>
      </c>
      <c r="AU98" s="169">
        <f t="shared" si="99"/>
        <v>55.210462962801813</v>
      </c>
      <c r="AV98" s="225"/>
      <c r="AX98">
        <f t="shared" si="100"/>
        <v>0</v>
      </c>
      <c r="AY98">
        <f t="shared" si="101"/>
        <v>0</v>
      </c>
    </row>
    <row r="99" spans="14:51" x14ac:dyDescent="0.2">
      <c r="N99" s="170">
        <v>81</v>
      </c>
      <c r="O99" s="199">
        <f t="shared" si="76"/>
        <v>64.565422903465588</v>
      </c>
      <c r="P99" s="189" t="str">
        <f t="shared" si="67"/>
        <v>1757.57575757576</v>
      </c>
      <c r="Q99" s="160" t="str">
        <f t="shared" si="68"/>
        <v>1+23.3940124537428i</v>
      </c>
      <c r="R99" s="160">
        <f t="shared" si="77"/>
        <v>23.415375689616287</v>
      </c>
      <c r="S99" s="160">
        <f t="shared" si="78"/>
        <v>1.5280763532160957</v>
      </c>
      <c r="T99" s="160" t="str">
        <f t="shared" si="69"/>
        <v>1+0.11358942463089i</v>
      </c>
      <c r="U99" s="160">
        <f t="shared" si="79"/>
        <v>1.0064306023705643</v>
      </c>
      <c r="V99" s="160">
        <f t="shared" si="80"/>
        <v>0.1131046407475093</v>
      </c>
      <c r="W99" s="98" t="str">
        <f t="shared" si="70"/>
        <v>1-0.000073106288917946i</v>
      </c>
      <c r="X99" s="160">
        <f t="shared" si="81"/>
        <v>1.0000000026722646</v>
      </c>
      <c r="Y99" s="160">
        <f t="shared" si="82"/>
        <v>-7.3106288787706437E-5</v>
      </c>
      <c r="Z99" s="98" t="str">
        <f t="shared" si="71"/>
        <v>0.999998332522466-0.00171857192505601i</v>
      </c>
      <c r="AA99" s="160">
        <f t="shared" si="83"/>
        <v>0.99999980926856868</v>
      </c>
      <c r="AB99" s="160">
        <f t="shared" si="84"/>
        <v>-1.7185730988073754E-3</v>
      </c>
      <c r="AC99" s="171" t="str">
        <f t="shared" si="85"/>
        <v>11.8467316899354-74.6087694727646i</v>
      </c>
      <c r="AD99" s="190">
        <f t="shared" si="86"/>
        <v>37.563936825210313</v>
      </c>
      <c r="AE99" s="169">
        <f t="shared" si="87"/>
        <v>-80.977628951305661</v>
      </c>
      <c r="AF99" s="98" t="str">
        <f t="shared" si="72"/>
        <v>-0.0000114342530449913</v>
      </c>
      <c r="AG99" s="98" t="str">
        <f t="shared" si="73"/>
        <v>0.0000487014658104939i</v>
      </c>
      <c r="AH99" s="98">
        <f t="shared" si="88"/>
        <v>4.8701465810493903E-5</v>
      </c>
      <c r="AI99" s="98">
        <f t="shared" si="89"/>
        <v>1.5707963267948966</v>
      </c>
      <c r="AJ99" s="98" t="str">
        <f t="shared" si="74"/>
        <v>1+0.000446058310563379i</v>
      </c>
      <c r="AK99" s="98">
        <f t="shared" si="90"/>
        <v>1.0000000994840033</v>
      </c>
      <c r="AL99" s="98">
        <f t="shared" si="91"/>
        <v>4.4605828097960345E-4</v>
      </c>
      <c r="AM99" s="98" t="str">
        <f t="shared" si="75"/>
        <v>1+1.07098600366267i</v>
      </c>
      <c r="AN99" s="98">
        <f t="shared" si="92"/>
        <v>1.4652682416681719</v>
      </c>
      <c r="AO99" s="98">
        <f t="shared" si="93"/>
        <v>0.81966117785440673</v>
      </c>
      <c r="AP99" s="168" t="str">
        <f t="shared" si="94"/>
        <v>-0.251344019952629+0.234894637668057i</v>
      </c>
      <c r="AQ99" s="98">
        <f t="shared" si="95"/>
        <v>-9.2683428013139064</v>
      </c>
      <c r="AR99" s="169">
        <f t="shared" si="96"/>
        <v>136.93756886486253</v>
      </c>
      <c r="AS99" s="168" t="str">
        <f t="shared" si="97"/>
        <v>14.5475947059161+21.5352017908617i</v>
      </c>
      <c r="AT99" s="190">
        <f t="shared" si="98"/>
        <v>28.29559402389641</v>
      </c>
      <c r="AU99" s="169">
        <f t="shared" si="99"/>
        <v>55.959939913556802</v>
      </c>
      <c r="AV99" s="225"/>
      <c r="AX99">
        <f t="shared" si="100"/>
        <v>0</v>
      </c>
      <c r="AY99">
        <f t="shared" si="101"/>
        <v>0</v>
      </c>
    </row>
    <row r="100" spans="14:51" x14ac:dyDescent="0.2">
      <c r="N100" s="170">
        <v>82</v>
      </c>
      <c r="O100" s="199">
        <f t="shared" si="76"/>
        <v>66.069344800759623</v>
      </c>
      <c r="P100" s="189" t="str">
        <f t="shared" si="67"/>
        <v>1757.57575757576</v>
      </c>
      <c r="Q100" s="160" t="str">
        <f t="shared" si="68"/>
        <v>1+23.9389290052437i</v>
      </c>
      <c r="R100" s="160">
        <f t="shared" si="77"/>
        <v>23.959806383151307</v>
      </c>
      <c r="S100" s="160">
        <f t="shared" si="78"/>
        <v>1.5290476358712819</v>
      </c>
      <c r="T100" s="160" t="str">
        <f t="shared" si="69"/>
        <v>1+0.116235262221992i</v>
      </c>
      <c r="U100" s="160">
        <f t="shared" si="79"/>
        <v>1.0067326537784573</v>
      </c>
      <c r="V100" s="160">
        <f t="shared" si="80"/>
        <v>0.11571599437044212</v>
      </c>
      <c r="W100" s="98" t="str">
        <f t="shared" si="70"/>
        <v>1-0.0000748091531413863i</v>
      </c>
      <c r="X100" s="160">
        <f t="shared" si="81"/>
        <v>1.0000000027982046</v>
      </c>
      <c r="Y100" s="160">
        <f t="shared" si="82"/>
        <v>-7.4809153001832078E-5</v>
      </c>
      <c r="Z100" s="98" t="str">
        <f t="shared" si="71"/>
        <v>0.999998253936671-0.00175860260764026i</v>
      </c>
      <c r="AA100" s="160">
        <f t="shared" si="83"/>
        <v>0.99999980027974122</v>
      </c>
      <c r="AB100" s="160">
        <f t="shared" si="84"/>
        <v>-1.7586038653374728E-3</v>
      </c>
      <c r="AC100" s="171" t="str">
        <f t="shared" si="85"/>
        <v>11.7034153566533-72.9158025450417i</v>
      </c>
      <c r="AD100" s="190">
        <f t="shared" si="86"/>
        <v>37.36689985506866</v>
      </c>
      <c r="AE100" s="169">
        <f t="shared" si="87"/>
        <v>-80.881463779711552</v>
      </c>
      <c r="AF100" s="98" t="str">
        <f t="shared" si="72"/>
        <v>-0.0000114342530449913</v>
      </c>
      <c r="AG100" s="98" t="str">
        <f t="shared" si="73"/>
        <v>0.0000498358686776791i</v>
      </c>
      <c r="AH100" s="98">
        <f t="shared" si="88"/>
        <v>4.9835868677679098E-5</v>
      </c>
      <c r="AI100" s="98">
        <f t="shared" si="89"/>
        <v>1.5707963267948966</v>
      </c>
      <c r="AJ100" s="98" t="str">
        <f t="shared" si="74"/>
        <v>1+0.000456448343348098i</v>
      </c>
      <c r="AK100" s="98">
        <f t="shared" si="90"/>
        <v>1.0000001041725397</v>
      </c>
      <c r="AL100" s="98">
        <f t="shared" si="91"/>
        <v>4.564483116485115E-4</v>
      </c>
      <c r="AM100" s="98" t="str">
        <f t="shared" si="75"/>
        <v>1+1.09593247237878i</v>
      </c>
      <c r="AN100" s="98">
        <f t="shared" si="92"/>
        <v>1.4835996710751405</v>
      </c>
      <c r="AO100" s="98">
        <f t="shared" si="93"/>
        <v>0.83113702474448681</v>
      </c>
      <c r="AP100" s="168" t="str">
        <f t="shared" si="94"/>
        <v>-0.251344017595758+0.229552946431919i</v>
      </c>
      <c r="AQ100" s="98">
        <f t="shared" si="95"/>
        <v>-9.3603510102414802</v>
      </c>
      <c r="AR100" s="169">
        <f t="shared" si="96"/>
        <v>137.59449115309613</v>
      </c>
      <c r="AS100" s="168" t="str">
        <f t="shared" si="97"/>
        <v>13.7964538803292+21.0135042363261i</v>
      </c>
      <c r="AT100" s="190">
        <f t="shared" si="98"/>
        <v>28.006548844827176</v>
      </c>
      <c r="AU100" s="169">
        <f t="shared" si="99"/>
        <v>56.71302737338462</v>
      </c>
      <c r="AV100" s="225"/>
      <c r="AX100">
        <f t="shared" si="100"/>
        <v>0</v>
      </c>
      <c r="AY100">
        <f t="shared" si="101"/>
        <v>0</v>
      </c>
    </row>
    <row r="101" spans="14:51" x14ac:dyDescent="0.2">
      <c r="N101" s="170">
        <v>83</v>
      </c>
      <c r="O101" s="199">
        <f t="shared" si="76"/>
        <v>67.60829753919819</v>
      </c>
      <c r="P101" s="189" t="str">
        <f t="shared" si="67"/>
        <v>1757.57575757576</v>
      </c>
      <c r="Q101" s="160" t="str">
        <f t="shared" si="68"/>
        <v>1+24.4965382937724i</v>
      </c>
      <c r="R101" s="160">
        <f t="shared" si="77"/>
        <v>24.516940844613089</v>
      </c>
      <c r="S101" s="160">
        <f t="shared" si="78"/>
        <v>1.5299968855992112</v>
      </c>
      <c r="T101" s="160" t="str">
        <f t="shared" si="69"/>
        <v>1+0.118942729287681i</v>
      </c>
      <c r="U101" s="160">
        <f t="shared" si="79"/>
        <v>1.0070488433290623</v>
      </c>
      <c r="V101" s="160">
        <f t="shared" si="80"/>
        <v>0.11838653388479851</v>
      </c>
      <c r="W101" s="98" t="str">
        <f t="shared" si="70"/>
        <v>1-0.0000765516821680384i</v>
      </c>
      <c r="X101" s="160">
        <f t="shared" si="81"/>
        <v>1.00000000293008</v>
      </c>
      <c r="Y101" s="160">
        <f t="shared" si="82"/>
        <v>-7.6551682018503365E-5</v>
      </c>
      <c r="Z101" s="98" t="str">
        <f t="shared" si="71"/>
        <v>0.999998171647242-0.00179956572460494i</v>
      </c>
      <c r="AA101" s="160">
        <f t="shared" si="83"/>
        <v>0.99999979086729029</v>
      </c>
      <c r="AB101" s="160">
        <f t="shared" si="84"/>
        <v>-1.7995670722517436E-3</v>
      </c>
      <c r="AC101" s="171" t="str">
        <f t="shared" si="85"/>
        <v>11.566527310138-71.2609584005301i</v>
      </c>
      <c r="AD101" s="190">
        <f t="shared" si="86"/>
        <v>37.169968031690615</v>
      </c>
      <c r="AE101" s="169">
        <f t="shared" si="87"/>
        <v>-80.780593960317105</v>
      </c>
      <c r="AF101" s="98" t="str">
        <f t="shared" si="72"/>
        <v>-0.0000114342530449913</v>
      </c>
      <c r="AG101" s="98" t="str">
        <f t="shared" si="73"/>
        <v>0.000050996695182093i</v>
      </c>
      <c r="AH101" s="98">
        <f t="shared" si="88"/>
        <v>5.0996695182093E-5</v>
      </c>
      <c r="AI101" s="98">
        <f t="shared" si="89"/>
        <v>1.5707963267948966</v>
      </c>
      <c r="AJ101" s="98" t="str">
        <f t="shared" si="74"/>
        <v>1+0.000467080391086268i</v>
      </c>
      <c r="AK101" s="98">
        <f t="shared" si="90"/>
        <v>1.0000001090820398</v>
      </c>
      <c r="AL101" s="98">
        <f t="shared" si="91"/>
        <v>4.6708035711954935E-4</v>
      </c>
      <c r="AM101" s="98" t="str">
        <f t="shared" si="75"/>
        <v>1+1.12146001899813i</v>
      </c>
      <c r="AN101" s="98">
        <f t="shared" si="92"/>
        <v>1.5025553481357303</v>
      </c>
      <c r="AO101" s="98">
        <f t="shared" si="93"/>
        <v>0.8425887616899842</v>
      </c>
      <c r="AP101" s="168" t="str">
        <f t="shared" si="94"/>
        <v>-0.251344015127812+0.224332967206371i</v>
      </c>
      <c r="AQ101" s="98">
        <f t="shared" si="95"/>
        <v>-9.4500760474321392</v>
      </c>
      <c r="AR101" s="169">
        <f t="shared" si="96"/>
        <v>138.25001817683409</v>
      </c>
      <c r="AS101" s="168" t="str">
        <f t="shared" si="97"/>
        <v>13.0790048287451+20.505768798002i</v>
      </c>
      <c r="AT101" s="190">
        <f t="shared" si="98"/>
        <v>27.719891984258478</v>
      </c>
      <c r="AU101" s="169">
        <f t="shared" si="99"/>
        <v>57.469424216516998</v>
      </c>
      <c r="AV101" s="225"/>
      <c r="AX101">
        <f t="shared" si="100"/>
        <v>0</v>
      </c>
      <c r="AY101">
        <f t="shared" si="101"/>
        <v>0</v>
      </c>
    </row>
    <row r="102" spans="14:51" x14ac:dyDescent="0.2">
      <c r="N102" s="170">
        <v>84</v>
      </c>
      <c r="O102" s="199">
        <f t="shared" si="76"/>
        <v>69.183097091893657</v>
      </c>
      <c r="P102" s="189" t="str">
        <f t="shared" si="67"/>
        <v>1757.57575757576</v>
      </c>
      <c r="Q102" s="160" t="str">
        <f t="shared" si="68"/>
        <v>1+25.0671359711544i</v>
      </c>
      <c r="R102" s="160">
        <f t="shared" si="77"/>
        <v>25.087074476637223</v>
      </c>
      <c r="S102" s="160">
        <f t="shared" si="78"/>
        <v>1.5309245988579916</v>
      </c>
      <c r="T102" s="160" t="str">
        <f t="shared" si="69"/>
        <v>1+0.12171326136283i</v>
      </c>
      <c r="U102" s="160">
        <f t="shared" si="79"/>
        <v>1.0073798280646564</v>
      </c>
      <c r="V102" s="160">
        <f t="shared" si="80"/>
        <v>0.12111752279824854</v>
      </c>
      <c r="W102" s="98" t="str">
        <f t="shared" si="70"/>
        <v>1-0.0000783347999098572i</v>
      </c>
      <c r="X102" s="160">
        <f t="shared" si="81"/>
        <v>1.0000000030681704</v>
      </c>
      <c r="Y102" s="160">
        <f t="shared" si="82"/>
        <v>-7.8334799749627524E-5</v>
      </c>
      <c r="Z102" s="98" t="str">
        <f t="shared" si="71"/>
        <v>0.999998085479631-0.00184148299513687i</v>
      </c>
      <c r="AA102" s="160">
        <f t="shared" si="83"/>
        <v>0.9999997810112502</v>
      </c>
      <c r="AB102" s="160">
        <f t="shared" si="84"/>
        <v>-1.8414844391663936E-3</v>
      </c>
      <c r="AC102" s="171" t="str">
        <f t="shared" si="85"/>
        <v>11.4357801560418-69.6433954192923i</v>
      </c>
      <c r="AD102" s="190">
        <f t="shared" si="86"/>
        <v>36.973147624645478</v>
      </c>
      <c r="AE102" s="169">
        <f t="shared" si="87"/>
        <v>-80.674974352913722</v>
      </c>
      <c r="AF102" s="98" t="str">
        <f t="shared" si="72"/>
        <v>-0.0000114342530449913</v>
      </c>
      <c r="AG102" s="98" t="str">
        <f t="shared" si="73"/>
        <v>0.0000521845608093135i</v>
      </c>
      <c r="AH102" s="98">
        <f t="shared" si="88"/>
        <v>5.2184560809313498E-5</v>
      </c>
      <c r="AI102" s="98">
        <f t="shared" si="89"/>
        <v>1.5707963267948966</v>
      </c>
      <c r="AJ102" s="98" t="str">
        <f t="shared" si="74"/>
        <v>1+0.000477960091030332i</v>
      </c>
      <c r="AK102" s="98">
        <f t="shared" si="90"/>
        <v>1.0000001142229178</v>
      </c>
      <c r="AL102" s="98">
        <f t="shared" si="91"/>
        <v>4.7796005463433746E-4</v>
      </c>
      <c r="AM102" s="98" t="str">
        <f t="shared" si="75"/>
        <v>1+1.14758217856383i</v>
      </c>
      <c r="AN102" s="98">
        <f t="shared" si="92"/>
        <v>1.5221513908141024</v>
      </c>
      <c r="AO102" s="98">
        <f t="shared" si="93"/>
        <v>0.85401044707541041</v>
      </c>
      <c r="AP102" s="168" t="str">
        <f t="shared" si="94"/>
        <v>-0.251344012543554+0.219231932289325i</v>
      </c>
      <c r="AQ102" s="98">
        <f t="shared" si="95"/>
        <v>-9.5375286881922641</v>
      </c>
      <c r="AR102" s="169">
        <f t="shared" si="96"/>
        <v>138.90380918359514</v>
      </c>
      <c r="AS102" s="168" t="str">
        <f t="shared" si="97"/>
        <v>12.3937412779755+20.0115386326873i</v>
      </c>
      <c r="AT102" s="190">
        <f t="shared" si="98"/>
        <v>27.435618936453231</v>
      </c>
      <c r="AU102" s="169">
        <f t="shared" si="99"/>
        <v>58.228834830681429</v>
      </c>
      <c r="AV102" s="225"/>
      <c r="AX102">
        <f t="shared" si="100"/>
        <v>0</v>
      </c>
      <c r="AY102">
        <f t="shared" si="101"/>
        <v>0</v>
      </c>
    </row>
    <row r="103" spans="14:51" x14ac:dyDescent="0.2">
      <c r="N103" s="170">
        <v>85</v>
      </c>
      <c r="O103" s="199">
        <f t="shared" si="76"/>
        <v>70.794578438413865</v>
      </c>
      <c r="P103" s="189" t="str">
        <f t="shared" si="67"/>
        <v>1757.57575757576</v>
      </c>
      <c r="Q103" s="160" t="str">
        <f t="shared" si="68"/>
        <v>1+25.6510245758311i</v>
      </c>
      <c r="R103" s="160">
        <f t="shared" si="77"/>
        <v>25.670509574020752</v>
      </c>
      <c r="S103" s="160">
        <f t="shared" si="78"/>
        <v>1.5318312611423255</v>
      </c>
      <c r="T103" s="160" t="str">
        <f t="shared" si="69"/>
        <v>1+0.12454832742022i</v>
      </c>
      <c r="U103" s="160">
        <f t="shared" si="79"/>
        <v>1.0077262951134967</v>
      </c>
      <c r="V103" s="160">
        <f t="shared" si="80"/>
        <v>0.1239102460814466</v>
      </c>
      <c r="W103" s="98" t="str">
        <f t="shared" si="70"/>
        <v>1-0.0000801594517994721i</v>
      </c>
      <c r="X103" s="160">
        <f t="shared" si="81"/>
        <v>1.0000000032127687</v>
      </c>
      <c r="Y103" s="160">
        <f t="shared" si="82"/>
        <v>-8.0159451627782917E-5</v>
      </c>
      <c r="Z103" s="98" t="str">
        <f t="shared" si="71"/>
        <v>0.999997995251065-0.00188437664432774i</v>
      </c>
      <c r="AA103" s="160">
        <f t="shared" si="83"/>
        <v>0.9999997706907171</v>
      </c>
      <c r="AB103" s="160">
        <f t="shared" si="84"/>
        <v>-1.8843781916332042E-3</v>
      </c>
      <c r="AC103" s="171" t="str">
        <f t="shared" si="85"/>
        <v>11.3108992657427-68.0622893716625i</v>
      </c>
      <c r="AD103" s="190">
        <f t="shared" si="86"/>
        <v>36.77644511794702</v>
      </c>
      <c r="AE103" s="169">
        <f t="shared" si="87"/>
        <v>-80.564557931642426</v>
      </c>
      <c r="AF103" s="98" t="str">
        <f t="shared" si="72"/>
        <v>-0.0000114342530449913</v>
      </c>
      <c r="AG103" s="98" t="str">
        <f t="shared" si="73"/>
        <v>0.0000534000953814194i</v>
      </c>
      <c r="AH103" s="98">
        <f t="shared" si="88"/>
        <v>5.3400095381419401E-5</v>
      </c>
      <c r="AI103" s="98">
        <f t="shared" si="89"/>
        <v>1.5707963267948966</v>
      </c>
      <c r="AJ103" s="98" t="str">
        <f t="shared" si="74"/>
        <v>1+0.000489093211741211i</v>
      </c>
      <c r="AK103" s="98">
        <f t="shared" si="90"/>
        <v>1.0000001196060777</v>
      </c>
      <c r="AL103" s="98">
        <f t="shared" si="91"/>
        <v>4.8909317274220044E-4</v>
      </c>
      <c r="AM103" s="98" t="str">
        <f t="shared" si="75"/>
        <v>1+1.17431280139065i</v>
      </c>
      <c r="AN103" s="98">
        <f t="shared" si="92"/>
        <v>1.5424041479164778</v>
      </c>
      <c r="AO103" s="98">
        <f t="shared" si="93"/>
        <v>0.86539621763965913</v>
      </c>
      <c r="AP103" s="168" t="str">
        <f t="shared" si="94"/>
        <v>-0.251344009837505+0.214247137044539i</v>
      </c>
      <c r="AQ103" s="98">
        <f t="shared" si="95"/>
        <v>-9.6227220219324074</v>
      </c>
      <c r="AR103" s="169">
        <f t="shared" si="96"/>
        <v>139.55552790275058</v>
      </c>
      <c r="AS103" s="168" t="str">
        <f t="shared" si="97"/>
        <v>11.7392238622558+19.5303765144788i</v>
      </c>
      <c r="AT103" s="190">
        <f t="shared" si="98"/>
        <v>27.153723096014613</v>
      </c>
      <c r="AU103" s="169">
        <f t="shared" si="99"/>
        <v>58.990969971108157</v>
      </c>
      <c r="AV103" s="225"/>
      <c r="AX103">
        <f t="shared" si="100"/>
        <v>0</v>
      </c>
      <c r="AY103">
        <f t="shared" si="101"/>
        <v>0</v>
      </c>
    </row>
    <row r="104" spans="14:51" x14ac:dyDescent="0.2">
      <c r="N104" s="170">
        <v>86</v>
      </c>
      <c r="O104" s="199">
        <f t="shared" si="76"/>
        <v>72.443596007499011</v>
      </c>
      <c r="P104" s="189" t="str">
        <f t="shared" si="67"/>
        <v>1757.57575757576</v>
      </c>
      <c r="Q104" s="160" t="str">
        <f t="shared" si="68"/>
        <v>1+26.2485136932693i</v>
      </c>
      <c r="R104" s="160">
        <f t="shared" si="77"/>
        <v>26.267555484013847</v>
      </c>
      <c r="S104" s="160">
        <f t="shared" si="78"/>
        <v>1.5327173472106796</v>
      </c>
      <c r="T104" s="160" t="str">
        <f t="shared" si="69"/>
        <v>1+0.1274494306494i</v>
      </c>
      <c r="U104" s="160">
        <f t="shared" si="79"/>
        <v>1.008088963025018</v>
      </c>
      <c r="V104" s="160">
        <f t="shared" si="80"/>
        <v>0.1267660101295682</v>
      </c>
      <c r="W104" s="98" t="str">
        <f t="shared" si="70"/>
        <v>1-0.0000820266052914664i</v>
      </c>
      <c r="X104" s="160">
        <f t="shared" si="81"/>
        <v>1.0000000033641818</v>
      </c>
      <c r="Y104" s="160">
        <f t="shared" si="82"/>
        <v>-8.2026605107498115E-5</v>
      </c>
      <c r="Z104" s="98" t="str">
        <f t="shared" si="71"/>
        <v>0.999997900770159-0.00192826941495809i</v>
      </c>
      <c r="AA104" s="160">
        <f t="shared" si="83"/>
        <v>0.99999975988380196</v>
      </c>
      <c r="AB104" s="160">
        <f t="shared" si="84"/>
        <v>-1.92827107292571E-3</v>
      </c>
      <c r="AC104" s="171" t="str">
        <f t="shared" si="85"/>
        <v>11.1916222165838-66.5168331384743i</v>
      </c>
      <c r="AD104" s="190">
        <f t="shared" si="86"/>
        <v>36.57986722170012</v>
      </c>
      <c r="AE104" s="169">
        <f t="shared" si="87"/>
        <v>-80.449295799567324</v>
      </c>
      <c r="AF104" s="98" t="str">
        <f t="shared" si="72"/>
        <v>-0.0000114342530449913</v>
      </c>
      <c r="AG104" s="98" t="str">
        <f t="shared" si="73"/>
        <v>0.0000546439433909303i</v>
      </c>
      <c r="AH104" s="98">
        <f t="shared" si="88"/>
        <v>5.4643943390930301E-5</v>
      </c>
      <c r="AI104" s="98">
        <f t="shared" si="89"/>
        <v>1.5707963267948966</v>
      </c>
      <c r="AJ104" s="98" t="str">
        <f t="shared" si="74"/>
        <v>1+0.000500485656146867i</v>
      </c>
      <c r="AK104" s="98">
        <f t="shared" si="90"/>
        <v>1.0000001252429382</v>
      </c>
      <c r="AL104" s="98">
        <f t="shared" si="91"/>
        <v>5.0048561435867467E-4</v>
      </c>
      <c r="AM104" s="98" t="str">
        <f t="shared" si="75"/>
        <v>1+1.20166606040863i</v>
      </c>
      <c r="AN104" s="98">
        <f t="shared" si="92"/>
        <v>1.5633302020808006</v>
      </c>
      <c r="AO104" s="98">
        <f t="shared" si="93"/>
        <v>0.8767403031151777</v>
      </c>
      <c r="AP104" s="168" t="str">
        <f t="shared" si="94"/>
        <v>-0.251344007003923+0.209375938467586i</v>
      </c>
      <c r="AQ104" s="98">
        <f t="shared" si="95"/>
        <v>-9.7056713980306313</v>
      </c>
      <c r="AR104" s="169">
        <f t="shared" si="96"/>
        <v>140.20484338411057</v>
      </c>
      <c r="AS104" s="168" t="str">
        <f t="shared" si="97"/>
        <v>11.1140771894696+19.0618637788074i</v>
      </c>
      <c r="AT104" s="190">
        <f t="shared" si="98"/>
        <v>26.874195823669496</v>
      </c>
      <c r="AU104" s="169">
        <f t="shared" si="99"/>
        <v>59.755547584543251</v>
      </c>
      <c r="AV104" s="225"/>
      <c r="AX104">
        <f t="shared" si="100"/>
        <v>0</v>
      </c>
      <c r="AY104">
        <f t="shared" si="101"/>
        <v>0</v>
      </c>
    </row>
    <row r="105" spans="14:51" x14ac:dyDescent="0.2">
      <c r="N105" s="170">
        <v>87</v>
      </c>
      <c r="O105" s="199">
        <f t="shared" si="76"/>
        <v>74.131024130091816</v>
      </c>
      <c r="P105" s="189" t="str">
        <f t="shared" si="67"/>
        <v>1757.57575757576</v>
      </c>
      <c r="Q105" s="160" t="str">
        <f t="shared" si="68"/>
        <v>1+26.859920120108i</v>
      </c>
      <c r="R105" s="160">
        <f t="shared" si="77"/>
        <v>26.878528770350933</v>
      </c>
      <c r="S105" s="160">
        <f t="shared" si="78"/>
        <v>1.5335833213087682</v>
      </c>
      <c r="T105" s="160" t="str">
        <f t="shared" si="69"/>
        <v>1+0.130418109253703i</v>
      </c>
      <c r="U105" s="160">
        <f t="shared" si="79"/>
        <v>1.0084685831602842</v>
      </c>
      <c r="V105" s="160">
        <f t="shared" si="80"/>
        <v>0.12968614268815834</v>
      </c>
      <c r="W105" s="98" t="str">
        <f t="shared" si="70"/>
        <v>1-0.0000839372503753371i</v>
      </c>
      <c r="X105" s="160">
        <f t="shared" si="81"/>
        <v>1.000000003522731</v>
      </c>
      <c r="Y105" s="160">
        <f t="shared" si="82"/>
        <v>-8.3937250178211527E-5</v>
      </c>
      <c r="Z105" s="98" t="str">
        <f t="shared" si="71"/>
        <v>0.999997801836505-0.00197318457955593i</v>
      </c>
      <c r="AA105" s="160">
        <f t="shared" si="83"/>
        <v>0.99999974856758178</v>
      </c>
      <c r="AB105" s="160">
        <f t="shared" si="84"/>
        <v>-1.9731863561001798E-3</v>
      </c>
      <c r="AC105" s="171" t="str">
        <f t="shared" si="85"/>
        <v>11.0776982560152-65.0062364300128i</v>
      </c>
      <c r="AD105" s="190">
        <f t="shared" si="86"/>
        <v>36.383420884037754</v>
      </c>
      <c r="AE105" s="169">
        <f t="shared" si="87"/>
        <v>-80.329137205066601</v>
      </c>
      <c r="AF105" s="98" t="str">
        <f t="shared" si="72"/>
        <v>-0.0000114342530449913</v>
      </c>
      <c r="AG105" s="98" t="str">
        <f t="shared" si="73"/>
        <v>0.0000559167643425252i</v>
      </c>
      <c r="AH105" s="98">
        <f t="shared" si="88"/>
        <v>5.5916764342525197E-5</v>
      </c>
      <c r="AI105" s="98">
        <f t="shared" si="89"/>
        <v>1.5707963267948966</v>
      </c>
      <c r="AJ105" s="98" t="str">
        <f t="shared" si="74"/>
        <v>1+0.000512143464672125i</v>
      </c>
      <c r="AK105" s="98">
        <f t="shared" si="90"/>
        <v>1.0000001311454556</v>
      </c>
      <c r="AL105" s="98">
        <f t="shared" si="91"/>
        <v>5.1214341989527042E-4</v>
      </c>
      <c r="AM105" s="98" t="str">
        <f t="shared" si="75"/>
        <v>1+1.22965645867777i</v>
      </c>
      <c r="AN105" s="98">
        <f t="shared" si="92"/>
        <v>1.5849463733413678</v>
      </c>
      <c r="AO105" s="98">
        <f t="shared" si="93"/>
        <v>0.88803704028644004</v>
      </c>
      <c r="AP105" s="168" t="str">
        <f t="shared" si="94"/>
        <v>-0.251344004036798+0.204615753784493i</v>
      </c>
      <c r="AQ105" s="98">
        <f t="shared" si="95"/>
        <v>-9.7863943629501708</v>
      </c>
      <c r="AR105" s="169">
        <f t="shared" si="96"/>
        <v>140.85143080323681</v>
      </c>
      <c r="AS105" s="168" t="str">
        <f t="shared" si="97"/>
        <v>10.5169870326417+18.6055993305339i</v>
      </c>
      <c r="AT105" s="190">
        <f t="shared" si="98"/>
        <v>26.597026521087578</v>
      </c>
      <c r="AU105" s="169">
        <f t="shared" si="99"/>
        <v>60.522293598170272</v>
      </c>
      <c r="AV105" s="225"/>
      <c r="AX105">
        <f t="shared" si="100"/>
        <v>0</v>
      </c>
      <c r="AY105">
        <f t="shared" si="101"/>
        <v>0</v>
      </c>
    </row>
    <row r="106" spans="14:51" x14ac:dyDescent="0.2">
      <c r="N106" s="170">
        <v>88</v>
      </c>
      <c r="O106" s="199">
        <f t="shared" si="76"/>
        <v>75.857757502918361</v>
      </c>
      <c r="P106" s="189" t="str">
        <f t="shared" si="67"/>
        <v>1757.57575757576</v>
      </c>
      <c r="Q106" s="160" t="str">
        <f t="shared" si="68"/>
        <v>1+27.4855680321273i</v>
      </c>
      <c r="R106" s="160">
        <f t="shared" si="77"/>
        <v>27.503753381105973</v>
      </c>
      <c r="S106" s="160">
        <f t="shared" si="78"/>
        <v>1.5344296373893254</v>
      </c>
      <c r="T106" s="160" t="str">
        <f t="shared" si="69"/>
        <v>1+0.13345593726582i</v>
      </c>
      <c r="U106" s="160">
        <f t="shared" si="79"/>
        <v>1.0088659411396039</v>
      </c>
      <c r="V106" s="160">
        <f t="shared" si="80"/>
        <v>0.13267199274037858</v>
      </c>
      <c r="W106" s="98" t="str">
        <f t="shared" si="70"/>
        <v>1-0.0000858924001003976i</v>
      </c>
      <c r="X106" s="160">
        <f t="shared" si="81"/>
        <v>1.0000000036887522</v>
      </c>
      <c r="Y106" s="160">
        <f t="shared" si="82"/>
        <v>-8.5892399889173746E-5</v>
      </c>
      <c r="Z106" s="98" t="str">
        <f t="shared" si="71"/>
        <v>0.999997698240251-0.00201914595273602i</v>
      </c>
      <c r="AA106" s="160">
        <f t="shared" si="83"/>
        <v>0.99999973671805453</v>
      </c>
      <c r="AB106" s="160">
        <f t="shared" si="84"/>
        <v>-2.0191478563374109E-3</v>
      </c>
      <c r="AC106" s="171" t="str">
        <f t="shared" si="85"/>
        <v>10.9688877886733-63.5297255042259i</v>
      </c>
      <c r="AD106" s="190">
        <f t="shared" si="86"/>
        <v>36.187113303357606</v>
      </c>
      <c r="AE106" s="169">
        <f t="shared" si="87"/>
        <v>-80.204029560208596</v>
      </c>
      <c r="AF106" s="98" t="str">
        <f t="shared" si="72"/>
        <v>-0.0000114342530449913</v>
      </c>
      <c r="AG106" s="98" t="str">
        <f t="shared" si="73"/>
        <v>0.0000572192331027203i</v>
      </c>
      <c r="AH106" s="98">
        <f t="shared" si="88"/>
        <v>5.7219233102720302E-5</v>
      </c>
      <c r="AI106" s="98">
        <f t="shared" si="89"/>
        <v>1.5707963267948966</v>
      </c>
      <c r="AJ106" s="98" t="str">
        <f t="shared" si="74"/>
        <v>1+0.000524072818441371i</v>
      </c>
      <c r="AK106" s="98">
        <f t="shared" si="90"/>
        <v>1.0000001373261502</v>
      </c>
      <c r="AL106" s="98">
        <f t="shared" si="91"/>
        <v>5.240727704621073E-4</v>
      </c>
      <c r="AM106" s="98" t="str">
        <f t="shared" si="75"/>
        <v>1+1.25829883707773i</v>
      </c>
      <c r="AN106" s="98">
        <f t="shared" si="92"/>
        <v>1.607269723285786</v>
      </c>
      <c r="AO106" s="98">
        <f t="shared" si="93"/>
        <v>0.89928088638798276</v>
      </c>
      <c r="AP106" s="168" t="str">
        <f t="shared" si="94"/>
        <v>-0.251344000929837+0.199964059082324i</v>
      </c>
      <c r="AQ106" s="98">
        <f t="shared" si="95"/>
        <v>-9.8649105891517248</v>
      </c>
      <c r="AR106" s="169">
        <f t="shared" si="96"/>
        <v>141.49497222890986</v>
      </c>
      <c r="AS106" s="168" t="str">
        <f t="shared" si="97"/>
        <v>9.94669764165528+18.1611987120481i</v>
      </c>
      <c r="AT106" s="190">
        <f t="shared" si="98"/>
        <v>26.322202714205879</v>
      </c>
      <c r="AU106" s="169">
        <f t="shared" si="99"/>
        <v>61.29094266870127</v>
      </c>
      <c r="AV106" s="225"/>
      <c r="AX106">
        <f t="shared" si="100"/>
        <v>0</v>
      </c>
      <c r="AY106">
        <f t="shared" si="101"/>
        <v>0</v>
      </c>
    </row>
    <row r="107" spans="14:51" x14ac:dyDescent="0.2">
      <c r="N107" s="170">
        <v>89</v>
      </c>
      <c r="O107" s="199">
        <f t="shared" si="76"/>
        <v>77.624711662869217</v>
      </c>
      <c r="P107" s="189" t="str">
        <f t="shared" si="67"/>
        <v>1757.57575757576</v>
      </c>
      <c r="Q107" s="160" t="str">
        <f t="shared" si="68"/>
        <v>1+28.1257891561318i</v>
      </c>
      <c r="R107" s="160">
        <f t="shared" si="77"/>
        <v>28.14356082046444</v>
      </c>
      <c r="S107" s="160">
        <f t="shared" si="78"/>
        <v>1.5352567393281742</v>
      </c>
      <c r="T107" s="160" t="str">
        <f t="shared" si="69"/>
        <v>1+0.136564525382374i</v>
      </c>
      <c r="U107" s="160">
        <f t="shared" si="79"/>
        <v>1.0092818583492489</v>
      </c>
      <c r="V107" s="160">
        <f t="shared" si="80"/>
        <v>0.13572493035260152</v>
      </c>
      <c r="W107" s="98" t="str">
        <f t="shared" si="70"/>
        <v>1-0.0000878930911129117i</v>
      </c>
      <c r="X107" s="160">
        <f t="shared" si="81"/>
        <v>1.0000000038625976</v>
      </c>
      <c r="Y107" s="160">
        <f t="shared" si="82"/>
        <v>-8.7893090886581268E-5</v>
      </c>
      <c r="Z107" s="98" t="str">
        <f t="shared" si="71"/>
        <v>0.999997589761656-0.00206617790382682i</v>
      </c>
      <c r="AA107" s="160">
        <f t="shared" si="83"/>
        <v>0.99999972431008777</v>
      </c>
      <c r="AB107" s="160">
        <f t="shared" si="84"/>
        <v>-2.066179943572383E-3</v>
      </c>
      <c r="AC107" s="171" t="str">
        <f t="shared" si="85"/>
        <v>10.8649618854679-62.086542884658i</v>
      </c>
      <c r="AD107" s="190">
        <f t="shared" si="86"/>
        <v>35.990951940863006</v>
      </c>
      <c r="AE107" s="169">
        <f t="shared" si="87"/>
        <v>-80.073918461284507</v>
      </c>
      <c r="AF107" s="98" t="str">
        <f t="shared" si="72"/>
        <v>-0.0000114342530449913</v>
      </c>
      <c r="AG107" s="98" t="str">
        <f t="shared" si="73"/>
        <v>0.0000585520402576927i</v>
      </c>
      <c r="AH107" s="98">
        <f t="shared" si="88"/>
        <v>5.8552040257692699E-5</v>
      </c>
      <c r="AI107" s="98">
        <f t="shared" si="89"/>
        <v>1.5707963267948966</v>
      </c>
      <c r="AJ107" s="98" t="str">
        <f t="shared" si="74"/>
        <v>1+0.00053628004255588i</v>
      </c>
      <c r="AK107" s="98">
        <f t="shared" si="90"/>
        <v>1.0000001437981316</v>
      </c>
      <c r="AL107" s="98">
        <f t="shared" si="91"/>
        <v>5.3627999114517306E-4</v>
      </c>
      <c r="AM107" s="98" t="str">
        <f t="shared" si="75"/>
        <v>1+1.28760838217667i</v>
      </c>
      <c r="AN107" s="98">
        <f t="shared" si="92"/>
        <v>1.6303175598182158</v>
      </c>
      <c r="AO107" s="98">
        <f t="shared" si="93"/>
        <v>0.9104664317697736</v>
      </c>
      <c r="AP107" s="168" t="str">
        <f t="shared" si="94"/>
        <v>-0.251343997676451+0.195418387970964i</v>
      </c>
      <c r="AQ107" s="98">
        <f t="shared" si="95"/>
        <v>-9.9412417964016875</v>
      </c>
      <c r="AR107" s="169">
        <f t="shared" si="96"/>
        <v>142.13515734861366</v>
      </c>
      <c r="AS107" s="168" t="str">
        <f t="shared" si="97"/>
        <v>9.40200917031422+17.7282932275645i</v>
      </c>
      <c r="AT107" s="190">
        <f t="shared" si="98"/>
        <v>26.049710144461329</v>
      </c>
      <c r="AU107" s="169">
        <f t="shared" si="99"/>
        <v>62.061238887329218</v>
      </c>
      <c r="AV107" s="225"/>
      <c r="AX107">
        <f t="shared" si="100"/>
        <v>0</v>
      </c>
      <c r="AY107">
        <f t="shared" si="101"/>
        <v>0</v>
      </c>
    </row>
    <row r="108" spans="14:51" x14ac:dyDescent="0.2">
      <c r="N108" s="170">
        <v>90</v>
      </c>
      <c r="O108" s="199">
        <f t="shared" si="76"/>
        <v>79.432823472428197</v>
      </c>
      <c r="P108" s="189" t="str">
        <f t="shared" si="67"/>
        <v>1757.57575757576</v>
      </c>
      <c r="Q108" s="160" t="str">
        <f t="shared" si="68"/>
        <v>1+28.7809229458357i</v>
      </c>
      <c r="R108" s="160">
        <f t="shared" si="77"/>
        <v>28.798290324498986</v>
      </c>
      <c r="S108" s="160">
        <f t="shared" si="78"/>
        <v>1.5360650611365776</v>
      </c>
      <c r="T108" s="160" t="str">
        <f t="shared" si="69"/>
        <v>1+0.13974552181793i</v>
      </c>
      <c r="U108" s="160">
        <f t="shared" si="79"/>
        <v>1.0097171935092348</v>
      </c>
      <c r="V108" s="160">
        <f t="shared" si="80"/>
        <v>0.13884634647511446</v>
      </c>
      <c r="W108" s="98" t="str">
        <f t="shared" si="70"/>
        <v>1-0.0000899403842057364i</v>
      </c>
      <c r="X108" s="160">
        <f t="shared" si="81"/>
        <v>1.0000000040446364</v>
      </c>
      <c r="Y108" s="160">
        <f t="shared" si="82"/>
        <v>-8.9940383963218963E-5</v>
      </c>
      <c r="Z108" s="98" t="str">
        <f t="shared" si="71"/>
        <v>0.999997476170622-0.00211430536979133i</v>
      </c>
      <c r="AA108" s="160">
        <f t="shared" si="83"/>
        <v>0.99999971131736354</v>
      </c>
      <c r="AB108" s="160">
        <f t="shared" si="84"/>
        <v>-2.1143075554179917E-3</v>
      </c>
      <c r="AC108" s="171" t="str">
        <f t="shared" si="85"/>
        <v>10.7657018137806-60.6759470785709i</v>
      </c>
      <c r="AD108" s="190">
        <f t="shared" si="86"/>
        <v>35.794944533417649</v>
      </c>
      <c r="AE108" s="169">
        <f t="shared" si="87"/>
        <v>-79.938747711686332</v>
      </c>
      <c r="AF108" s="98" t="str">
        <f t="shared" si="72"/>
        <v>-0.0000114342530449913</v>
      </c>
      <c r="AG108" s="98" t="str">
        <f t="shared" si="73"/>
        <v>0.0000599158924794376i</v>
      </c>
      <c r="AH108" s="98">
        <f t="shared" si="88"/>
        <v>5.9915892479437601E-5</v>
      </c>
      <c r="AI108" s="98">
        <f t="shared" si="89"/>
        <v>1.5707963267948966</v>
      </c>
      <c r="AJ108" s="98" t="str">
        <f t="shared" si="74"/>
        <v>1+0.000548771609447456i</v>
      </c>
      <c r="AK108" s="98">
        <f t="shared" si="90"/>
        <v>1.0000001505751284</v>
      </c>
      <c r="AL108" s="98">
        <f t="shared" si="91"/>
        <v>5.4877155435989152E-4</v>
      </c>
      <c r="AM108" s="98" t="str">
        <f t="shared" si="75"/>
        <v>1+1.31760063428334i</v>
      </c>
      <c r="AN108" s="98">
        <f t="shared" si="92"/>
        <v>1.6541074425392868</v>
      </c>
      <c r="AO108" s="98">
        <f t="shared" si="93"/>
        <v>0.92158841176574691</v>
      </c>
      <c r="AP108" s="168" t="str">
        <f t="shared" si="94"/>
        <v>-0.251343994269736+0.190976330275408i</v>
      </c>
      <c r="AQ108" s="98">
        <f t="shared" si="95"/>
        <v>-10.015411666130127</v>
      </c>
      <c r="AR108" s="169">
        <f t="shared" si="96"/>
        <v>142.77168414836032</v>
      </c>
      <c r="AS108" s="168" t="str">
        <f t="shared" si="97"/>
        <v>8.88177521405778+17.3065291200623i</v>
      </c>
      <c r="AT108" s="190">
        <f t="shared" si="98"/>
        <v>25.779532867287539</v>
      </c>
      <c r="AU108" s="169">
        <f t="shared" si="99"/>
        <v>62.832936436674039</v>
      </c>
      <c r="AV108" s="225"/>
      <c r="AX108">
        <f t="shared" si="100"/>
        <v>0</v>
      </c>
      <c r="AY108">
        <f t="shared" si="101"/>
        <v>0</v>
      </c>
    </row>
    <row r="109" spans="14:51" x14ac:dyDescent="0.2">
      <c r="N109" s="170">
        <v>91</v>
      </c>
      <c r="O109" s="199">
        <f t="shared" si="76"/>
        <v>81.283051616409963</v>
      </c>
      <c r="P109" s="189" t="str">
        <f t="shared" si="67"/>
        <v>1757.57575757576</v>
      </c>
      <c r="Q109" s="160" t="str">
        <f t="shared" si="68"/>
        <v>1+29.451316761846i</v>
      </c>
      <c r="R109" s="160">
        <f t="shared" si="77"/>
        <v>29.468289041045313</v>
      </c>
      <c r="S109" s="160">
        <f t="shared" si="78"/>
        <v>1.5368550271698871</v>
      </c>
      <c r="T109" s="160" t="str">
        <f t="shared" si="69"/>
        <v>1+0.143000613178905i</v>
      </c>
      <c r="U109" s="160">
        <f t="shared" si="79"/>
        <v>1.0101728443041531</v>
      </c>
      <c r="V109" s="160">
        <f t="shared" si="80"/>
        <v>0.14203765269453292</v>
      </c>
      <c r="W109" s="98" t="str">
        <f t="shared" si="70"/>
        <v>1-0.0000920353648807686i</v>
      </c>
      <c r="X109" s="160">
        <f t="shared" si="81"/>
        <v>1.0000000042352541</v>
      </c>
      <c r="Y109" s="160">
        <f t="shared" si="82"/>
        <v>-9.2035364620906488E-5</v>
      </c>
      <c r="Z109" s="98" t="str">
        <f t="shared" si="71"/>
        <v>0.999997357226208-0.00216355386844903i</v>
      </c>
      <c r="AA109" s="160">
        <f t="shared" si="83"/>
        <v>0.99999969771232522</v>
      </c>
      <c r="AB109" s="160">
        <f t="shared" si="84"/>
        <v>-2.1635562103900939E-3</v>
      </c>
      <c r="AC109" s="171" t="str">
        <f t="shared" si="85"/>
        <v>10.6708985879117-59.2972122956355i</v>
      </c>
      <c r="AD109" s="190">
        <f t="shared" si="86"/>
        <v>35.599099106716665</v>
      </c>
      <c r="AE109" s="169">
        <f t="shared" si="87"/>
        <v>-79.798459347320374</v>
      </c>
      <c r="AF109" s="98" t="str">
        <f t="shared" si="72"/>
        <v>-0.0000114342530449913</v>
      </c>
      <c r="AG109" s="98" t="str">
        <f t="shared" si="73"/>
        <v>0.0000613115129004556i</v>
      </c>
      <c r="AH109" s="98">
        <f t="shared" si="88"/>
        <v>6.1311512900455597E-5</v>
      </c>
      <c r="AI109" s="98">
        <f t="shared" si="89"/>
        <v>1.5707963267948966</v>
      </c>
      <c r="AJ109" s="98" t="str">
        <f t="shared" si="74"/>
        <v>1+0.000561554142310212i</v>
      </c>
      <c r="AK109" s="98">
        <f t="shared" si="90"/>
        <v>1.000000157671515</v>
      </c>
      <c r="AL109" s="98">
        <f t="shared" si="91"/>
        <v>5.615540832828237E-4</v>
      </c>
      <c r="AM109" s="98" t="str">
        <f t="shared" si="75"/>
        <v>1+1.34829149568682i</v>
      </c>
      <c r="AN109" s="98">
        <f t="shared" si="92"/>
        <v>1.6786571887498059</v>
      </c>
      <c r="AO109" s="98">
        <f t="shared" si="93"/>
        <v>0.93264171771005733</v>
      </c>
      <c r="AP109" s="168" t="str">
        <f t="shared" si="94"/>
        <v>-0.251343990702468+0.18663553075786i</v>
      </c>
      <c r="AQ109" s="98">
        <f t="shared" si="95"/>
        <v>-10.087445749535371</v>
      </c>
      <c r="AR109" s="169">
        <f t="shared" si="96"/>
        <v>143.40425954367723</v>
      </c>
      <c r="AS109" s="168" t="str">
        <f t="shared" si="97"/>
        <v>8.38490045379038+16.8955667975347i</v>
      </c>
      <c r="AT109" s="190">
        <f t="shared" si="98"/>
        <v>25.511653357181309</v>
      </c>
      <c r="AU109" s="169">
        <f t="shared" si="99"/>
        <v>63.605800196356881</v>
      </c>
      <c r="AV109" s="225"/>
      <c r="AX109">
        <f t="shared" si="100"/>
        <v>0</v>
      </c>
      <c r="AY109">
        <f t="shared" si="101"/>
        <v>0</v>
      </c>
    </row>
    <row r="110" spans="14:51" x14ac:dyDescent="0.2">
      <c r="N110" s="170">
        <v>92</v>
      </c>
      <c r="O110" s="199">
        <f t="shared" si="76"/>
        <v>83.176377110267126</v>
      </c>
      <c r="P110" s="189" t="str">
        <f t="shared" si="67"/>
        <v>1757.57575757576</v>
      </c>
      <c r="Q110" s="160" t="str">
        <f t="shared" si="68"/>
        <v>1+30.1373260558377i</v>
      </c>
      <c r="R110" s="160">
        <f t="shared" si="77"/>
        <v>30.153912213772095</v>
      </c>
      <c r="S110" s="160">
        <f t="shared" si="78"/>
        <v>1.5376270523324933</v>
      </c>
      <c r="T110" s="160" t="str">
        <f t="shared" si="69"/>
        <v>1+0.146331525357825i</v>
      </c>
      <c r="U110" s="160">
        <f t="shared" si="79"/>
        <v>1.0106497490790505</v>
      </c>
      <c r="V110" s="160">
        <f t="shared" si="80"/>
        <v>0.14530028093431457</v>
      </c>
      <c r="W110" s="98" t="str">
        <f t="shared" si="70"/>
        <v>1-0.0000941791439244927i</v>
      </c>
      <c r="X110" s="160">
        <f t="shared" si="81"/>
        <v>1.0000000044348556</v>
      </c>
      <c r="Y110" s="160">
        <f t="shared" si="82"/>
        <v>-9.4179143646045438E-5</v>
      </c>
      <c r="Z110" s="98" t="str">
        <f t="shared" si="71"/>
        <v>0.999997232676116-0.00221394951200581i</v>
      </c>
      <c r="AA110" s="160">
        <f t="shared" si="83"/>
        <v>0.99999968346611579</v>
      </c>
      <c r="AB110" s="160">
        <f t="shared" si="84"/>
        <v>-2.2139520214407632E-3</v>
      </c>
      <c r="AC110" s="171" t="str">
        <f t="shared" si="85"/>
        <v>10.5803525389381-57.9496281675693i</v>
      </c>
      <c r="AD110" s="190">
        <f t="shared" si="86"/>
        <v>35.403423988779132</v>
      </c>
      <c r="AE110" s="169">
        <f t="shared" si="87"/>
        <v>-79.652993664767877</v>
      </c>
      <c r="AF110" s="98" t="str">
        <f t="shared" si="72"/>
        <v>-0.0000114342530449913</v>
      </c>
      <c r="AG110" s="98" t="str">
        <f t="shared" si="73"/>
        <v>0.0000627396414971673i</v>
      </c>
      <c r="AH110" s="98">
        <f t="shared" si="88"/>
        <v>6.27396414971673E-5</v>
      </c>
      <c r="AI110" s="98">
        <f t="shared" si="89"/>
        <v>1.5707963267948966</v>
      </c>
      <c r="AJ110" s="98" t="str">
        <f t="shared" si="74"/>
        <v>1+0.00057463441861227i</v>
      </c>
      <c r="AK110" s="98">
        <f t="shared" si="90"/>
        <v>1.000000165102344</v>
      </c>
      <c r="AL110" s="98">
        <f t="shared" si="91"/>
        <v>5.7463435536328445E-4</v>
      </c>
      <c r="AM110" s="98" t="str">
        <f t="shared" si="75"/>
        <v>1+1.37969723908806i</v>
      </c>
      <c r="AN110" s="98">
        <f t="shared" si="92"/>
        <v>1.7039848800817496</v>
      </c>
      <c r="AO110" s="98">
        <f t="shared" si="93"/>
        <v>0.94362140705447706</v>
      </c>
      <c r="AP110" s="168" t="str">
        <f t="shared" si="94"/>
        <v>-0.251343986967081+0.182393687868943i</v>
      </c>
      <c r="AQ110" s="98">
        <f t="shared" si="95"/>
        <v>-10.157371370167672</v>
      </c>
      <c r="AR110" s="169">
        <f t="shared" si="96"/>
        <v>144.03259995909232</v>
      </c>
      <c r="AS110" s="168" t="str">
        <f t="shared" si="97"/>
        <v>7.91033840146296+16.4950801054272i</v>
      </c>
      <c r="AT110" s="190">
        <f t="shared" si="98"/>
        <v>25.246052618611468</v>
      </c>
      <c r="AU110" s="169">
        <f t="shared" si="99"/>
        <v>64.379606294324489</v>
      </c>
      <c r="AV110" s="225"/>
      <c r="AX110">
        <f t="shared" si="100"/>
        <v>0</v>
      </c>
      <c r="AY110">
        <f t="shared" si="101"/>
        <v>0</v>
      </c>
    </row>
    <row r="111" spans="14:51" x14ac:dyDescent="0.2">
      <c r="N111" s="170">
        <v>93</v>
      </c>
      <c r="O111" s="199">
        <f t="shared" si="76"/>
        <v>85.113803820237734</v>
      </c>
      <c r="P111" s="189" t="str">
        <f t="shared" si="67"/>
        <v>1757.57575757576</v>
      </c>
      <c r="Q111" s="160" t="str">
        <f t="shared" si="68"/>
        <v>1+30.839314559019i</v>
      </c>
      <c r="R111" s="160">
        <f t="shared" si="77"/>
        <v>30.855523370542937</v>
      </c>
      <c r="S111" s="160">
        <f t="shared" si="78"/>
        <v>1.5383815422790954</v>
      </c>
      <c r="T111" s="160" t="str">
        <f t="shared" si="69"/>
        <v>1+0.149740024448416i</v>
      </c>
      <c r="U111" s="160">
        <f t="shared" si="79"/>
        <v>1.0111488886023721</v>
      </c>
      <c r="V111" s="160">
        <f t="shared" si="80"/>
        <v>0.1486356830996049</v>
      </c>
      <c r="W111" s="98" t="str">
        <f t="shared" si="70"/>
        <v>1-0.0000963728579969341i</v>
      </c>
      <c r="X111" s="160">
        <f t="shared" si="81"/>
        <v>1.0000000046438637</v>
      </c>
      <c r="Y111" s="160">
        <f t="shared" si="82"/>
        <v>-9.6372857698572476E-5</v>
      </c>
      <c r="Z111" s="98" t="str">
        <f t="shared" si="71"/>
        <v>0.99999710225616-0.00226551902089894i</v>
      </c>
      <c r="AA111" s="160">
        <f t="shared" si="83"/>
        <v>0.99999966854852063</v>
      </c>
      <c r="AB111" s="160">
        <f t="shared" si="84"/>
        <v>-2.2655217098068122E-3</v>
      </c>
      <c r="AC111" s="171" t="str">
        <f t="shared" si="85"/>
        <v>10.4938729031845-56.6324994690568i</v>
      </c>
      <c r="AD111" s="190">
        <f t="shared" si="86"/>
        <v>35.207927823765026</v>
      </c>
      <c r="AE111" s="169">
        <f t="shared" si="87"/>
        <v>-79.50228925240576</v>
      </c>
      <c r="AF111" s="98" t="str">
        <f t="shared" si="72"/>
        <v>-0.0000114342530449913</v>
      </c>
      <c r="AG111" s="98" t="str">
        <f t="shared" si="73"/>
        <v>0.0000642010354822581i</v>
      </c>
      <c r="AH111" s="98">
        <f t="shared" si="88"/>
        <v>6.42010354822581E-5</v>
      </c>
      <c r="AI111" s="98">
        <f t="shared" si="89"/>
        <v>1.5707963267948966</v>
      </c>
      <c r="AJ111" s="98" t="str">
        <f t="shared" si="74"/>
        <v>1+0.000588019373689262i</v>
      </c>
      <c r="AK111" s="98">
        <f t="shared" si="90"/>
        <v>1.0000001728833769</v>
      </c>
      <c r="AL111" s="98">
        <f t="shared" si="91"/>
        <v>5.8801930591675347E-4</v>
      </c>
      <c r="AM111" s="98" t="str">
        <f t="shared" si="75"/>
        <v>1+1.41183451622792i</v>
      </c>
      <c r="AN111" s="98">
        <f t="shared" si="92"/>
        <v>1.7301088697571969</v>
      </c>
      <c r="AO111" s="98">
        <f t="shared" si="93"/>
        <v>0.95452271254976262</v>
      </c>
      <c r="AP111" s="168" t="str">
        <f t="shared" si="94"/>
        <v>-0.25134398305565+0.178248552527398i</v>
      </c>
      <c r="AQ111" s="98">
        <f t="shared" si="95"/>
        <v>-10.225217521746607</v>
      </c>
      <c r="AR111" s="169">
        <f t="shared" si="96"/>
        <v>144.6564318539792</v>
      </c>
      <c r="AS111" s="168" t="str">
        <f t="shared" si="97"/>
        <v>7.45708924320186+16.1047556423488i</v>
      </c>
      <c r="AT111" s="190">
        <f t="shared" si="98"/>
        <v>24.9827103020184</v>
      </c>
      <c r="AU111" s="169">
        <f t="shared" si="99"/>
        <v>65.154142601573412</v>
      </c>
      <c r="AV111" s="225"/>
      <c r="AX111">
        <f t="shared" si="100"/>
        <v>0</v>
      </c>
      <c r="AY111">
        <f t="shared" si="101"/>
        <v>0</v>
      </c>
    </row>
    <row r="112" spans="14:51" x14ac:dyDescent="0.2">
      <c r="N112" s="170">
        <v>94</v>
      </c>
      <c r="O112" s="199">
        <f t="shared" si="76"/>
        <v>87.096358995608071</v>
      </c>
      <c r="P112" s="189" t="str">
        <f t="shared" si="67"/>
        <v>1757.57575757576</v>
      </c>
      <c r="Q112" s="160" t="str">
        <f t="shared" si="68"/>
        <v>1+31.5576544749859i</v>
      </c>
      <c r="R112" s="160">
        <f t="shared" si="77"/>
        <v>31.573494516169692</v>
      </c>
      <c r="S112" s="160">
        <f t="shared" si="78"/>
        <v>1.5391188936123077</v>
      </c>
      <c r="T112" s="160" t="str">
        <f t="shared" si="69"/>
        <v>1+0.153227917682012i</v>
      </c>
      <c r="U112" s="160">
        <f t="shared" si="79"/>
        <v>1.0116712878979839</v>
      </c>
      <c r="V112" s="160">
        <f t="shared" si="80"/>
        <v>0.15204533066243978</v>
      </c>
      <c r="W112" s="98" t="str">
        <f t="shared" si="70"/>
        <v>1-0.0000986176702343306i</v>
      </c>
      <c r="X112" s="160">
        <f t="shared" si="81"/>
        <v>1.0000000048627224</v>
      </c>
      <c r="Y112" s="160">
        <f t="shared" si="82"/>
        <v>-9.8617669914630355E-5</v>
      </c>
      <c r="Z112" s="98" t="str">
        <f t="shared" si="71"/>
        <v>0.9999969656897-0.00231828973796464i</v>
      </c>
      <c r="AA112" s="160">
        <f t="shared" si="83"/>
        <v>0.99999965292789794</v>
      </c>
      <c r="AB112" s="160">
        <f t="shared" si="84"/>
        <v>-2.3182926191811981E-3</v>
      </c>
      <c r="AC112" s="171" t="str">
        <f t="shared" si="85"/>
        <v>10.4112774285338-55.3451458402543i</v>
      </c>
      <c r="AD112" s="190">
        <f t="shared" si="86"/>
        <v>35.012619586117808</v>
      </c>
      <c r="AE112" s="169">
        <f t="shared" si="87"/>
        <v>-79.346283024717295</v>
      </c>
      <c r="AF112" s="98" t="str">
        <f t="shared" si="72"/>
        <v>-0.0000114342530449913</v>
      </c>
      <c r="AG112" s="98" t="str">
        <f t="shared" si="73"/>
        <v>0.0000656964697061627i</v>
      </c>
      <c r="AH112" s="98">
        <f t="shared" si="88"/>
        <v>6.5696469706162693E-5</v>
      </c>
      <c r="AI112" s="98">
        <f t="shared" si="89"/>
        <v>1.5707963267948966</v>
      </c>
      <c r="AJ112" s="98" t="str">
        <f t="shared" si="74"/>
        <v>1+0.000601716104421538i</v>
      </c>
      <c r="AK112" s="98">
        <f t="shared" si="90"/>
        <v>1.0000001810311188</v>
      </c>
      <c r="AL112" s="98">
        <f t="shared" si="91"/>
        <v>6.0171603180198755E-4</v>
      </c>
      <c r="AM112" s="98" t="str">
        <f t="shared" si="75"/>
        <v>1+1.44472036671611i</v>
      </c>
      <c r="AN112" s="98">
        <f t="shared" si="92"/>
        <v>1.7570477904725106</v>
      </c>
      <c r="AO112" s="98">
        <f t="shared" si="93"/>
        <v>0.96534105046298446</v>
      </c>
      <c r="AP112" s="168" t="str">
        <f t="shared" si="94"/>
        <v>-0.251343978959878+0.174197926927585i</v>
      </c>
      <c r="AQ112" s="98">
        <f t="shared" si="95"/>
        <v>-10.291014761983668</v>
      </c>
      <c r="AR112" s="169">
        <f t="shared" si="96"/>
        <v>145.27549219316688</v>
      </c>
      <c r="AS112" s="168" t="str">
        <f t="shared" si="97"/>
        <v>7.0241977759343+15.7242921163228i</v>
      </c>
      <c r="AT112" s="190">
        <f t="shared" si="98"/>
        <v>24.72160482413414</v>
      </c>
      <c r="AU112" s="169">
        <f t="shared" si="99"/>
        <v>65.929209168449589</v>
      </c>
      <c r="AV112" s="225"/>
      <c r="AX112">
        <f t="shared" si="100"/>
        <v>0</v>
      </c>
      <c r="AY112">
        <f t="shared" si="101"/>
        <v>0</v>
      </c>
    </row>
    <row r="113" spans="14:51" x14ac:dyDescent="0.2">
      <c r="N113" s="170">
        <v>95</v>
      </c>
      <c r="O113" s="199">
        <f t="shared" si="76"/>
        <v>89.125093813374562</v>
      </c>
      <c r="P113" s="189" t="str">
        <f t="shared" si="67"/>
        <v>1757.57575757576</v>
      </c>
      <c r="Q113" s="160" t="str">
        <f t="shared" si="68"/>
        <v>1+32.2927266770704i</v>
      </c>
      <c r="R113" s="160">
        <f t="shared" si="77"/>
        <v>32.308206329661417</v>
      </c>
      <c r="S113" s="160">
        <f t="shared" si="78"/>
        <v>1.5398394940766269</v>
      </c>
      <c r="T113" s="160" t="str">
        <f t="shared" si="69"/>
        <v>1+0.156797054385775i</v>
      </c>
      <c r="U113" s="160">
        <f t="shared" si="79"/>
        <v>1.0122180181482918</v>
      </c>
      <c r="V113" s="160">
        <f t="shared" si="80"/>
        <v>0.15553071418313444</v>
      </c>
      <c r="W113" s="98" t="str">
        <f t="shared" si="70"/>
        <v>1-0.000100914770865845i</v>
      </c>
      <c r="X113" s="160">
        <f t="shared" si="81"/>
        <v>1.0000000050918953</v>
      </c>
      <c r="Y113" s="160">
        <f t="shared" si="82"/>
        <v>-1.0091477052328002E-4</v>
      </c>
      <c r="Z113" s="98" t="str">
        <f t="shared" si="71"/>
        <v>0.999996822687061-0.0023722896429356i</v>
      </c>
      <c r="AA113" s="160">
        <f t="shared" si="83"/>
        <v>0.99999963657111768</v>
      </c>
      <c r="AB113" s="160">
        <f t="shared" si="84"/>
        <v>-2.3722927302146095E-3</v>
      </c>
      <c r="AC113" s="171" t="str">
        <f t="shared" si="85"/>
        <v>10.3323919978322-54.0869015111506i</v>
      </c>
      <c r="AD113" s="190">
        <f t="shared" si="86"/>
        <v>34.817508595031569</v>
      </c>
      <c r="AE113" s="169">
        <f t="shared" si="87"/>
        <v>-79.184910260032169</v>
      </c>
      <c r="AF113" s="98" t="str">
        <f t="shared" si="72"/>
        <v>-0.0000114342530449913</v>
      </c>
      <c r="AG113" s="98" t="str">
        <f t="shared" si="73"/>
        <v>0.0000672267370679011i</v>
      </c>
      <c r="AH113" s="98">
        <f t="shared" si="88"/>
        <v>6.7226737067901094E-5</v>
      </c>
      <c r="AI113" s="98">
        <f t="shared" si="89"/>
        <v>1.5707963267948966</v>
      </c>
      <c r="AJ113" s="98" t="str">
        <f t="shared" si="74"/>
        <v>1+0.000615731872997034i</v>
      </c>
      <c r="AK113" s="98">
        <f t="shared" si="90"/>
        <v>1.0000001895628519</v>
      </c>
      <c r="AL113" s="98">
        <f t="shared" si="91"/>
        <v>6.1573179518378449E-4</v>
      </c>
      <c r="AM113" s="98" t="str">
        <f t="shared" si="75"/>
        <v>1+1.47837222706588i</v>
      </c>
      <c r="AN113" s="98">
        <f t="shared" si="92"/>
        <v>1.7848205629025371</v>
      </c>
      <c r="AO113" s="98">
        <f t="shared" si="93"/>
        <v>0.97607202781218805</v>
      </c>
      <c r="AP113" s="168" t="str">
        <f t="shared" si="94"/>
        <v>-0.25134397467108+0.170239663374179i</v>
      </c>
      <c r="AQ113" s="98">
        <f t="shared" si="95"/>
        <v>-10.354795103186035</v>
      </c>
      <c r="AR113" s="169">
        <f t="shared" si="96"/>
        <v>145.88952886123826</v>
      </c>
      <c r="AS113" s="168" t="str">
        <f t="shared" si="97"/>
        <v>6.61075143361585+15.3533997390168i</v>
      </c>
      <c r="AT113" s="190">
        <f t="shared" si="98"/>
        <v>24.462713491845509</v>
      </c>
      <c r="AU113" s="169">
        <f t="shared" si="99"/>
        <v>66.704618601206022</v>
      </c>
      <c r="AV113" s="225"/>
      <c r="AX113">
        <f t="shared" si="100"/>
        <v>0</v>
      </c>
      <c r="AY113">
        <f t="shared" si="101"/>
        <v>0</v>
      </c>
    </row>
    <row r="114" spans="14:51" x14ac:dyDescent="0.2">
      <c r="N114" s="170">
        <v>96</v>
      </c>
      <c r="O114" s="199">
        <f t="shared" si="76"/>
        <v>91.201083935590972</v>
      </c>
      <c r="P114" s="189" t="str">
        <f t="shared" si="67"/>
        <v>1757.57575757576</v>
      </c>
      <c r="Q114" s="160" t="str">
        <f t="shared" si="68"/>
        <v>1+33.0449209102839i</v>
      </c>
      <c r="R114" s="160">
        <f t="shared" si="77"/>
        <v>33.060048366070461</v>
      </c>
      <c r="S114" s="160">
        <f t="shared" si="78"/>
        <v>1.5405437227487846</v>
      </c>
      <c r="T114" s="160" t="str">
        <f t="shared" si="69"/>
        <v>1+0.160449326963228i</v>
      </c>
      <c r="U114" s="160">
        <f t="shared" si="79"/>
        <v>1.0127901986704615</v>
      </c>
      <c r="V114" s="160">
        <f t="shared" si="80"/>
        <v>0.15909334276348547</v>
      </c>
      <c r="W114" s="98" t="str">
        <f t="shared" si="70"/>
        <v>1-0.000103265377844637i</v>
      </c>
      <c r="X114" s="160">
        <f t="shared" si="81"/>
        <v>1.0000000053318692</v>
      </c>
      <c r="Y114" s="160">
        <f t="shared" si="82"/>
        <v>-1.0326537747757202E-4</v>
      </c>
      <c r="Z114" s="98" t="str">
        <f t="shared" si="71"/>
        <v>0.999996672944916-0.00242754736727621i</v>
      </c>
      <c r="AA114" s="160">
        <f t="shared" si="83"/>
        <v>0.99999961944348859</v>
      </c>
      <c r="AB114" s="160">
        <f t="shared" si="84"/>
        <v>-2.4275506753550949E-3</v>
      </c>
      <c r="AC114" s="171" t="str">
        <f t="shared" si="85"/>
        <v>10.2570502686748-52.8571150280421i</v>
      </c>
      <c r="AD114" s="190">
        <f t="shared" si="86"/>
        <v>34.622604529242153</v>
      </c>
      <c r="AE114" s="169">
        <f t="shared" si="87"/>
        <v>-79.018104641948739</v>
      </c>
      <c r="AF114" s="98" t="str">
        <f t="shared" si="72"/>
        <v>-0.0000114342530449913</v>
      </c>
      <c r="AG114" s="98" t="str">
        <f t="shared" si="73"/>
        <v>0.000068792648935484i</v>
      </c>
      <c r="AH114" s="98">
        <f t="shared" si="88"/>
        <v>6.8792648935484004E-5</v>
      </c>
      <c r="AI114" s="98">
        <f t="shared" si="89"/>
        <v>1.5707963267948966</v>
      </c>
      <c r="AJ114" s="98" t="str">
        <f t="shared" si="74"/>
        <v>1+0.000630074110761769i</v>
      </c>
      <c r="AK114" s="98">
        <f t="shared" si="90"/>
        <v>1.0000001984966729</v>
      </c>
      <c r="AL114" s="98">
        <f t="shared" si="91"/>
        <v>6.3007402738337085E-4</v>
      </c>
      <c r="AM114" s="98" t="str">
        <f t="shared" si="75"/>
        <v>1+1.51280793993901i</v>
      </c>
      <c r="AN114" s="98">
        <f t="shared" si="92"/>
        <v>1.8134464048166716</v>
      </c>
      <c r="AO114" s="98">
        <f t="shared" si="93"/>
        <v>0.98671144860868032</v>
      </c>
      <c r="AP114" s="168" t="str">
        <f t="shared" si="94"/>
        <v>-0.251343970180158+0.166371663143434i</v>
      </c>
      <c r="AQ114" s="98">
        <f t="shared" si="95"/>
        <v>-10.416591900414648</v>
      </c>
      <c r="AR114" s="169">
        <f t="shared" si="96"/>
        <v>146.49830101996707</v>
      </c>
      <c r="AS114" s="168" t="str">
        <f t="shared" si="97"/>
        <v>6.21587839931298+14.9917996555626i</v>
      </c>
      <c r="AT114" s="190">
        <f t="shared" si="98"/>
        <v>24.206012628827494</v>
      </c>
      <c r="AU114" s="169">
        <f t="shared" si="99"/>
        <v>67.48019637801832</v>
      </c>
      <c r="AV114" s="225"/>
      <c r="AX114">
        <f t="shared" si="100"/>
        <v>0</v>
      </c>
      <c r="AY114">
        <f t="shared" si="101"/>
        <v>0</v>
      </c>
    </row>
    <row r="115" spans="14:51" x14ac:dyDescent="0.2">
      <c r="N115" s="170">
        <v>97</v>
      </c>
      <c r="O115" s="199">
        <f t="shared" si="76"/>
        <v>93.325430079699174</v>
      </c>
      <c r="P115" s="189" t="str">
        <f t="shared" si="67"/>
        <v>1757.57575757576</v>
      </c>
      <c r="Q115" s="160" t="str">
        <f t="shared" si="68"/>
        <v>1+33.8146359979654i</v>
      </c>
      <c r="R115" s="160">
        <f t="shared" si="77"/>
        <v>33.829419263045253</v>
      </c>
      <c r="S115" s="160">
        <f t="shared" si="78"/>
        <v>1.541231950224516</v>
      </c>
      <c r="T115" s="160" t="str">
        <f t="shared" si="69"/>
        <v>1+0.164186671897635i</v>
      </c>
      <c r="U115" s="160">
        <f t="shared" si="79"/>
        <v>1.0133889989677318</v>
      </c>
      <c r="V115" s="160">
        <f t="shared" si="80"/>
        <v>0.1627347434272326</v>
      </c>
      <c r="W115" s="98" t="str">
        <f t="shared" si="70"/>
        <v>1-0.000105670737493642i</v>
      </c>
      <c r="X115" s="160">
        <f t="shared" si="81"/>
        <v>1.0000000055831524</v>
      </c>
      <c r="Y115" s="160">
        <f t="shared" si="82"/>
        <v>-1.0567073710032478E-4</v>
      </c>
      <c r="Z115" s="98" t="str">
        <f t="shared" si="71"/>
        <v>0.99999651614564-0.00248409220936335i</v>
      </c>
      <c r="AA115" s="160">
        <f t="shared" si="83"/>
        <v>0.9999996015086815</v>
      </c>
      <c r="AB115" s="160">
        <f t="shared" si="84"/>
        <v>-2.4840957540335448E-3</v>
      </c>
      <c r="AC115" s="171" t="str">
        <f t="shared" si="85"/>
        <v>10.1850933288852-51.6551489823395i</v>
      </c>
      <c r="AD115" s="190">
        <f t="shared" si="86"/>
        <v>34.427917442137399</v>
      </c>
      <c r="AE115" s="169">
        <f t="shared" si="87"/>
        <v>-78.845798304698448</v>
      </c>
      <c r="AF115" s="98" t="str">
        <f t="shared" si="72"/>
        <v>-0.0000114342530449913</v>
      </c>
      <c r="AG115" s="98" t="str">
        <f t="shared" si="73"/>
        <v>0.000070395035576111i</v>
      </c>
      <c r="AH115" s="98">
        <f t="shared" si="88"/>
        <v>7.0395035576111006E-5</v>
      </c>
      <c r="AI115" s="98">
        <f t="shared" si="89"/>
        <v>1.5707963267948966</v>
      </c>
      <c r="AJ115" s="98" t="str">
        <f t="shared" si="74"/>
        <v>1+0.000644750422160047i</v>
      </c>
      <c r="AK115" s="98">
        <f t="shared" si="90"/>
        <v>1.0000002078515318</v>
      </c>
      <c r="AL115" s="98">
        <f t="shared" si="91"/>
        <v>6.4475033281848472E-4</v>
      </c>
      <c r="AM115" s="98" t="str">
        <f t="shared" si="75"/>
        <v>1+1.54804576360627i</v>
      </c>
      <c r="AN115" s="98">
        <f t="shared" si="92"/>
        <v>1.8429448407967397</v>
      </c>
      <c r="AO115" s="98">
        <f t="shared" si="93"/>
        <v>0.99725531910615683</v>
      </c>
      <c r="AP115" s="168" t="str">
        <f t="shared" si="94"/>
        <v>-0.251343965477582+0.162591875370408i</v>
      </c>
      <c r="AQ115" s="98">
        <f t="shared" si="95"/>
        <v>-10.476439737957186</v>
      </c>
      <c r="AR115" s="169">
        <f t="shared" si="96"/>
        <v>147.10157940884471</v>
      </c>
      <c r="AS115" s="168" t="str">
        <f t="shared" si="97"/>
        <v>5.83874579953513+14.6392234077226i</v>
      </c>
      <c r="AT115" s="190">
        <f t="shared" si="98"/>
        <v>23.951477704180224</v>
      </c>
      <c r="AU115" s="169">
        <f t="shared" si="99"/>
        <v>68.255781104146337</v>
      </c>
      <c r="AV115" s="225"/>
      <c r="AX115">
        <f t="shared" si="100"/>
        <v>0</v>
      </c>
      <c r="AY115">
        <f t="shared" si="101"/>
        <v>0</v>
      </c>
    </row>
    <row r="116" spans="14:51" x14ac:dyDescent="0.2">
      <c r="N116" s="170">
        <v>98</v>
      </c>
      <c r="O116" s="199">
        <f t="shared" si="76"/>
        <v>95.499258602143655</v>
      </c>
      <c r="P116" s="189" t="str">
        <f t="shared" si="67"/>
        <v>1757.57575757576</v>
      </c>
      <c r="Q116" s="160" t="str">
        <f t="shared" si="68"/>
        <v>1+34.6022800532425i</v>
      </c>
      <c r="R116" s="160">
        <f t="shared" si="77"/>
        <v>34.616726952197894</v>
      </c>
      <c r="S116" s="160">
        <f t="shared" si="78"/>
        <v>1.5419045388017756</v>
      </c>
      <c r="T116" s="160" t="str">
        <f t="shared" si="69"/>
        <v>1+0.168011070778749i</v>
      </c>
      <c r="U116" s="160">
        <f t="shared" si="79"/>
        <v>1.0140156408577836</v>
      </c>
      <c r="V116" s="160">
        <f t="shared" si="80"/>
        <v>0.16645646042300202</v>
      </c>
      <c r="W116" s="98" t="str">
        <f t="shared" si="70"/>
        <v>1-0.000108132125166382i</v>
      </c>
      <c r="X116" s="160">
        <f t="shared" si="81"/>
        <v>1.0000000058462781</v>
      </c>
      <c r="Y116" s="160">
        <f t="shared" si="82"/>
        <v>-1.08132124744935E-4</v>
      </c>
      <c r="Z116" s="98" t="str">
        <f t="shared" si="71"/>
        <v>0.999996351956643-0.00254195415002073i</v>
      </c>
      <c r="AA116" s="160">
        <f t="shared" si="83"/>
        <v>0.99999958272866041</v>
      </c>
      <c r="AB116" s="160">
        <f t="shared" si="84"/>
        <v>-2.5419579482030539E-3</v>
      </c>
      <c r="AC116" s="171" t="str">
        <f t="shared" si="85"/>
        <v>10.1163693670269-50.480379741911i</v>
      </c>
      <c r="AD116" s="190">
        <f t="shared" si="86"/>
        <v>34.233457777180639</v>
      </c>
      <c r="AE116" s="169">
        <f t="shared" si="87"/>
        <v>-78.667921882728919</v>
      </c>
      <c r="AF116" s="98" t="str">
        <f t="shared" si="72"/>
        <v>-0.0000114342530449913</v>
      </c>
      <c r="AG116" s="98" t="str">
        <f t="shared" si="73"/>
        <v>0.0000720347465963887i</v>
      </c>
      <c r="AH116" s="98">
        <f t="shared" si="88"/>
        <v>7.2034746596388698E-5</v>
      </c>
      <c r="AI116" s="98">
        <f t="shared" si="89"/>
        <v>1.5707963267948966</v>
      </c>
      <c r="AJ116" s="98" t="str">
        <f t="shared" si="74"/>
        <v>1+0.000659768588766434i</v>
      </c>
      <c r="AK116" s="98">
        <f t="shared" si="90"/>
        <v>1.0000002176472718</v>
      </c>
      <c r="AL116" s="98">
        <f t="shared" si="91"/>
        <v>6.5976849303522639E-4</v>
      </c>
      <c r="AM116" s="98" t="str">
        <f t="shared" si="75"/>
        <v>1+1.58410438162821i</v>
      </c>
      <c r="AN116" s="98">
        <f t="shared" si="92"/>
        <v>1.8733357125442558</v>
      </c>
      <c r="AO116" s="98">
        <f t="shared" si="93"/>
        <v>1.0076998520640752</v>
      </c>
      <c r="AP116" s="168" t="str">
        <f t="shared" si="94"/>
        <v>-0.251343960553384+0.158898295961577i</v>
      </c>
      <c r="AQ116" s="98">
        <f t="shared" si="95"/>
        <v>-10.534374314856406</v>
      </c>
      <c r="AR116" s="169">
        <f t="shared" si="96"/>
        <v>147.69914658912225</v>
      </c>
      <c r="AS116" s="168" t="str">
        <f t="shared" si="97"/>
        <v>5.4785579773535+14.2954124283092i</v>
      </c>
      <c r="AT116" s="190">
        <f t="shared" si="98"/>
        <v>23.699083462324239</v>
      </c>
      <c r="AU116" s="169">
        <f t="shared" si="99"/>
        <v>69.031224706393346</v>
      </c>
      <c r="AV116" s="225"/>
      <c r="AX116">
        <f t="shared" si="100"/>
        <v>0</v>
      </c>
      <c r="AY116">
        <f t="shared" si="101"/>
        <v>0</v>
      </c>
    </row>
    <row r="117" spans="14:51" x14ac:dyDescent="0.2">
      <c r="N117" s="170">
        <v>99</v>
      </c>
      <c r="O117" s="199">
        <f t="shared" si="76"/>
        <v>97.723722095581124</v>
      </c>
      <c r="P117" s="189" t="str">
        <f t="shared" si="67"/>
        <v>1757.57575757576</v>
      </c>
      <c r="Q117" s="160" t="str">
        <f t="shared" si="68"/>
        <v>1+35.4082706954191i</v>
      </c>
      <c r="R117" s="160">
        <f t="shared" si="77"/>
        <v>35.422388875400188</v>
      </c>
      <c r="S117" s="160">
        <f t="shared" si="78"/>
        <v>1.5425618426604368</v>
      </c>
      <c r="T117" s="160" t="str">
        <f t="shared" si="69"/>
        <v>1+0.17192455135348i</v>
      </c>
      <c r="U117" s="160">
        <f t="shared" si="79"/>
        <v>1.0146714006800899</v>
      </c>
      <c r="V117" s="160">
        <f t="shared" si="80"/>
        <v>0.17026005444477069</v>
      </c>
      <c r="W117" s="98" t="str">
        <f t="shared" si="70"/>
        <v>1-0.000110650845923184i</v>
      </c>
      <c r="X117" s="160">
        <f t="shared" si="81"/>
        <v>1.0000000061218048</v>
      </c>
      <c r="Y117" s="160">
        <f t="shared" si="82"/>
        <v>-1.1065084547159542E-4</v>
      </c>
      <c r="Z117" s="98" t="str">
        <f t="shared" si="71"/>
        <v>0.999996180029656-0.00260116386841519i</v>
      </c>
      <c r="AA117" s="160">
        <f t="shared" si="83"/>
        <v>0.99999956306359172</v>
      </c>
      <c r="AB117" s="160">
        <f t="shared" si="84"/>
        <v>-2.6011679382406303E-3</v>
      </c>
      <c r="AC117" s="171" t="str">
        <f t="shared" si="85"/>
        <v>10.0507333573105-49.3321971851416i</v>
      </c>
      <c r="AD117" s="190">
        <f t="shared" si="86"/>
        <v>34.039236383639199</v>
      </c>
      <c r="AE117" s="169">
        <f t="shared" si="87"/>
        <v>-78.48440456479257</v>
      </c>
      <c r="AF117" s="98" t="str">
        <f t="shared" si="72"/>
        <v>-0.0000114342530449913</v>
      </c>
      <c r="AG117" s="98" t="str">
        <f t="shared" si="73"/>
        <v>0.0000737126513928045i</v>
      </c>
      <c r="AH117" s="98">
        <f t="shared" si="88"/>
        <v>7.3712651392804498E-5</v>
      </c>
      <c r="AI117" s="98">
        <f t="shared" si="89"/>
        <v>1.5707963267948966</v>
      </c>
      <c r="AJ117" s="98" t="str">
        <f t="shared" si="74"/>
        <v>1+0.000675136573411653i</v>
      </c>
      <c r="AK117" s="98">
        <f t="shared" si="90"/>
        <v>1.0000002279046705</v>
      </c>
      <c r="AL117" s="98">
        <f t="shared" si="91"/>
        <v>6.7513647083381726E-4</v>
      </c>
      <c r="AM117" s="98" t="str">
        <f t="shared" si="75"/>
        <v>1+1.62100291276138i</v>
      </c>
      <c r="AN117" s="98">
        <f t="shared" si="92"/>
        <v>1.9046391897629531</v>
      </c>
      <c r="AO117" s="98">
        <f t="shared" si="93"/>
        <v>1.0180414700405418</v>
      </c>
      <c r="AP117" s="168" t="str">
        <f t="shared" si="94"/>
        <v>-0.251343955397115+0.155288966532226i</v>
      </c>
      <c r="AQ117" s="98">
        <f t="shared" si="95"/>
        <v>-10.590432330209772</v>
      </c>
      <c r="AR117" s="169">
        <f t="shared" si="96"/>
        <v>148.29079713224297</v>
      </c>
      <c r="AS117" s="168" t="str">
        <f t="shared" si="97"/>
        <v>5.13455484097648+13.9601175648916i</v>
      </c>
      <c r="AT117" s="190">
        <f t="shared" si="98"/>
        <v>23.448804053429413</v>
      </c>
      <c r="AU117" s="169">
        <f t="shared" si="99"/>
        <v>69.806392567450374</v>
      </c>
      <c r="AV117" s="225"/>
      <c r="AX117">
        <f t="shared" si="100"/>
        <v>0</v>
      </c>
      <c r="AY117">
        <f t="shared" si="101"/>
        <v>0</v>
      </c>
    </row>
    <row r="118" spans="14:51" x14ac:dyDescent="0.2">
      <c r="N118" s="170">
        <v>100</v>
      </c>
      <c r="O118" s="199">
        <f t="shared" si="76"/>
        <v>100</v>
      </c>
      <c r="P118" s="189" t="str">
        <f t="shared" si="67"/>
        <v>1757.57575757576</v>
      </c>
      <c r="Q118" s="160" t="str">
        <f t="shared" si="68"/>
        <v>1+36.2330352714024i</v>
      </c>
      <c r="R118" s="160">
        <f t="shared" si="77"/>
        <v>36.246832206120999</v>
      </c>
      <c r="S118" s="160">
        <f t="shared" si="78"/>
        <v>1.5432042080385096</v>
      </c>
      <c r="T118" s="160" t="str">
        <f t="shared" si="69"/>
        <v>1+0.175929188601029i</v>
      </c>
      <c r="U118" s="160">
        <f t="shared" si="79"/>
        <v>1.0153576115841239</v>
      </c>
      <c r="V118" s="160">
        <f t="shared" si="80"/>
        <v>0.17414710176467474</v>
      </c>
      <c r="W118" s="98" t="str">
        <f t="shared" si="70"/>
        <v>1-0.000113228235223132i</v>
      </c>
      <c r="X118" s="160">
        <f t="shared" si="81"/>
        <v>1.0000000064103165</v>
      </c>
      <c r="Y118" s="160">
        <f t="shared" si="82"/>
        <v>-1.132282347392461E-4</v>
      </c>
      <c r="Z118" s="98" t="str">
        <f t="shared" si="71"/>
        <v>0.999996-0.00266175275832316i</v>
      </c>
      <c r="AA118" s="160">
        <f t="shared" si="83"/>
        <v>0.99999954247176859</v>
      </c>
      <c r="AB118" s="160">
        <f t="shared" si="84"/>
        <v>-2.6617571192194128E-3</v>
      </c>
      <c r="AC118" s="171" t="str">
        <f t="shared" si="85"/>
        <v>9.98804675828872-48.2100044378712i</v>
      </c>
      <c r="AD118" s="190">
        <f t="shared" si="86"/>
        <v>33.845264532606969</v>
      </c>
      <c r="AE118" s="169">
        <f t="shared" si="87"/>
        <v>-78.295174152836239</v>
      </c>
      <c r="AF118" s="98" t="str">
        <f t="shared" si="72"/>
        <v>-0.0000114342530449913</v>
      </c>
      <c r="AG118" s="98" t="str">
        <f t="shared" si="73"/>
        <v>0.0000754296396126909i</v>
      </c>
      <c r="AH118" s="98">
        <f t="shared" si="88"/>
        <v>7.5429639612690895E-5</v>
      </c>
      <c r="AI118" s="98">
        <f t="shared" si="89"/>
        <v>1.5707963267948966</v>
      </c>
      <c r="AJ118" s="98" t="str">
        <f t="shared" si="74"/>
        <v>1+0.000690862524404586i</v>
      </c>
      <c r="AK118" s="98">
        <f t="shared" si="90"/>
        <v>1.0000002386454854</v>
      </c>
      <c r="AL118" s="98">
        <f t="shared" si="91"/>
        <v>6.9086241449045616E-4</v>
      </c>
      <c r="AM118" s="98" t="str">
        <f t="shared" si="75"/>
        <v>1+1.65876092109541i</v>
      </c>
      <c r="AN118" s="98">
        <f t="shared" si="92"/>
        <v>1.9368757816012088</v>
      </c>
      <c r="AO118" s="98">
        <f t="shared" si="93"/>
        <v>1.0282768077372604</v>
      </c>
      <c r="AP118" s="168" t="str">
        <f t="shared" si="94"/>
        <v>-0.251343949997838+0.151761973368095i</v>
      </c>
      <c r="AQ118" s="98">
        <f t="shared" si="95"/>
        <v>-10.644651368918595</v>
      </c>
      <c r="AR118" s="169">
        <f t="shared" si="96"/>
        <v>148.87633775395557</v>
      </c>
      <c r="AS118" s="168" t="str">
        <f t="shared" si="97"/>
        <v>4.80601028458456+13.6330986309585i</v>
      </c>
      <c r="AT118" s="190">
        <f t="shared" si="98"/>
        <v>23.200613163688345</v>
      </c>
      <c r="AU118" s="169">
        <f t="shared" si="99"/>
        <v>70.581163601119286</v>
      </c>
      <c r="AV118" s="225"/>
      <c r="AX118">
        <f t="shared" si="100"/>
        <v>0</v>
      </c>
      <c r="AY118">
        <f t="shared" si="101"/>
        <v>0</v>
      </c>
    </row>
    <row r="119" spans="14:51" x14ac:dyDescent="0.2">
      <c r="N119" s="170">
        <v>1</v>
      </c>
      <c r="O119" s="199">
        <f>10^(2+(N119/100))</f>
        <v>102.32929922807544</v>
      </c>
      <c r="P119" s="189" t="str">
        <f t="shared" si="67"/>
        <v>1757.57575757576</v>
      </c>
      <c r="Q119" s="160" t="str">
        <f t="shared" si="68"/>
        <v>1+37.0770110822875i</v>
      </c>
      <c r="R119" s="160">
        <f t="shared" si="77"/>
        <v>37.090494075922877</v>
      </c>
      <c r="S119" s="160">
        <f t="shared" si="78"/>
        <v>1.5438319734049153</v>
      </c>
      <c r="T119" s="160" t="str">
        <f t="shared" si="69"/>
        <v>1+0.180027105833072i</v>
      </c>
      <c r="U119" s="160">
        <f t="shared" si="79"/>
        <v>1.0160756659002479</v>
      </c>
      <c r="V119" s="160">
        <f t="shared" si="80"/>
        <v>0.17811919327281525</v>
      </c>
      <c r="W119" s="98" t="str">
        <f t="shared" si="70"/>
        <v>1-0.000115865659632148i</v>
      </c>
      <c r="X119" s="160">
        <f t="shared" si="81"/>
        <v>1.0000000067124255</v>
      </c>
      <c r="Y119" s="160">
        <f t="shared" si="82"/>
        <v>-1.1586565911365493E-4</v>
      </c>
      <c r="Z119" s="98" t="str">
        <f t="shared" si="71"/>
        <v>0.999995811485808-0.00272375294477606i</v>
      </c>
      <c r="AA119" s="160">
        <f t="shared" si="83"/>
        <v>0.99999952090951716</v>
      </c>
      <c r="AB119" s="160">
        <f t="shared" si="84"/>
        <v>-2.7237576175602736E-3</v>
      </c>
      <c r="AC119" s="171" t="str">
        <f t="shared" si="85"/>
        <v>9.92817722475151-47.1132176133527i</v>
      </c>
      <c r="AD119" s="190">
        <f t="shared" si="86"/>
        <v>33.651553933307284</v>
      </c>
      <c r="AE119" s="169">
        <f t="shared" si="87"/>
        <v>-78.100157126002401</v>
      </c>
      <c r="AF119" s="98" t="str">
        <f t="shared" si="72"/>
        <v>-0.0000114342530449913</v>
      </c>
      <c r="AG119" s="98" t="str">
        <f t="shared" si="73"/>
        <v>0.0000771866216259294i</v>
      </c>
      <c r="AH119" s="98">
        <f t="shared" si="88"/>
        <v>7.7186621625929404E-5</v>
      </c>
      <c r="AI119" s="98">
        <f t="shared" si="89"/>
        <v>1.5707963267948966</v>
      </c>
      <c r="AJ119" s="98" t="str">
        <f t="shared" si="74"/>
        <v>1+0.000706954779852604i</v>
      </c>
      <c r="AK119" s="98">
        <f t="shared" si="90"/>
        <v>1.0000002498924991</v>
      </c>
      <c r="AL119" s="98">
        <f t="shared" si="91"/>
        <v>7.069546620774935E-4</v>
      </c>
      <c r="AM119" s="98" t="str">
        <f t="shared" si="75"/>
        <v>1+1.6973984264261i</v>
      </c>
      <c r="AN119" s="98">
        <f t="shared" si="92"/>
        <v>1.9700663486374768</v>
      </c>
      <c r="AO119" s="98">
        <f t="shared" si="93"/>
        <v>1.0384027134255407</v>
      </c>
      <c r="AP119" s="168" t="str">
        <f t="shared" si="94"/>
        <v>-0.251343944344101+0.148315446410697i</v>
      </c>
      <c r="AQ119" s="98">
        <f t="shared" si="95"/>
        <v>-10.6970697885305</v>
      </c>
      <c r="AR119" s="169">
        <f t="shared" si="96"/>
        <v>149.4555873957722</v>
      </c>
      <c r="AS119" s="168" t="str">
        <f t="shared" si="97"/>
        <v>4.4922306783524+13.3141239828156i</v>
      </c>
      <c r="AT119" s="190">
        <f t="shared" si="98"/>
        <v>22.954484144776796</v>
      </c>
      <c r="AU119" s="169">
        <f t="shared" si="99"/>
        <v>71.355430269769826</v>
      </c>
      <c r="AV119" s="225"/>
      <c r="AX119">
        <f t="shared" si="100"/>
        <v>0</v>
      </c>
      <c r="AY119">
        <f t="shared" si="101"/>
        <v>0</v>
      </c>
    </row>
    <row r="120" spans="14:51" x14ac:dyDescent="0.2">
      <c r="N120" s="170">
        <v>2</v>
      </c>
      <c r="O120" s="199">
        <f t="shared" ref="O120:O183" si="102">10^(2+(N120/100))</f>
        <v>104.71285480508998</v>
      </c>
      <c r="P120" s="189" t="str">
        <f t="shared" si="67"/>
        <v>1757.57575757576</v>
      </c>
      <c r="Q120" s="160" t="str">
        <f t="shared" si="68"/>
        <v>1+37.9406456152206i</v>
      </c>
      <c r="R120" s="160">
        <f t="shared" si="77"/>
        <v>37.953821806239205</v>
      </c>
      <c r="S120" s="160">
        <f t="shared" si="78"/>
        <v>1.5444454696288625</v>
      </c>
      <c r="T120" s="160" t="str">
        <f t="shared" si="69"/>
        <v>1+0.184220475819568i</v>
      </c>
      <c r="U120" s="160">
        <f t="shared" si="79"/>
        <v>1.0168270175950225</v>
      </c>
      <c r="V120" s="160">
        <f t="shared" si="80"/>
        <v>0.18217793341850222</v>
      </c>
      <c r="W120" s="98" t="str">
        <f t="shared" si="70"/>
        <v>1-0.000118564517547564i</v>
      </c>
      <c r="X120" s="160">
        <f t="shared" si="81"/>
        <v>1.0000000070287725</v>
      </c>
      <c r="Y120" s="160">
        <f t="shared" si="82"/>
        <v>-1.1856451699198866E-4</v>
      </c>
      <c r="Z120" s="98" t="str">
        <f t="shared" si="71"/>
        <v>0.999995614087215-0.00278719730109341i</v>
      </c>
      <c r="AA120" s="160">
        <f t="shared" si="83"/>
        <v>0.99999949833110502</v>
      </c>
      <c r="AB120" s="160">
        <f t="shared" si="84"/>
        <v>-2.7872023080715586E-3</v>
      </c>
      <c r="AC120" s="171" t="str">
        <f t="shared" si="85"/>
        <v>9.8709983322594-46.0412655553562i</v>
      </c>
      <c r="AD120" s="190">
        <f t="shared" si="86"/>
        <v>33.458116749659268</v>
      </c>
      <c r="AE120" s="169">
        <f t="shared" si="87"/>
        <v>-77.899278710060671</v>
      </c>
      <c r="AF120" s="98" t="str">
        <f t="shared" si="72"/>
        <v>-0.0000114342530449913</v>
      </c>
      <c r="AG120" s="98" t="str">
        <f t="shared" si="73"/>
        <v>0.0000789845290076397i</v>
      </c>
      <c r="AH120" s="98">
        <f t="shared" si="88"/>
        <v>7.8984529007639697E-5</v>
      </c>
      <c r="AI120" s="98">
        <f t="shared" si="89"/>
        <v>1.5707963267948966</v>
      </c>
      <c r="AJ120" s="98" t="str">
        <f t="shared" si="74"/>
        <v>1+0.000723421872082554i</v>
      </c>
      <c r="AK120" s="98">
        <f t="shared" si="90"/>
        <v>1.0000002616695682</v>
      </c>
      <c r="AL120" s="98">
        <f t="shared" si="91"/>
        <v>7.2342174588425109E-4</v>
      </c>
      <c r="AM120" s="98" t="str">
        <f t="shared" si="75"/>
        <v>1+1.73693591487021i</v>
      </c>
      <c r="AN120" s="98">
        <f t="shared" si="92"/>
        <v>2.0042321153913321</v>
      </c>
      <c r="AO120" s="98">
        <f t="shared" si="93"/>
        <v>1.048416249488344</v>
      </c>
      <c r="AP120" s="168" t="str">
        <f t="shared" si="94"/>
        <v>-0.251343938423913+0.144947558265799i</v>
      </c>
      <c r="AQ120" s="98">
        <f t="shared" si="95"/>
        <v>-10.747726607772796</v>
      </c>
      <c r="AR120" s="169">
        <f t="shared" si="96"/>
        <v>150.02837725576964</v>
      </c>
      <c r="AS120" s="168" t="str">
        <f t="shared" si="97"/>
        <v>4.19255342471016+13.0029701206112i</v>
      </c>
      <c r="AT120" s="190">
        <f t="shared" si="98"/>
        <v>22.710390141886442</v>
      </c>
      <c r="AU120" s="169">
        <f t="shared" si="99"/>
        <v>72.129098545708928</v>
      </c>
      <c r="AV120" s="225"/>
      <c r="AX120">
        <f t="shared" si="100"/>
        <v>0</v>
      </c>
      <c r="AY120">
        <f t="shared" si="101"/>
        <v>0</v>
      </c>
    </row>
    <row r="121" spans="14:51" x14ac:dyDescent="0.2">
      <c r="N121" s="170">
        <v>3</v>
      </c>
      <c r="O121" s="199">
        <f t="shared" si="102"/>
        <v>107.15193052376065</v>
      </c>
      <c r="P121" s="189" t="str">
        <f t="shared" si="67"/>
        <v>1757.57575757576</v>
      </c>
      <c r="Q121" s="160" t="str">
        <f t="shared" si="68"/>
        <v>1+38.8243967806628i</v>
      </c>
      <c r="R121" s="160">
        <f t="shared" si="77"/>
        <v>38.837273145553617</v>
      </c>
      <c r="S121" s="160">
        <f t="shared" si="78"/>
        <v>1.5450450201458619</v>
      </c>
      <c r="T121" s="160" t="str">
        <f t="shared" si="69"/>
        <v>1+0.18851152194079i</v>
      </c>
      <c r="U121" s="160">
        <f t="shared" si="79"/>
        <v>1.0176131848125951</v>
      </c>
      <c r="V121" s="160">
        <f t="shared" si="80"/>
        <v>0.18632493904720829</v>
      </c>
      <c r="W121" s="98" t="str">
        <f t="shared" si="70"/>
        <v>1-0.000121326239939571i</v>
      </c>
      <c r="X121" s="160">
        <f t="shared" si="81"/>
        <v>1.0000000073600281</v>
      </c>
      <c r="Y121" s="160">
        <f t="shared" si="82"/>
        <v>-1.2132623934426131E-4</v>
      </c>
      <c r="Z121" s="98" t="str">
        <f t="shared" si="71"/>
        <v>0.999995407385514-0.00285211946631272i</v>
      </c>
      <c r="AA121" s="160">
        <f t="shared" si="83"/>
        <v>0.99999947468864703</v>
      </c>
      <c r="AB121" s="160">
        <f t="shared" si="84"/>
        <v>-2.8521248313860765E-3</v>
      </c>
      <c r="AC121" s="171" t="str">
        <f t="shared" si="85"/>
        <v>9.81638931377423-44.9935895845325i</v>
      </c>
      <c r="AD121" s="190">
        <f t="shared" si="86"/>
        <v>33.26496561708813</v>
      </c>
      <c r="AE121" s="169">
        <f t="shared" si="87"/>
        <v>-77.692462952601545</v>
      </c>
      <c r="AF121" s="98" t="str">
        <f t="shared" si="72"/>
        <v>-0.0000114342530449913</v>
      </c>
      <c r="AG121" s="98" t="str">
        <f t="shared" si="73"/>
        <v>0.0000808243150321136i</v>
      </c>
      <c r="AH121" s="98">
        <f t="shared" si="88"/>
        <v>8.0824315032113607E-5</v>
      </c>
      <c r="AI121" s="98">
        <f t="shared" si="89"/>
        <v>1.5707963267948966</v>
      </c>
      <c r="AJ121" s="98" t="str">
        <f t="shared" si="74"/>
        <v>1+0.000740272532164701i</v>
      </c>
      <c r="AK121" s="98">
        <f t="shared" si="90"/>
        <v>1.0000002740016734</v>
      </c>
      <c r="AL121" s="98">
        <f t="shared" si="91"/>
        <v>7.4027239694078519E-4</v>
      </c>
      <c r="AM121" s="98" t="str">
        <f t="shared" si="75"/>
        <v>1+1.77739434972745i</v>
      </c>
      <c r="AN121" s="98">
        <f t="shared" si="92"/>
        <v>2.039394683341865</v>
      </c>
      <c r="AO121" s="98">
        <f t="shared" si="93"/>
        <v>1.0583146921183701</v>
      </c>
      <c r="AP121" s="168" t="str">
        <f t="shared" si="94"/>
        <v>-0.251343932224716+0.141656523234497i</v>
      </c>
      <c r="AQ121" s="98">
        <f t="shared" si="95"/>
        <v>-10.796661397329061</v>
      </c>
      <c r="AR121" s="169">
        <f t="shared" si="96"/>
        <v>150.59455077103487</v>
      </c>
      <c r="AS121" s="168" t="str">
        <f t="shared" si="97"/>
        <v>3.90634557801205+12.699421311987i</v>
      </c>
      <c r="AT121" s="190">
        <f t="shared" si="98"/>
        <v>22.468304219759098</v>
      </c>
      <c r="AU121" s="169">
        <f t="shared" si="99"/>
        <v>72.902087818433415</v>
      </c>
      <c r="AV121" s="225"/>
      <c r="AX121">
        <f t="shared" si="100"/>
        <v>0</v>
      </c>
      <c r="AY121">
        <f t="shared" si="101"/>
        <v>0</v>
      </c>
    </row>
    <row r="122" spans="14:51" x14ac:dyDescent="0.2">
      <c r="N122" s="170">
        <v>4</v>
      </c>
      <c r="O122" s="199">
        <f t="shared" si="102"/>
        <v>109.64781961431861</v>
      </c>
      <c r="P122" s="189" t="str">
        <f t="shared" si="67"/>
        <v>1757.57575757576</v>
      </c>
      <c r="Q122" s="160" t="str">
        <f t="shared" si="68"/>
        <v>1+39.7287331551797i</v>
      </c>
      <c r="R122" s="160">
        <f t="shared" si="77"/>
        <v>39.741316512107076</v>
      </c>
      <c r="S122" s="160">
        <f t="shared" si="78"/>
        <v>1.5456309411204265</v>
      </c>
      <c r="T122" s="160" t="str">
        <f t="shared" si="69"/>
        <v>1+0.19290251936619i</v>
      </c>
      <c r="U122" s="160">
        <f t="shared" si="79"/>
        <v>1.0184357525037224</v>
      </c>
      <c r="V122" s="160">
        <f t="shared" si="80"/>
        <v>0.19056183812733007</v>
      </c>
      <c r="W122" s="98" t="str">
        <f t="shared" si="70"/>
        <v>1-0.000124152291109936i</v>
      </c>
      <c r="X122" s="160">
        <f t="shared" si="81"/>
        <v>1.0000000077068956</v>
      </c>
      <c r="Y122" s="160">
        <f t="shared" si="82"/>
        <v>-1.2415229047205018E-4</v>
      </c>
      <c r="Z122" s="98" t="str">
        <f t="shared" si="71"/>
        <v>0.999995190942262-0.00291855386302533i</v>
      </c>
      <c r="AA122" s="160">
        <f t="shared" si="83"/>
        <v>0.99999944993199996</v>
      </c>
      <c r="AB122" s="160">
        <f t="shared" si="84"/>
        <v>-2.9185596118045673E-3</v>
      </c>
      <c r="AC122" s="171" t="str">
        <f t="shared" si="85"/>
        <v>9.76423480787007-43.9696432481264i</v>
      </c>
      <c r="AD122" s="190">
        <f t="shared" si="86"/>
        <v>33.07211365955483</v>
      </c>
      <c r="AE122" s="169">
        <f t="shared" si="87"/>
        <v>-77.479632804329896</v>
      </c>
      <c r="AF122" s="98" t="str">
        <f t="shared" si="72"/>
        <v>-0.0000114342530449913</v>
      </c>
      <c r="AG122" s="98" t="str">
        <f t="shared" si="73"/>
        <v>0.000082706955178254i</v>
      </c>
      <c r="AH122" s="98">
        <f t="shared" si="88"/>
        <v>8.2706955178254001E-5</v>
      </c>
      <c r="AI122" s="98">
        <f t="shared" si="89"/>
        <v>1.5707963267948966</v>
      </c>
      <c r="AJ122" s="98" t="str">
        <f t="shared" si="74"/>
        <v>1+0.000757515694542068i</v>
      </c>
      <c r="AK122" s="98">
        <f t="shared" si="90"/>
        <v>1.0000002869149727</v>
      </c>
      <c r="AL122" s="98">
        <f t="shared" si="91"/>
        <v>7.57515549647034E-4</v>
      </c>
      <c r="AM122" s="98" t="str">
        <f t="shared" si="75"/>
        <v>1+1.8187951825955i</v>
      </c>
      <c r="AN122" s="98">
        <f t="shared" si="92"/>
        <v>2.0755760444350377</v>
      </c>
      <c r="AO122" s="98">
        <f t="shared" si="93"/>
        <v>1.0680955302166271</v>
      </c>
      <c r="AP122" s="168" t="str">
        <f t="shared" si="94"/>
        <v>-0.251343925733358+0.138440596366426i</v>
      </c>
      <c r="AQ122" s="98">
        <f t="shared" si="95"/>
        <v>-10.843914173359707</v>
      </c>
      <c r="AR122" s="169">
        <f t="shared" si="96"/>
        <v>151.15396355429024</v>
      </c>
      <c r="AS122" s="168" t="str">
        <f t="shared" si="97"/>
        <v>3.63300252489725+12.4032692369427i</v>
      </c>
      <c r="AT122" s="190">
        <f t="shared" si="98"/>
        <v>22.228199486195134</v>
      </c>
      <c r="AU122" s="169">
        <f t="shared" si="99"/>
        <v>73.67433074996039</v>
      </c>
      <c r="AV122" s="225"/>
      <c r="AX122">
        <f t="shared" si="100"/>
        <v>0</v>
      </c>
      <c r="AY122">
        <f t="shared" si="101"/>
        <v>0</v>
      </c>
    </row>
    <row r="123" spans="14:51" x14ac:dyDescent="0.2">
      <c r="N123" s="170">
        <v>5</v>
      </c>
      <c r="O123" s="199">
        <f t="shared" si="102"/>
        <v>112.20184543019634</v>
      </c>
      <c r="P123" s="189" t="str">
        <f t="shared" si="67"/>
        <v>1757.57575757576</v>
      </c>
      <c r="Q123" s="160" t="str">
        <f t="shared" si="68"/>
        <v>1+40.6541342298874i</v>
      </c>
      <c r="R123" s="160">
        <f t="shared" si="77"/>
        <v>40.666431242262973</v>
      </c>
      <c r="S123" s="160">
        <f t="shared" si="78"/>
        <v>1.5462035416055022</v>
      </c>
      <c r="T123" s="160" t="str">
        <f t="shared" si="69"/>
        <v>1+0.197395796260725i</v>
      </c>
      <c r="U123" s="160">
        <f t="shared" si="79"/>
        <v>1.0192963751438566</v>
      </c>
      <c r="V123" s="160">
        <f t="shared" si="80"/>
        <v>0.19489026836069814</v>
      </c>
      <c r="W123" s="98" t="str">
        <f t="shared" si="70"/>
        <v>1-0.000127044169468398i</v>
      </c>
      <c r="X123" s="160">
        <f t="shared" si="81"/>
        <v>1.0000000080701104</v>
      </c>
      <c r="Y123" s="160">
        <f t="shared" si="82"/>
        <v>-1.2704416878489102E-4</v>
      </c>
      <c r="Z123" s="98" t="str">
        <f t="shared" si="71"/>
        <v>0.999994964298353-0.00298653571562774i</v>
      </c>
      <c r="AA123" s="160">
        <f t="shared" si="83"/>
        <v>0.9999994240086566</v>
      </c>
      <c r="AB123" s="160">
        <f t="shared" si="84"/>
        <v>-2.9865418755551853E-3</v>
      </c>
      <c r="AC123" s="171" t="str">
        <f t="shared" si="85"/>
        <v>9.71442461802603-42.9688920731299i</v>
      </c>
      <c r="AD123" s="190">
        <f t="shared" si="86"/>
        <v>32.87957450677898</v>
      </c>
      <c r="AE123" s="169">
        <f t="shared" si="87"/>
        <v>-77.260710206810586</v>
      </c>
      <c r="AF123" s="98" t="str">
        <f t="shared" si="72"/>
        <v>-0.0000114342530449913</v>
      </c>
      <c r="AG123" s="98" t="str">
        <f t="shared" si="73"/>
        <v>0.0000846334476467856i</v>
      </c>
      <c r="AH123" s="98">
        <f t="shared" si="88"/>
        <v>8.4633447646785594E-5</v>
      </c>
      <c r="AI123" s="98">
        <f t="shared" si="89"/>
        <v>1.5707963267948966</v>
      </c>
      <c r="AJ123" s="98" t="str">
        <f t="shared" si="74"/>
        <v>1+0.000775160501767586i</v>
      </c>
      <c r="AK123" s="98">
        <f t="shared" si="90"/>
        <v>1.0000003004368567</v>
      </c>
      <c r="AL123" s="98">
        <f t="shared" si="91"/>
        <v>7.7516034650976229E-4</v>
      </c>
      <c r="AM123" s="98" t="str">
        <f t="shared" si="75"/>
        <v>1+1.86116036474397i</v>
      </c>
      <c r="AN123" s="98">
        <f t="shared" si="92"/>
        <v>2.112798595061514</v>
      </c>
      <c r="AO123" s="98">
        <f t="shared" si="93"/>
        <v>1.0777564635394981</v>
      </c>
      <c r="AP123" s="168" t="str">
        <f t="shared" si="94"/>
        <v>-0.251343918936073+0.135298072534562i</v>
      </c>
      <c r="AQ123" s="98">
        <f t="shared" si="95"/>
        <v>-10.889525294216929</v>
      </c>
      <c r="AR123" s="169">
        <f t="shared" si="96"/>
        <v>151.70648328745762</v>
      </c>
      <c r="AS123" s="168" t="str">
        <f t="shared" si="97"/>
        <v>3.37194672273637+12.1143126526029i</v>
      </c>
      <c r="AT123" s="190">
        <f t="shared" si="98"/>
        <v>21.990049212562091</v>
      </c>
      <c r="AU123" s="169">
        <f t="shared" si="99"/>
        <v>74.445773080647086</v>
      </c>
      <c r="AV123" s="225"/>
      <c r="AX123">
        <f t="shared" si="100"/>
        <v>0</v>
      </c>
      <c r="AY123">
        <f t="shared" si="101"/>
        <v>0</v>
      </c>
    </row>
    <row r="124" spans="14:51" x14ac:dyDescent="0.2">
      <c r="N124" s="170">
        <v>6</v>
      </c>
      <c r="O124" s="199">
        <f t="shared" si="102"/>
        <v>114.81536214968835</v>
      </c>
      <c r="P124" s="189" t="str">
        <f t="shared" si="67"/>
        <v>1757.57575757576</v>
      </c>
      <c r="Q124" s="160" t="str">
        <f t="shared" si="68"/>
        <v>1+41.601090664685i</v>
      </c>
      <c r="R124" s="160">
        <f t="shared" si="77"/>
        <v>41.613107844660455</v>
      </c>
      <c r="S124" s="160">
        <f t="shared" si="78"/>
        <v>1.5467631236986705</v>
      </c>
      <c r="T124" s="160" t="str">
        <f t="shared" si="69"/>
        <v>1+0.201993735019279i</v>
      </c>
      <c r="U124" s="160">
        <f t="shared" si="79"/>
        <v>1.0201967795415934</v>
      </c>
      <c r="V124" s="160">
        <f t="shared" si="80"/>
        <v>0.19931187567062864</v>
      </c>
      <c r="W124" s="98" t="str">
        <f t="shared" si="70"/>
        <v>1-0.00013000340832714i</v>
      </c>
      <c r="X124" s="160">
        <f t="shared" si="81"/>
        <v>1.000000008450443</v>
      </c>
      <c r="Y124" s="160">
        <f t="shared" si="82"/>
        <v>-1.3000340759474909E-4</v>
      </c>
      <c r="Z124" s="98" t="str">
        <f t="shared" si="71"/>
        <v>0.999994726973046-0.00305610106899805i</v>
      </c>
      <c r="AA124" s="160">
        <f t="shared" si="83"/>
        <v>0.99999939686363859</v>
      </c>
      <c r="AB124" s="160">
        <f t="shared" si="84"/>
        <v>-3.0561076694786762E-3</v>
      </c>
      <c r="AC124" s="171" t="str">
        <f t="shared" si="85"/>
        <v>9.66685348252454-41.990813322938i</v>
      </c>
      <c r="AD124" s="190">
        <f t="shared" si="86"/>
        <v>32.687362311622046</v>
      </c>
      <c r="AE124" s="169">
        <f t="shared" si="87"/>
        <v>-77.035616187021063</v>
      </c>
      <c r="AF124" s="98" t="str">
        <f t="shared" si="72"/>
        <v>-0.0000114342530449913</v>
      </c>
      <c r="AG124" s="98" t="str">
        <f t="shared" si="73"/>
        <v>0.0000866048138895159i</v>
      </c>
      <c r="AH124" s="98">
        <f t="shared" si="88"/>
        <v>8.6604813889515895E-5</v>
      </c>
      <c r="AI124" s="98">
        <f t="shared" si="89"/>
        <v>1.5707963267948966</v>
      </c>
      <c r="AJ124" s="98" t="str">
        <f t="shared" si="74"/>
        <v>1+0.000793216309351604i</v>
      </c>
      <c r="AK124" s="98">
        <f t="shared" si="90"/>
        <v>1.0000003145960072</v>
      </c>
      <c r="AL124" s="98">
        <f t="shared" si="91"/>
        <v>7.9321614298985142E-4</v>
      </c>
      <c r="AM124" s="98" t="str">
        <f t="shared" si="75"/>
        <v>1+1.9045123587532i</v>
      </c>
      <c r="AN124" s="98">
        <f t="shared" si="92"/>
        <v>2.1510851504865345</v>
      </c>
      <c r="AO124" s="98">
        <f t="shared" si="93"/>
        <v>1.087295400145172</v>
      </c>
      <c r="AP124" s="168" t="str">
        <f t="shared" si="94"/>
        <v>-0.251343911818443+0.132227285531143i</v>
      </c>
      <c r="AQ124" s="98">
        <f t="shared" si="95"/>
        <v>-10.933535360751641</v>
      </c>
      <c r="AR124" s="169">
        <f t="shared" si="96"/>
        <v>152.25198957507132</v>
      </c>
      <c r="AS124" s="168" t="str">
        <f t="shared" si="97"/>
        <v>3.12262649366359+11.8323570766467i</v>
      </c>
      <c r="AT124" s="190">
        <f t="shared" si="98"/>
        <v>21.753826950870391</v>
      </c>
      <c r="AU124" s="169">
        <f t="shared" si="99"/>
        <v>75.216373388050229</v>
      </c>
      <c r="AV124" s="225"/>
      <c r="AX124">
        <f t="shared" si="100"/>
        <v>0</v>
      </c>
      <c r="AY124">
        <f t="shared" si="101"/>
        <v>0</v>
      </c>
    </row>
    <row r="125" spans="14:51" x14ac:dyDescent="0.2">
      <c r="N125" s="170">
        <v>7</v>
      </c>
      <c r="O125" s="199">
        <f t="shared" si="102"/>
        <v>117.48975549395293</v>
      </c>
      <c r="P125" s="189" t="str">
        <f t="shared" si="67"/>
        <v>1757.57575757576</v>
      </c>
      <c r="Q125" s="160" t="str">
        <f t="shared" si="68"/>
        <v>1+42.5701045484084i</v>
      </c>
      <c r="R125" s="160">
        <f t="shared" si="77"/>
        <v>42.581848260290691</v>
      </c>
      <c r="S125" s="160">
        <f t="shared" si="78"/>
        <v>1.5473099826951762</v>
      </c>
      <c r="T125" s="160" t="str">
        <f t="shared" si="69"/>
        <v>1+0.206698773529844i</v>
      </c>
      <c r="U125" s="160">
        <f t="shared" si="79"/>
        <v>1.0211387677386172</v>
      </c>
      <c r="V125" s="160">
        <f t="shared" si="80"/>
        <v>0.20382831256119716</v>
      </c>
      <c r="W125" s="98" t="str">
        <f t="shared" si="70"/>
        <v>1-0.000133031576713776i</v>
      </c>
      <c r="X125" s="160">
        <f t="shared" si="81"/>
        <v>1.0000000088487002</v>
      </c>
      <c r="Y125" s="160">
        <f t="shared" si="82"/>
        <v>-1.3303157592900499E-4</v>
      </c>
      <c r="Z125" s="98" t="str">
        <f t="shared" si="71"/>
        <v>0.999994478462942-0.00312728680760743i</v>
      </c>
      <c r="AA125" s="160">
        <f t="shared" si="83"/>
        <v>0.99999936843937476</v>
      </c>
      <c r="AB125" s="160">
        <f t="shared" si="84"/>
        <v>-3.127293880149228E-3</v>
      </c>
      <c r="AC125" s="171" t="str">
        <f t="shared" si="85"/>
        <v>9.62142085449794-41.0348957575728i</v>
      </c>
      <c r="AD125" s="190">
        <f t="shared" si="86"/>
        <v>32.495491767595894</v>
      </c>
      <c r="AE125" s="169">
        <f t="shared" si="87"/>
        <v>-76.804270959077144</v>
      </c>
      <c r="AF125" s="98" t="str">
        <f t="shared" si="72"/>
        <v>-0.0000114342530449913</v>
      </c>
      <c r="AG125" s="98" t="str">
        <f t="shared" si="73"/>
        <v>0.0000886220991509204i</v>
      </c>
      <c r="AH125" s="98">
        <f t="shared" si="88"/>
        <v>8.8622099150920404E-5</v>
      </c>
      <c r="AI125" s="98">
        <f t="shared" si="89"/>
        <v>1.5707963267948966</v>
      </c>
      <c r="AJ125" s="98" t="str">
        <f t="shared" si="74"/>
        <v>1+0.000811692690722299i</v>
      </c>
      <c r="AK125" s="98">
        <f t="shared" si="90"/>
        <v>1.0000003294224578</v>
      </c>
      <c r="AL125" s="98">
        <f t="shared" si="91"/>
        <v>8.1169251246247266E-4</v>
      </c>
      <c r="AM125" s="98" t="str">
        <f t="shared" si="75"/>
        <v>1+1.94887415042424i</v>
      </c>
      <c r="AN125" s="98">
        <f t="shared" si="92"/>
        <v>2.190458959714106</v>
      </c>
      <c r="AO125" s="98">
        <f t="shared" si="93"/>
        <v>1.0967104531924949</v>
      </c>
      <c r="AP125" s="168" t="str">
        <f t="shared" si="94"/>
        <v>-0.25134390436537+0.129226607184214i</v>
      </c>
      <c r="AQ125" s="98">
        <f t="shared" si="95"/>
        <v>-10.975985120556073</v>
      </c>
      <c r="AR125" s="169">
        <f t="shared" si="96"/>
        <v>152.79037376058329</v>
      </c>
      <c r="AS125" s="168" t="str">
        <f t="shared" si="97"/>
        <v>2.88451487179712+11.5572144882525i</v>
      </c>
      <c r="AT125" s="190">
        <f t="shared" si="98"/>
        <v>21.519506647039812</v>
      </c>
      <c r="AU125" s="169">
        <f t="shared" si="99"/>
        <v>75.986102801506163</v>
      </c>
      <c r="AV125" s="225"/>
      <c r="AX125">
        <f t="shared" si="100"/>
        <v>0</v>
      </c>
      <c r="AY125">
        <f t="shared" si="101"/>
        <v>0</v>
      </c>
    </row>
    <row r="126" spans="14:51" x14ac:dyDescent="0.2">
      <c r="N126" s="170">
        <v>8</v>
      </c>
      <c r="O126" s="199">
        <f t="shared" si="102"/>
        <v>120.22644346174135</v>
      </c>
      <c r="P126" s="189" t="str">
        <f t="shared" si="67"/>
        <v>1757.57575757576</v>
      </c>
      <c r="Q126" s="160" t="str">
        <f t="shared" si="68"/>
        <v>1+43.5616896650454i</v>
      </c>
      <c r="R126" s="160">
        <f t="shared" si="77"/>
        <v>43.573166128636132</v>
      </c>
      <c r="S126" s="160">
        <f t="shared" si="78"/>
        <v>1.5478444072378217</v>
      </c>
      <c r="T126" s="160" t="str">
        <f t="shared" si="69"/>
        <v>1+0.211513406466116i</v>
      </c>
      <c r="U126" s="160">
        <f t="shared" si="79"/>
        <v>1.0221242200020995</v>
      </c>
      <c r="V126" s="160">
        <f t="shared" si="80"/>
        <v>0.20844123634129463</v>
      </c>
      <c r="W126" s="98" t="str">
        <f t="shared" si="70"/>
        <v>1-0.000136130280203267i</v>
      </c>
      <c r="X126" s="160">
        <f t="shared" si="81"/>
        <v>1.0000000092657266</v>
      </c>
      <c r="Y126" s="160">
        <f t="shared" si="82"/>
        <v>-1.361302793623697E-4</v>
      </c>
      <c r="Z126" s="98" t="str">
        <f t="shared" si="71"/>
        <v>0.999994218240917-0.00320013067507674i</v>
      </c>
      <c r="AA126" s="160">
        <f t="shared" si="83"/>
        <v>0.99999933867558144</v>
      </c>
      <c r="AB126" s="160">
        <f t="shared" si="84"/>
        <v>-3.2001382534411218E-3</v>
      </c>
      <c r="AC126" s="171" t="str">
        <f t="shared" si="85"/>
        <v>9.57803069168394-40.1006393975187i</v>
      </c>
      <c r="AD126" s="190">
        <f t="shared" si="86"/>
        <v>32.303978126454858</v>
      </c>
      <c r="AE126" s="169">
        <f t="shared" si="87"/>
        <v>-76.566594033501602</v>
      </c>
      <c r="AF126" s="98" t="str">
        <f t="shared" si="72"/>
        <v>-0.0000114342530449913</v>
      </c>
      <c r="AG126" s="98" t="str">
        <f t="shared" si="73"/>
        <v>0.0000906863730223471i</v>
      </c>
      <c r="AH126" s="98">
        <f t="shared" si="88"/>
        <v>9.0686373022347107E-5</v>
      </c>
      <c r="AI126" s="98">
        <f t="shared" si="89"/>
        <v>1.5707963267948966</v>
      </c>
      <c r="AJ126" s="98" t="str">
        <f t="shared" si="74"/>
        <v>1+0.000830599442301639i</v>
      </c>
      <c r="AK126" s="98">
        <f t="shared" si="90"/>
        <v>1.0000003449476573</v>
      </c>
      <c r="AL126" s="98">
        <f t="shared" si="91"/>
        <v>8.3059925129279723E-4</v>
      </c>
      <c r="AM126" s="98" t="str">
        <f t="shared" si="75"/>
        <v>1+1.99426926096623i</v>
      </c>
      <c r="AN126" s="98">
        <f t="shared" si="92"/>
        <v>2.2309437207681402</v>
      </c>
      <c r="AO126" s="98">
        <f t="shared" si="93"/>
        <v>1.1059999371466869</v>
      </c>
      <c r="AP126" s="168" t="str">
        <f t="shared" si="94"/>
        <v>-0.251343896561043+0.12629444649436i</v>
      </c>
      <c r="AQ126" s="98">
        <f t="shared" si="95"/>
        <v>-11.016915376433367</v>
      </c>
      <c r="AR126" s="169">
        <f t="shared" si="96"/>
        <v>153.32153870867364</v>
      </c>
      <c r="AS126" s="168" t="str">
        <f t="shared" si="97"/>
        <v>2.65710850135045+11.2887030454738i</v>
      </c>
      <c r="AT126" s="190">
        <f t="shared" si="98"/>
        <v>21.287062750021466</v>
      </c>
      <c r="AU126" s="169">
        <f t="shared" si="99"/>
        <v>76.754944675171998</v>
      </c>
      <c r="AV126" s="225"/>
      <c r="AX126">
        <f t="shared" si="100"/>
        <v>0</v>
      </c>
      <c r="AY126">
        <f t="shared" si="101"/>
        <v>0</v>
      </c>
    </row>
    <row r="127" spans="14:51" x14ac:dyDescent="0.2">
      <c r="N127" s="170">
        <v>9</v>
      </c>
      <c r="O127" s="199">
        <f t="shared" si="102"/>
        <v>123.02687708123821</v>
      </c>
      <c r="P127" s="189" t="str">
        <f t="shared" si="67"/>
        <v>1757.57575757576</v>
      </c>
      <c r="Q127" s="160" t="str">
        <f t="shared" si="68"/>
        <v>1+44.5763717661499i</v>
      </c>
      <c r="R127" s="160">
        <f t="shared" si="77"/>
        <v>44.587587060010385</v>
      </c>
      <c r="S127" s="160">
        <f t="shared" si="78"/>
        <v>1.5483666794637794</v>
      </c>
      <c r="T127" s="160" t="str">
        <f t="shared" si="69"/>
        <v>1+0.216440186610207i</v>
      </c>
      <c r="U127" s="160">
        <f t="shared" si="79"/>
        <v>1.0231550979103126</v>
      </c>
      <c r="V127" s="160">
        <f t="shared" si="80"/>
        <v>0.21315230720697781</v>
      </c>
      <c r="W127" s="98" t="str">
        <f t="shared" si="70"/>
        <v>1-0.000139301161769218i</v>
      </c>
      <c r="X127" s="160">
        <f t="shared" si="81"/>
        <v>1.0000000097024069</v>
      </c>
      <c r="Y127" s="160">
        <f t="shared" si="82"/>
        <v>-1.3930116086818031E-4</v>
      </c>
      <c r="Z127" s="98" t="str">
        <f t="shared" si="71"/>
        <v>0.999993945755006-0.0032746712941887i</v>
      </c>
      <c r="AA127" s="160">
        <f t="shared" si="83"/>
        <v>0.99999930750913557</v>
      </c>
      <c r="AB127" s="160">
        <f t="shared" si="84"/>
        <v>-3.2746794145516621E-3</v>
      </c>
      <c r="AC127" s="171" t="str">
        <f t="shared" si="85"/>
        <v>9.53659125547051-39.1875552912134i</v>
      </c>
      <c r="AD127" s="190">
        <f t="shared" si="86"/>
        <v>32.112837215826396</v>
      </c>
      <c r="AE127" s="169">
        <f t="shared" si="87"/>
        <v>-76.322504334411121</v>
      </c>
      <c r="AF127" s="98" t="str">
        <f t="shared" si="72"/>
        <v>-0.0000114342530449913</v>
      </c>
      <c r="AG127" s="98" t="str">
        <f t="shared" si="73"/>
        <v>0.0000927987300091263i</v>
      </c>
      <c r="AH127" s="98">
        <f t="shared" si="88"/>
        <v>9.2798730009126297E-5</v>
      </c>
      <c r="AI127" s="98">
        <f t="shared" si="89"/>
        <v>1.5707963267948966</v>
      </c>
      <c r="AJ127" s="98" t="str">
        <f t="shared" si="74"/>
        <v>1+0.000849946588699569i</v>
      </c>
      <c r="AK127" s="98">
        <f t="shared" si="90"/>
        <v>1.0000003612045365</v>
      </c>
      <c r="AL127" s="98">
        <f t="shared" si="91"/>
        <v>8.4994638402991157E-4</v>
      </c>
      <c r="AM127" s="98" t="str">
        <f t="shared" si="75"/>
        <v>1+2.04072175946766i</v>
      </c>
      <c r="AN127" s="98">
        <f t="shared" si="92"/>
        <v>2.2725635963740998</v>
      </c>
      <c r="AO127" s="98">
        <f t="shared" si="93"/>
        <v>1.1151623634471792</v>
      </c>
      <c r="AP127" s="168" t="str">
        <f t="shared" si="94"/>
        <v>-0.251343888388911+0.123429248791131i</v>
      </c>
      <c r="AQ127" s="98">
        <f t="shared" si="95"/>
        <v>-11.056366899334432</v>
      </c>
      <c r="AR127" s="169">
        <f t="shared" si="96"/>
        <v>153.84539855674001</v>
      </c>
      <c r="AS127" s="168" t="str">
        <f t="shared" si="97"/>
        <v>2.43992658342974+11.0266468180398i</v>
      </c>
      <c r="AT127" s="190">
        <f t="shared" si="98"/>
        <v>21.056470316491961</v>
      </c>
      <c r="AU127" s="169">
        <f t="shared" si="99"/>
        <v>77.522894222328858</v>
      </c>
      <c r="AV127" s="225"/>
      <c r="AX127">
        <f t="shared" si="100"/>
        <v>0</v>
      </c>
      <c r="AY127">
        <f t="shared" si="101"/>
        <v>0</v>
      </c>
    </row>
    <row r="128" spans="14:51" x14ac:dyDescent="0.2">
      <c r="N128" s="170">
        <v>10</v>
      </c>
      <c r="O128" s="199">
        <f t="shared" si="102"/>
        <v>125.89254117941677</v>
      </c>
      <c r="P128" s="189" t="str">
        <f t="shared" si="67"/>
        <v>1757.57575757576</v>
      </c>
      <c r="Q128" s="160" t="str">
        <f t="shared" si="68"/>
        <v>1+45.6146888496028i</v>
      </c>
      <c r="R128" s="160">
        <f t="shared" si="77"/>
        <v>45.625648914246447</v>
      </c>
      <c r="S128" s="160">
        <f t="shared" si="78"/>
        <v>1.5488770751483689</v>
      </c>
      <c r="T128" s="160" t="str">
        <f t="shared" si="69"/>
        <v>1+0.221481726206163i</v>
      </c>
      <c r="U128" s="160">
        <f t="shared" si="79"/>
        <v>1.0242334475319881</v>
      </c>
      <c r="V128" s="160">
        <f t="shared" si="80"/>
        <v>0.21796318617555888</v>
      </c>
      <c r="W128" s="98" t="str">
        <f t="shared" si="70"/>
        <v>1-0.000142545902655008i</v>
      </c>
      <c r="X128" s="160">
        <f t="shared" si="81"/>
        <v>1.0000000101596671</v>
      </c>
      <c r="Y128" s="160">
        <f t="shared" si="82"/>
        <v>-1.4254590168952873E-4</v>
      </c>
      <c r="Z128" s="98" t="str">
        <f t="shared" si="71"/>
        <v>0.99999366042723-0.00335094818736624i</v>
      </c>
      <c r="AA128" s="160">
        <f t="shared" si="83"/>
        <v>0.99999927487393947</v>
      </c>
      <c r="AB128" s="160">
        <f t="shared" si="84"/>
        <v>-3.3509568884910472E-3</v>
      </c>
      <c r="AC128" s="171" t="str">
        <f t="shared" si="85"/>
        <v>9.49701491882671-38.2951652862204i</v>
      </c>
      <c r="AD128" s="190">
        <f t="shared" si="86"/>
        <v>31.922085456828093</v>
      </c>
      <c r="AE128" s="169">
        <f t="shared" si="87"/>
        <v>-76.071920324997905</v>
      </c>
      <c r="AF128" s="98" t="str">
        <f t="shared" si="72"/>
        <v>-0.0000114342530449913</v>
      </c>
      <c r="AG128" s="98" t="str">
        <f t="shared" si="73"/>
        <v>0.0000949602901108926i</v>
      </c>
      <c r="AH128" s="98">
        <f t="shared" si="88"/>
        <v>9.4960290110892597E-5</v>
      </c>
      <c r="AI128" s="98">
        <f t="shared" si="89"/>
        <v>1.5707963267948966</v>
      </c>
      <c r="AJ128" s="98" t="str">
        <f t="shared" si="74"/>
        <v>1+0.000869744388029201i</v>
      </c>
      <c r="AK128" s="98">
        <f t="shared" si="90"/>
        <v>1.0000003782275786</v>
      </c>
      <c r="AL128" s="98">
        <f t="shared" si="91"/>
        <v>8.6974416872171638E-4</v>
      </c>
      <c r="AM128" s="98" t="str">
        <f t="shared" si="75"/>
        <v>1+2.08825627565811i</v>
      </c>
      <c r="AN128" s="98">
        <f t="shared" si="92"/>
        <v>2.315343230025622</v>
      </c>
      <c r="AO128" s="98">
        <f t="shared" si="93"/>
        <v>1.1241964356929992</v>
      </c>
      <c r="AP128" s="168" t="str">
        <f t="shared" si="94"/>
        <v>-0.25134387983164+0.120629494908736i</v>
      </c>
      <c r="AQ128" s="98">
        <f t="shared" si="95"/>
        <v>-11.094380345952274</v>
      </c>
      <c r="AR128" s="169">
        <f t="shared" si="96"/>
        <v>154.3618784387352</v>
      </c>
      <c r="AS128" s="168" t="str">
        <f t="shared" si="97"/>
        <v>2.23250986940645+10.7708755346314i</v>
      </c>
      <c r="AT128" s="190">
        <f t="shared" si="98"/>
        <v>20.82770511087584</v>
      </c>
      <c r="AU128" s="169">
        <f t="shared" si="99"/>
        <v>78.289958113737342</v>
      </c>
      <c r="AV128" s="225"/>
      <c r="AX128">
        <f t="shared" si="100"/>
        <v>0</v>
      </c>
      <c r="AY128">
        <f t="shared" si="101"/>
        <v>0</v>
      </c>
    </row>
    <row r="129" spans="14:51" x14ac:dyDescent="0.2">
      <c r="N129" s="170">
        <v>11</v>
      </c>
      <c r="O129" s="199">
        <f t="shared" si="102"/>
        <v>128.82495516931343</v>
      </c>
      <c r="P129" s="189" t="str">
        <f t="shared" si="67"/>
        <v>1757.57575757576</v>
      </c>
      <c r="Q129" s="160" t="str">
        <f t="shared" si="68"/>
        <v>1+46.6771914448656i</v>
      </c>
      <c r="R129" s="160">
        <f t="shared" si="77"/>
        <v>46.687902085879102</v>
      </c>
      <c r="S129" s="160">
        <f t="shared" si="78"/>
        <v>1.5493758638458488</v>
      </c>
      <c r="T129" s="160" t="str">
        <f t="shared" si="69"/>
        <v>1+0.226640698345012i</v>
      </c>
      <c r="U129" s="160">
        <f t="shared" si="79"/>
        <v>1.0253614026997091</v>
      </c>
      <c r="V129" s="160">
        <f t="shared" si="80"/>
        <v>0.22287553286488787</v>
      </c>
      <c r="W129" s="98" t="str">
        <f t="shared" si="70"/>
        <v>1-0.000145866223265205i</v>
      </c>
      <c r="X129" s="160">
        <f t="shared" si="81"/>
        <v>1.0000000106384774</v>
      </c>
      <c r="Y129" s="160">
        <f t="shared" si="82"/>
        <v>-1.458662222306753E-4</v>
      </c>
      <c r="Z129" s="98" t="str">
        <f t="shared" si="71"/>
        <v>0.99999336165237-0.00342900179762777i</v>
      </c>
      <c r="AA129" s="160">
        <f t="shared" si="83"/>
        <v>0.99999924070077961</v>
      </c>
      <c r="AB129" s="160">
        <f t="shared" si="84"/>
        <v>-3.4290111210500004E-3</v>
      </c>
      <c r="AC129" s="171" t="str">
        <f t="shared" si="85"/>
        <v>9.4592179827334-37.4230018041057i</v>
      </c>
      <c r="AD129" s="190">
        <f t="shared" si="86"/>
        <v>31.731739881613947</v>
      </c>
      <c r="AE129" s="169">
        <f t="shared" si="87"/>
        <v>-75.814760141683607</v>
      </c>
      <c r="AF129" s="98" t="str">
        <f t="shared" si="72"/>
        <v>-0.0000114342530449913</v>
      </c>
      <c r="AG129" s="98" t="str">
        <f t="shared" si="73"/>
        <v>0.0000971721994154238i</v>
      </c>
      <c r="AH129" s="98">
        <f t="shared" si="88"/>
        <v>9.7172199415423801E-5</v>
      </c>
      <c r="AI129" s="98">
        <f t="shared" si="89"/>
        <v>1.5707963267948966</v>
      </c>
      <c r="AJ129" s="98" t="str">
        <f t="shared" si="74"/>
        <v>1+0.000890003337345795i</v>
      </c>
      <c r="AK129" s="98">
        <f t="shared" si="90"/>
        <v>1.0000003960528918</v>
      </c>
      <c r="AL129" s="98">
        <f t="shared" si="91"/>
        <v>8.9000310235359641E-4</v>
      </c>
      <c r="AM129" s="98" t="str">
        <f t="shared" si="75"/>
        <v>1+2.13689801296725i</v>
      </c>
      <c r="AN129" s="98">
        <f t="shared" si="92"/>
        <v>2.3593077624217198</v>
      </c>
      <c r="AO129" s="98">
        <f t="shared" si="93"/>
        <v>1.1331010444007528</v>
      </c>
      <c r="AP129" s="168" t="str">
        <f t="shared" si="94"/>
        <v>-0.251343870871077+0.117893700380559i</v>
      </c>
      <c r="AQ129" s="98">
        <f t="shared" si="95"/>
        <v>-11.13099618111562</v>
      </c>
      <c r="AR129" s="169">
        <f t="shared" si="96"/>
        <v>154.87091418451047</v>
      </c>
      <c r="AS129" s="168" t="str">
        <f t="shared" si="97"/>
        <v>2.03441969884084+10.52122434375i</v>
      </c>
      <c r="AT129" s="190">
        <f t="shared" si="98"/>
        <v>20.600743700498331</v>
      </c>
      <c r="AU129" s="169">
        <f t="shared" si="99"/>
        <v>79.05615404282689</v>
      </c>
      <c r="AV129" s="225"/>
      <c r="AX129">
        <f t="shared" si="100"/>
        <v>0</v>
      </c>
      <c r="AY129">
        <f t="shared" si="101"/>
        <v>0</v>
      </c>
    </row>
    <row r="130" spans="14:51" x14ac:dyDescent="0.2">
      <c r="N130" s="170">
        <v>12</v>
      </c>
      <c r="O130" s="199">
        <f t="shared" si="102"/>
        <v>131.82567385564084</v>
      </c>
      <c r="P130" s="189" t="str">
        <f t="shared" si="67"/>
        <v>1757.57575757576</v>
      </c>
      <c r="Q130" s="160" t="str">
        <f t="shared" si="68"/>
        <v>1+47.7644429048782i</v>
      </c>
      <c r="R130" s="160">
        <f t="shared" si="77"/>
        <v>47.77490979597313</v>
      </c>
      <c r="S130" s="160">
        <f t="shared" si="78"/>
        <v>1.5498633090272698</v>
      </c>
      <c r="T130" s="160" t="str">
        <f t="shared" si="69"/>
        <v>1+0.231919838382067i</v>
      </c>
      <c r="U130" s="160">
        <f t="shared" si="79"/>
        <v>1.0265411883773412</v>
      </c>
      <c r="V130" s="160">
        <f t="shared" si="80"/>
        <v>0.22789100311130014</v>
      </c>
      <c r="W130" s="98" t="str">
        <f t="shared" si="70"/>
        <v>1-0.000149263884077744i</v>
      </c>
      <c r="X130" s="160">
        <f t="shared" si="81"/>
        <v>1.0000000111398535</v>
      </c>
      <c r="Y130" s="160">
        <f t="shared" si="82"/>
        <v>-1.4926388296922547E-4</v>
      </c>
      <c r="Z130" s="98" t="str">
        <f t="shared" si="71"/>
        <v>0.999993048796685-0.00350887351003061i</v>
      </c>
      <c r="AA130" s="160">
        <f t="shared" si="83"/>
        <v>0.99999920491718342</v>
      </c>
      <c r="AB130" s="160">
        <f t="shared" si="84"/>
        <v>-3.5088835002564226E-3</v>
      </c>
      <c r="AC130" s="171" t="str">
        <f t="shared" si="85"/>
        <v>9.4231205007438-36.5706076190355i</v>
      </c>
      <c r="AD130" s="190">
        <f t="shared" si="86"/>
        <v>31.541818150787108</v>
      </c>
      <c r="AE130" s="169">
        <f t="shared" si="87"/>
        <v>-75.550941737322447</v>
      </c>
      <c r="AF130" s="98" t="str">
        <f t="shared" si="72"/>
        <v>-0.0000114342530449913</v>
      </c>
      <c r="AG130" s="98" t="str">
        <f t="shared" si="73"/>
        <v>0.0000994356307063112i</v>
      </c>
      <c r="AH130" s="98">
        <f t="shared" si="88"/>
        <v>9.9435630706311206E-5</v>
      </c>
      <c r="AI130" s="98">
        <f t="shared" si="89"/>
        <v>1.5707963267948966</v>
      </c>
      <c r="AJ130" s="98" t="str">
        <f t="shared" si="74"/>
        <v>1+0.000910734178212437i</v>
      </c>
      <c r="AK130" s="98">
        <f t="shared" si="90"/>
        <v>1.0000004147182857</v>
      </c>
      <c r="AL130" s="98">
        <f t="shared" si="91"/>
        <v>9.107339264137653E-4</v>
      </c>
      <c r="AM130" s="98" t="str">
        <f t="shared" si="75"/>
        <v>1+2.18667276188806i</v>
      </c>
      <c r="AN130" s="98">
        <f t="shared" si="92"/>
        <v>2.4044828482613796</v>
      </c>
      <c r="AO130" s="98">
        <f t="shared" si="93"/>
        <v>1.1418752613893763</v>
      </c>
      <c r="AP130" s="168" t="str">
        <f t="shared" si="94"/>
        <v>-0.251343861488217+0.11522041465208i</v>
      </c>
      <c r="AQ130" s="98">
        <f t="shared" si="95"/>
        <v>-11.166254605078588</v>
      </c>
      <c r="AR130" s="169">
        <f t="shared" si="96"/>
        <v>155.37245199776615</v>
      </c>
      <c r="AS130" s="168" t="str">
        <f t="shared" si="97"/>
        <v>1.84523708001806+10.277533587351i</v>
      </c>
      <c r="AT130" s="190">
        <f t="shared" si="98"/>
        <v>20.375563545708513</v>
      </c>
      <c r="AU130" s="169">
        <f t="shared" si="99"/>
        <v>79.821510260443674</v>
      </c>
      <c r="AV130" s="225"/>
      <c r="AX130">
        <f t="shared" si="100"/>
        <v>0</v>
      </c>
      <c r="AY130">
        <f t="shared" si="101"/>
        <v>0</v>
      </c>
    </row>
    <row r="131" spans="14:51" x14ac:dyDescent="0.2">
      <c r="N131" s="170">
        <v>13</v>
      </c>
      <c r="O131" s="199">
        <f t="shared" si="102"/>
        <v>134.89628825916537</v>
      </c>
      <c r="P131" s="189" t="str">
        <f t="shared" si="67"/>
        <v>1757.57575757576</v>
      </c>
      <c r="Q131" s="160" t="str">
        <f t="shared" si="68"/>
        <v>1+48.877019704756i</v>
      </c>
      <c r="R131" s="160">
        <f t="shared" si="77"/>
        <v>48.887248390752227</v>
      </c>
      <c r="S131" s="160">
        <f t="shared" si="78"/>
        <v>1.5503396682154411</v>
      </c>
      <c r="T131" s="160" t="str">
        <f t="shared" si="69"/>
        <v>1+0.237321945387254i</v>
      </c>
      <c r="U131" s="160">
        <f t="shared" si="79"/>
        <v>1.0277751241212207</v>
      </c>
      <c r="V131" s="160">
        <f t="shared" si="80"/>
        <v>0.23301124641980767</v>
      </c>
      <c r="W131" s="98" t="str">
        <f t="shared" si="70"/>
        <v>1-0.000152740686577362i</v>
      </c>
      <c r="X131" s="160">
        <f t="shared" si="81"/>
        <v>1.0000000116648586</v>
      </c>
      <c r="Y131" s="160">
        <f t="shared" si="82"/>
        <v>-1.5274068538956301E-4</v>
      </c>
      <c r="Z131" s="98" t="str">
        <f t="shared" si="71"/>
        <v>0.999992721196566-0.0035906056736139i</v>
      </c>
      <c r="AA131" s="160">
        <f t="shared" si="83"/>
        <v>0.99999916744726169</v>
      </c>
      <c r="AB131" s="160">
        <f t="shared" si="84"/>
        <v>-3.5906163783324895E-3</v>
      </c>
      <c r="AC131" s="171" t="str">
        <f t="shared" si="85"/>
        <v>9.38864611131991-35.7375356401007i</v>
      </c>
      <c r="AD131" s="190">
        <f t="shared" si="86"/>
        <v>31.352338570608897</v>
      </c>
      <c r="AE131" s="169">
        <f t="shared" si="87"/>
        <v>-75.280383033823099</v>
      </c>
      <c r="AF131" s="98" t="str">
        <f t="shared" si="72"/>
        <v>-0.0000114342530449913</v>
      </c>
      <c r="AG131" s="98" t="str">
        <f t="shared" si="73"/>
        <v>0.000101751784084785i</v>
      </c>
      <c r="AH131" s="98">
        <f t="shared" si="88"/>
        <v>1.01751784084785E-4</v>
      </c>
      <c r="AI131" s="98">
        <f t="shared" si="89"/>
        <v>1.5707963267948966</v>
      </c>
      <c r="AJ131" s="98" t="str">
        <f t="shared" si="74"/>
        <v>1+0.000931947902395357i</v>
      </c>
      <c r="AK131" s="98">
        <f t="shared" si="90"/>
        <v>1.0000004342633522</v>
      </c>
      <c r="AL131" s="98">
        <f t="shared" si="91"/>
        <v>9.3194763258822564E-4</v>
      </c>
      <c r="AM131" s="98" t="str">
        <f t="shared" si="75"/>
        <v>1+2.23760691365125i</v>
      </c>
      <c r="AN131" s="98">
        <f t="shared" si="92"/>
        <v>2.4508946733835528</v>
      </c>
      <c r="AO131" s="98">
        <f t="shared" si="93"/>
        <v>1.1505183338444762</v>
      </c>
      <c r="AP131" s="168" t="str">
        <f t="shared" si="94"/>
        <v>-0.251343851663156+0.112608220311767i</v>
      </c>
      <c r="AQ131" s="98">
        <f t="shared" si="95"/>
        <v>-11.200195485761778</v>
      </c>
      <c r="AR131" s="169">
        <f t="shared" si="96"/>
        <v>155.86644811563738</v>
      </c>
      <c r="AS131" s="168" t="str">
        <f t="shared" si="97"/>
        <v>1.66456181123863+10.0396485864649i</v>
      </c>
      <c r="AT131" s="190">
        <f t="shared" si="98"/>
        <v>20.152143084847079</v>
      </c>
      <c r="AU131" s="169">
        <f t="shared" si="99"/>
        <v>80.58606508181424</v>
      </c>
      <c r="AV131" s="225"/>
      <c r="AX131">
        <f t="shared" si="100"/>
        <v>0</v>
      </c>
      <c r="AY131">
        <f t="shared" si="101"/>
        <v>0</v>
      </c>
    </row>
    <row r="132" spans="14:51" x14ac:dyDescent="0.2">
      <c r="N132" s="170">
        <v>14</v>
      </c>
      <c r="O132" s="199">
        <f t="shared" si="102"/>
        <v>138.0384264602886</v>
      </c>
      <c r="P132" s="189" t="str">
        <f t="shared" si="67"/>
        <v>1757.57575757576</v>
      </c>
      <c r="Q132" s="160" t="str">
        <f t="shared" si="68"/>
        <v>1+50.0155117474452i</v>
      </c>
      <c r="R132" s="160">
        <f t="shared" si="77"/>
        <v>50.025507647187638</v>
      </c>
      <c r="S132" s="160">
        <f t="shared" si="78"/>
        <v>1.5508051931170577</v>
      </c>
      <c r="T132" s="160" t="str">
        <f t="shared" si="69"/>
        <v>1+0.242849883629213i</v>
      </c>
      <c r="U132" s="160">
        <f t="shared" si="79"/>
        <v>1.0290656276344685</v>
      </c>
      <c r="V132" s="160">
        <f t="shared" si="80"/>
        <v>0.23823790324020735</v>
      </c>
      <c r="W132" s="98" t="str">
        <f t="shared" si="70"/>
        <v>1-0.000156298474210766i</v>
      </c>
      <c r="X132" s="160">
        <f t="shared" si="81"/>
        <v>1.0000000122146064</v>
      </c>
      <c r="Y132" s="160">
        <f t="shared" si="82"/>
        <v>-1.5629847293801644E-4</v>
      </c>
      <c r="Z132" s="98" t="str">
        <f t="shared" si="71"/>
        <v>0.999992378157128-0.00367424162385262i</v>
      </c>
      <c r="AA132" s="160">
        <f t="shared" si="83"/>
        <v>0.99999912821154957</v>
      </c>
      <c r="AB132" s="160">
        <f t="shared" si="84"/>
        <v>-3.6742530941638665E-3</v>
      </c>
      <c r="AC132" s="171" t="str">
        <f t="shared" si="85"/>
        <v>9.35572187760468-34.9233486973679i</v>
      </c>
      <c r="AD132" s="190">
        <f t="shared" si="86"/>
        <v>31.163320109927174</v>
      </c>
      <c r="AE132" s="169">
        <f t="shared" si="87"/>
        <v>-75.003002084553245</v>
      </c>
      <c r="AF132" s="98" t="str">
        <f t="shared" si="72"/>
        <v>-0.0000114342530449913</v>
      </c>
      <c r="AG132" s="98" t="str">
        <f t="shared" si="73"/>
        <v>0.000104121887606025i</v>
      </c>
      <c r="AH132" s="98">
        <f t="shared" si="88"/>
        <v>1.04121887606025E-4</v>
      </c>
      <c r="AI132" s="98">
        <f t="shared" si="89"/>
        <v>1.5707963267948966</v>
      </c>
      <c r="AJ132" s="98" t="str">
        <f t="shared" si="74"/>
        <v>1+0.000953655757691918i</v>
      </c>
      <c r="AK132" s="98">
        <f t="shared" si="90"/>
        <v>1.0000004547295487</v>
      </c>
      <c r="AL132" s="98">
        <f t="shared" si="91"/>
        <v>9.5365546858837511E-4</v>
      </c>
      <c r="AM132" s="98" t="str">
        <f t="shared" si="75"/>
        <v>1+2.28972747421829i</v>
      </c>
      <c r="AN132" s="98">
        <f t="shared" si="92"/>
        <v>2.4985699722421364</v>
      </c>
      <c r="AO132" s="98">
        <f t="shared" si="93"/>
        <v>1.1590296781134026</v>
      </c>
      <c r="AP132" s="168" t="str">
        <f t="shared" si="94"/>
        <v>-0.251343841375054+0.110055732339545i</v>
      </c>
      <c r="AQ132" s="98">
        <f t="shared" si="95"/>
        <v>-11.23285829595903</v>
      </c>
      <c r="AR132" s="169">
        <f t="shared" si="96"/>
        <v>156.35286845284452</v>
      </c>
      <c r="AS132" s="168" t="str">
        <f t="shared" si="97"/>
        <v>1.49201164108433+9.80741943808182i</v>
      </c>
      <c r="AT132" s="190">
        <f t="shared" si="98"/>
        <v>19.93046181396814</v>
      </c>
      <c r="AU132" s="169">
        <f t="shared" si="99"/>
        <v>81.349866368291259</v>
      </c>
      <c r="AV132" s="225"/>
      <c r="AX132">
        <f t="shared" si="100"/>
        <v>0</v>
      </c>
      <c r="AY132">
        <f t="shared" si="101"/>
        <v>0</v>
      </c>
    </row>
    <row r="133" spans="14:51" x14ac:dyDescent="0.2">
      <c r="N133" s="170">
        <v>15</v>
      </c>
      <c r="O133" s="199">
        <f t="shared" si="102"/>
        <v>141.25375446227542</v>
      </c>
      <c r="P133" s="189" t="str">
        <f t="shared" si="67"/>
        <v>1757.57575757576</v>
      </c>
      <c r="Q133" s="160" t="str">
        <f t="shared" si="68"/>
        <v>1+51.1805226764964i</v>
      </c>
      <c r="R133" s="160">
        <f t="shared" si="77"/>
        <v>51.190291085706505</v>
      </c>
      <c r="S133" s="160">
        <f t="shared" si="78"/>
        <v>1.5512601297520376</v>
      </c>
      <c r="T133" s="160" t="str">
        <f t="shared" si="69"/>
        <v>1+0.24850658409397i</v>
      </c>
      <c r="U133" s="160">
        <f t="shared" si="79"/>
        <v>1.0304152184134576</v>
      </c>
      <c r="V133" s="160">
        <f t="shared" si="80"/>
        <v>0.24357260206300124</v>
      </c>
      <c r="W133" s="98" t="str">
        <f t="shared" si="70"/>
        <v>1-0.000159939133364051i</v>
      </c>
      <c r="X133" s="160">
        <f t="shared" si="81"/>
        <v>1.0000000127902631</v>
      </c>
      <c r="Y133" s="160">
        <f t="shared" si="82"/>
        <v>-1.5993913200027529E-4</v>
      </c>
      <c r="Z133" s="98" t="str">
        <f t="shared" si="71"/>
        <v>0.99999201895074-0.00375982570563464i</v>
      </c>
      <c r="AA133" s="160">
        <f t="shared" si="83"/>
        <v>0.99999908712684027</v>
      </c>
      <c r="AB133" s="160">
        <f t="shared" si="84"/>
        <v>-3.7598379962930284E-3</v>
      </c>
      <c r="AC133" s="171" t="str">
        <f t="shared" si="85"/>
        <v>9.32427813430515-34.1276193316577i</v>
      </c>
      <c r="AD133" s="190">
        <f t="shared" si="86"/>
        <v>30.974782416741483</v>
      </c>
      <c r="AE133" s="169">
        <f t="shared" si="87"/>
        <v>-74.718717246880857</v>
      </c>
      <c r="AF133" s="98" t="str">
        <f t="shared" si="72"/>
        <v>-0.0000114342530449913</v>
      </c>
      <c r="AG133" s="98" t="str">
        <f t="shared" si="73"/>
        <v>0.00010654719793029i</v>
      </c>
      <c r="AH133" s="98">
        <f t="shared" si="88"/>
        <v>1.0654719793029E-4</v>
      </c>
      <c r="AI133" s="98">
        <f t="shared" si="89"/>
        <v>1.5707963267948966</v>
      </c>
      <c r="AJ133" s="98" t="str">
        <f t="shared" si="74"/>
        <v>1+0.000975869253894331i</v>
      </c>
      <c r="AK133" s="98">
        <f t="shared" si="90"/>
        <v>1.000000476160287</v>
      </c>
      <c r="AL133" s="98">
        <f t="shared" si="91"/>
        <v>9.7586894411431154E-4</v>
      </c>
      <c r="AM133" s="98" t="str">
        <f t="shared" si="75"/>
        <v>1+2.34306207860029i</v>
      </c>
      <c r="AN133" s="98">
        <f t="shared" si="92"/>
        <v>2.5475360457066571</v>
      </c>
      <c r="AO133" s="98">
        <f t="shared" si="93"/>
        <v>1.1674088732801056</v>
      </c>
      <c r="AP133" s="168" t="str">
        <f t="shared" si="94"/>
        <v>-0.251343830602091+0.107561597372444i</v>
      </c>
      <c r="AQ133" s="98">
        <f t="shared" si="95"/>
        <v>-11.264282055489499</v>
      </c>
      <c r="AR133" s="169">
        <f t="shared" si="96"/>
        <v>156.83168823321714</v>
      </c>
      <c r="AS133" s="168" t="str">
        <f t="shared" si="97"/>
        <v>1.32722146595623+9.58070082261963i</v>
      </c>
      <c r="AT133" s="190">
        <f t="shared" si="98"/>
        <v>19.710500361251988</v>
      </c>
      <c r="AU133" s="169">
        <f t="shared" si="99"/>
        <v>82.112970986336279</v>
      </c>
      <c r="AV133" s="225"/>
      <c r="AX133">
        <f t="shared" si="100"/>
        <v>0</v>
      </c>
      <c r="AY133">
        <f t="shared" si="101"/>
        <v>0</v>
      </c>
    </row>
    <row r="134" spans="14:51" x14ac:dyDescent="0.2">
      <c r="N134" s="170">
        <v>16</v>
      </c>
      <c r="O134" s="199">
        <f t="shared" si="102"/>
        <v>144.54397707459285</v>
      </c>
      <c r="P134" s="189" t="str">
        <f t="shared" si="67"/>
        <v>1757.57575757576</v>
      </c>
      <c r="Q134" s="160" t="str">
        <f t="shared" si="68"/>
        <v>1+52.372670196125i</v>
      </c>
      <c r="R134" s="160">
        <f t="shared" si="77"/>
        <v>52.38221629018841</v>
      </c>
      <c r="S134" s="160">
        <f t="shared" si="78"/>
        <v>1.5517047185801185</v>
      </c>
      <c r="T134" s="160" t="str">
        <f t="shared" si="69"/>
        <v>1+0.254295046038988i</v>
      </c>
      <c r="U134" s="160">
        <f t="shared" si="79"/>
        <v>1.0318265214850659</v>
      </c>
      <c r="V134" s="160">
        <f t="shared" si="80"/>
        <v>0.24901695632926954</v>
      </c>
      <c r="W134" s="98" t="str">
        <f t="shared" si="70"/>
        <v>1-0.00016366459436289i</v>
      </c>
      <c r="X134" s="160">
        <f t="shared" si="81"/>
        <v>1.0000000133930496</v>
      </c>
      <c r="Y134" s="160">
        <f t="shared" si="82"/>
        <v>-1.6366459290157801E-4</v>
      </c>
      <c r="Z134" s="98" t="str">
        <f t="shared" si="71"/>
        <v>0.999991642815477-0.00384740329677297i</v>
      </c>
      <c r="AA134" s="160">
        <f t="shared" si="83"/>
        <v>0.99999904410600526</v>
      </c>
      <c r="AB134" s="160">
        <f t="shared" si="84"/>
        <v>-3.8474164664489656E-3</v>
      </c>
      <c r="AC134" s="171" t="str">
        <f t="shared" si="85"/>
        <v>9.29424834137537-33.3499295880347i</v>
      </c>
      <c r="AD134" s="190">
        <f t="shared" si="86"/>
        <v>30.786745834312637</v>
      </c>
      <c r="AE134" s="169">
        <f t="shared" si="87"/>
        <v>-74.427447365187632</v>
      </c>
      <c r="AF134" s="98" t="str">
        <f t="shared" si="72"/>
        <v>-0.0000114342530449913</v>
      </c>
      <c r="AG134" s="98" t="str">
        <f t="shared" si="73"/>
        <v>0.000109029000989216i</v>
      </c>
      <c r="AH134" s="98">
        <f t="shared" si="88"/>
        <v>1.09029000989216E-4</v>
      </c>
      <c r="AI134" s="98">
        <f t="shared" si="89"/>
        <v>1.5707963267948966</v>
      </c>
      <c r="AJ134" s="98" t="str">
        <f t="shared" si="74"/>
        <v>1+0.000998600168892318i</v>
      </c>
      <c r="AK134" s="98">
        <f t="shared" si="90"/>
        <v>1.0000004986010245</v>
      </c>
      <c r="AL134" s="98">
        <f t="shared" si="91"/>
        <v>9.9859983695705572E-4</v>
      </c>
      <c r="AM134" s="98" t="str">
        <f t="shared" si="75"/>
        <v>1+2.39763900551046i</v>
      </c>
      <c r="AN134" s="98">
        <f t="shared" si="92"/>
        <v>2.597820779181117</v>
      </c>
      <c r="AO134" s="98">
        <f t="shared" si="93"/>
        <v>1.1756556545665546</v>
      </c>
      <c r="AP134" s="168" t="str">
        <f t="shared" si="94"/>
        <v>-0.251343819321417+0.105124492987026i</v>
      </c>
      <c r="AQ134" s="98">
        <f t="shared" si="95"/>
        <v>-11.294505278241644</v>
      </c>
      <c r="AR134" s="169">
        <f t="shared" si="96"/>
        <v>157.30289161127371</v>
      </c>
      <c r="AS134" s="168" t="str">
        <f t="shared" si="97"/>
        <v>1.16984256325213+9.35935182133956i</v>
      </c>
      <c r="AT134" s="190">
        <f t="shared" si="98"/>
        <v>19.492240556070989</v>
      </c>
      <c r="AU134" s="169">
        <f t="shared" si="99"/>
        <v>82.87544424608609</v>
      </c>
      <c r="AV134" s="225"/>
      <c r="AX134">
        <f t="shared" si="100"/>
        <v>0</v>
      </c>
      <c r="AY134">
        <f t="shared" si="101"/>
        <v>0</v>
      </c>
    </row>
    <row r="135" spans="14:51" x14ac:dyDescent="0.2">
      <c r="N135" s="170">
        <v>17</v>
      </c>
      <c r="O135" s="199">
        <f t="shared" si="102"/>
        <v>147.91083881682084</v>
      </c>
      <c r="P135" s="189" t="str">
        <f t="shared" si="67"/>
        <v>1757.57575757576</v>
      </c>
      <c r="Q135" s="160" t="str">
        <f t="shared" si="68"/>
        <v>1+53.5925863987258i</v>
      </c>
      <c r="R135" s="160">
        <f t="shared" si="77"/>
        <v>53.601915235417565</v>
      </c>
      <c r="S135" s="160">
        <f t="shared" si="78"/>
        <v>1.5521391946247618</v>
      </c>
      <c r="T135" s="160" t="str">
        <f t="shared" si="69"/>
        <v>1+0.260218338583408i</v>
      </c>
      <c r="U135" s="160">
        <f t="shared" si="79"/>
        <v>1.0333022712329192</v>
      </c>
      <c r="V135" s="160">
        <f t="shared" si="80"/>
        <v>0.25457256114895199</v>
      </c>
      <c r="W135" s="98" t="str">
        <f t="shared" si="70"/>
        <v>1-0.000167476832496018i</v>
      </c>
      <c r="X135" s="160">
        <f t="shared" si="81"/>
        <v>1.0000000140242447</v>
      </c>
      <c r="Y135" s="160">
        <f t="shared" si="82"/>
        <v>-1.6747683093019399E-4</v>
      </c>
      <c r="Z135" s="98" t="str">
        <f t="shared" si="71"/>
        <v>0.999991248953504-0.00393702083206565i</v>
      </c>
      <c r="AA135" s="160">
        <f t="shared" si="83"/>
        <v>0.99999899905780953</v>
      </c>
      <c r="AB135" s="160">
        <f t="shared" si="84"/>
        <v>-3.9370349436257746E-3</v>
      </c>
      <c r="AC135" s="171" t="str">
        <f t="shared" si="85"/>
        <v>9.26556894420057-32.5898708129986i</v>
      </c>
      <c r="AD135" s="190">
        <f t="shared" si="86"/>
        <v>30.599231416718649</v>
      </c>
      <c r="AE135" s="169">
        <f t="shared" si="87"/>
        <v>-74.129111964675729</v>
      </c>
      <c r="AF135" s="98" t="str">
        <f t="shared" si="72"/>
        <v>-0.0000114342530449913</v>
      </c>
      <c r="AG135" s="98" t="str">
        <f t="shared" si="73"/>
        <v>0.000111568612667636i</v>
      </c>
      <c r="AH135" s="98">
        <f t="shared" si="88"/>
        <v>1.11568612667636E-4</v>
      </c>
      <c r="AI135" s="98">
        <f t="shared" si="89"/>
        <v>1.5707963267948966</v>
      </c>
      <c r="AJ135" s="98" t="str">
        <f t="shared" si="74"/>
        <v>1+0.00102186055491789i</v>
      </c>
      <c r="AK135" s="98">
        <f t="shared" si="90"/>
        <v>1.0000005220993606</v>
      </c>
      <c r="AL135" s="98">
        <f t="shared" si="91"/>
        <v>1.0218601992428584E-3</v>
      </c>
      <c r="AM135" s="98" t="str">
        <f t="shared" si="75"/>
        <v>1+2.45348719235785i</v>
      </c>
      <c r="AN135" s="98">
        <f t="shared" si="92"/>
        <v>2.6494526610347289</v>
      </c>
      <c r="AO135" s="98">
        <f t="shared" si="93"/>
        <v>1.1837699066049312</v>
      </c>
      <c r="AP135" s="168" t="str">
        <f t="shared" si="94"/>
        <v>-0.2513438075091+0.102743126998214i</v>
      </c>
      <c r="AQ135" s="98">
        <f t="shared" si="95"/>
        <v>-11.323565924026225</v>
      </c>
      <c r="AR135" s="169">
        <f t="shared" si="96"/>
        <v>157.76647128638919</v>
      </c>
      <c r="AS135" s="168" t="str">
        <f t="shared" si="97"/>
        <v>1.01954185862186+9.14323574311346i</v>
      </c>
      <c r="AT135" s="190">
        <f t="shared" si="98"/>
        <v>19.275665492692422</v>
      </c>
      <c r="AU135" s="169">
        <f t="shared" si="99"/>
        <v>83.637359321713475</v>
      </c>
      <c r="AV135" s="225"/>
      <c r="AX135">
        <f t="shared" si="100"/>
        <v>0</v>
      </c>
      <c r="AY135">
        <f t="shared" si="101"/>
        <v>0</v>
      </c>
    </row>
    <row r="136" spans="14:51" x14ac:dyDescent="0.2">
      <c r="N136" s="170">
        <v>18</v>
      </c>
      <c r="O136" s="199">
        <f t="shared" si="102"/>
        <v>151.3561248436209</v>
      </c>
      <c r="P136" s="189" t="str">
        <f t="shared" si="67"/>
        <v>1757.57575757576</v>
      </c>
      <c r="Q136" s="160" t="str">
        <f t="shared" si="68"/>
        <v>1+54.840918100017i</v>
      </c>
      <c r="R136" s="160">
        <f t="shared" si="77"/>
        <v>54.850034622165659</v>
      </c>
      <c r="S136" s="160">
        <f t="shared" si="78"/>
        <v>1.5525637875944145</v>
      </c>
      <c r="T136" s="160" t="str">
        <f t="shared" si="69"/>
        <v>1+0.266279602335342i</v>
      </c>
      <c r="U136" s="160">
        <f t="shared" si="79"/>
        <v>1.0348453153103936</v>
      </c>
      <c r="V136" s="160">
        <f t="shared" si="80"/>
        <v>0.26024098982242772</v>
      </c>
      <c r="W136" s="98" t="str">
        <f t="shared" si="70"/>
        <v>1-0.000171377869062553i</v>
      </c>
      <c r="X136" s="160">
        <f t="shared" si="81"/>
        <v>1.0000000146851868</v>
      </c>
      <c r="Y136" s="160">
        <f t="shared" si="82"/>
        <v>-1.7137786738474233E-4</v>
      </c>
      <c r="Z136" s="98" t="str">
        <f t="shared" si="71"/>
        <v>0.999990836529389-0.00402872582791612i</v>
      </c>
      <c r="AA136" s="160">
        <f t="shared" si="83"/>
        <v>0.99999895188672261</v>
      </c>
      <c r="AB136" s="160">
        <f t="shared" si="84"/>
        <v>-4.0287409487230292E-3</v>
      </c>
      <c r="AC136" s="171" t="str">
        <f t="shared" si="85"/>
        <v>9.23817923999765-31.8470434553579i</v>
      </c>
      <c r="AD136" s="190">
        <f t="shared" si="86"/>
        <v>30.41226094375055</v>
      </c>
      <c r="AE136" s="169">
        <f t="shared" si="87"/>
        <v>-73.823631456263229</v>
      </c>
      <c r="AF136" s="98" t="str">
        <f t="shared" si="72"/>
        <v>-0.0000114342530449913</v>
      </c>
      <c r="AG136" s="98" t="str">
        <f t="shared" si="73"/>
        <v>0.000114167379501278i</v>
      </c>
      <c r="AH136" s="98">
        <f t="shared" si="88"/>
        <v>1.14167379501278E-4</v>
      </c>
      <c r="AI136" s="98">
        <f t="shared" si="89"/>
        <v>1.5707963267948966</v>
      </c>
      <c r="AJ136" s="98" t="str">
        <f t="shared" si="74"/>
        <v>1+0.0010456627449356i</v>
      </c>
      <c r="AK136" s="98">
        <f t="shared" si="90"/>
        <v>1.0000005467051385</v>
      </c>
      <c r="AL136" s="98">
        <f t="shared" si="91"/>
        <v>1.0456623638229485E-3</v>
      </c>
      <c r="AM136" s="98" t="str">
        <f t="shared" si="75"/>
        <v>1+2.51063625059036i</v>
      </c>
      <c r="AN136" s="98">
        <f t="shared" si="92"/>
        <v>2.702460801339849</v>
      </c>
      <c r="AO136" s="98">
        <f t="shared" si="93"/>
        <v>1.1917516566221205</v>
      </c>
      <c r="AP136" s="168" t="str">
        <f t="shared" si="94"/>
        <v>-0.251343795140085+0.100416236774165i</v>
      </c>
      <c r="AQ136" s="98">
        <f t="shared" si="95"/>
        <v>-11.351501355129159</v>
      </c>
      <c r="AR136" s="169">
        <f t="shared" si="96"/>
        <v>158.22242811192876</v>
      </c>
      <c r="AS136" s="168" t="str">
        <f t="shared" si="97"/>
        <v>0.876001225804985+8.93221995998664i</v>
      </c>
      <c r="AT136" s="190">
        <f t="shared" si="98"/>
        <v>19.060759588621391</v>
      </c>
      <c r="AU136" s="169">
        <f t="shared" si="99"/>
        <v>84.398796655665549</v>
      </c>
      <c r="AV136" s="225"/>
      <c r="AX136">
        <f t="shared" si="100"/>
        <v>0</v>
      </c>
      <c r="AY136">
        <f t="shared" si="101"/>
        <v>0</v>
      </c>
    </row>
    <row r="137" spans="14:51" x14ac:dyDescent="0.2">
      <c r="N137" s="170">
        <v>19</v>
      </c>
      <c r="O137" s="199">
        <f t="shared" si="102"/>
        <v>154.8816618912482</v>
      </c>
      <c r="P137" s="189" t="str">
        <f t="shared" si="67"/>
        <v>1757.57575757576</v>
      </c>
      <c r="Q137" s="160" t="str">
        <f t="shared" si="68"/>
        <v>1+56.1183271819901i</v>
      </c>
      <c r="R137" s="160">
        <f t="shared" si="77"/>
        <v>56.127236220082033</v>
      </c>
      <c r="S137" s="160">
        <f t="shared" si="78"/>
        <v>1.5529787220011761</v>
      </c>
      <c r="T137" s="160" t="str">
        <f t="shared" si="69"/>
        <v>1+0.272482051057061i</v>
      </c>
      <c r="U137" s="160">
        <f t="shared" si="79"/>
        <v>1.0364586186376488</v>
      </c>
      <c r="V137" s="160">
        <f t="shared" si="80"/>
        <v>0.26602379016074096</v>
      </c>
      <c r="W137" s="98" t="str">
        <f t="shared" si="70"/>
        <v>1-0.000175369772443719i</v>
      </c>
      <c r="X137" s="160">
        <f t="shared" si="81"/>
        <v>1.0000000153772783</v>
      </c>
      <c r="Y137" s="160">
        <f t="shared" si="82"/>
        <v>-1.7536977064591246E-4</v>
      </c>
      <c r="Z137" s="98" t="str">
        <f t="shared" si="71"/>
        <v>0.999990404668324-0.00412256690752705i</v>
      </c>
      <c r="AA137" s="160">
        <f t="shared" si="83"/>
        <v>0.99999890249271051</v>
      </c>
      <c r="AB137" s="160">
        <f t="shared" si="84"/>
        <v>-4.122583109761109E-3</v>
      </c>
      <c r="AC137" s="171" t="str">
        <f t="shared" si="85"/>
        <v>9.21202125015862-31.1210568707595i</v>
      </c>
      <c r="AD137" s="190">
        <f t="shared" si="86"/>
        <v>30.225856935032102</v>
      </c>
      <c r="AE137" s="169">
        <f t="shared" si="87"/>
        <v>-73.510927352834372</v>
      </c>
      <c r="AF137" s="98" t="str">
        <f t="shared" si="72"/>
        <v>-0.0000114342530449913</v>
      </c>
      <c r="AG137" s="98" t="str">
        <f t="shared" si="73"/>
        <v>0.000116826679390715i</v>
      </c>
      <c r="AH137" s="98">
        <f t="shared" si="88"/>
        <v>1.16826679390715E-4</v>
      </c>
      <c r="AI137" s="98">
        <f t="shared" si="89"/>
        <v>1.5707963267948966</v>
      </c>
      <c r="AJ137" s="98" t="str">
        <f t="shared" si="74"/>
        <v>1+0.00107001935918165i</v>
      </c>
      <c r="AK137" s="98">
        <f t="shared" si="90"/>
        <v>1.0000005724705507</v>
      </c>
      <c r="AL137" s="98">
        <f t="shared" si="91"/>
        <v>1.0700189508120992E-3</v>
      </c>
      <c r="AM137" s="98" t="str">
        <f t="shared" si="75"/>
        <v>1+2.56911648139515i</v>
      </c>
      <c r="AN137" s="98">
        <f t="shared" si="92"/>
        <v>2.7568749509138417</v>
      </c>
      <c r="AO137" s="98">
        <f t="shared" si="93"/>
        <v>1.1996010675751998</v>
      </c>
      <c r="AP137" s="168" t="str">
        <f t="shared" si="94"/>
        <v>-0.251343782188141+0.0981425885667997i</v>
      </c>
      <c r="AQ137" s="98">
        <f t="shared" si="95"/>
        <v>-11.378348297434195</v>
      </c>
      <c r="AR137" s="169">
        <f t="shared" si="96"/>
        <v>158.67077070156623</v>
      </c>
      <c r="AS137" s="168" t="str">
        <f t="shared" si="97"/>
        <v>0.73891681761853+8.72617575101186i</v>
      </c>
      <c r="AT137" s="190">
        <f t="shared" si="98"/>
        <v>18.847508637597912</v>
      </c>
      <c r="AU137" s="169">
        <f t="shared" si="99"/>
        <v>85.159843348731883</v>
      </c>
      <c r="AV137" s="225"/>
      <c r="AX137">
        <f t="shared" si="100"/>
        <v>0</v>
      </c>
      <c r="AY137">
        <f t="shared" si="101"/>
        <v>0</v>
      </c>
    </row>
    <row r="138" spans="14:51" x14ac:dyDescent="0.2">
      <c r="N138" s="170">
        <v>20</v>
      </c>
      <c r="O138" s="199">
        <f t="shared" si="102"/>
        <v>158.48931924611153</v>
      </c>
      <c r="P138" s="189" t="str">
        <f t="shared" si="67"/>
        <v>1757.57575757576</v>
      </c>
      <c r="Q138" s="160" t="str">
        <f t="shared" si="68"/>
        <v>1+57.4254909438491i</v>
      </c>
      <c r="R138" s="160">
        <f t="shared" si="77"/>
        <v>57.434197218574369</v>
      </c>
      <c r="S138" s="160">
        <f t="shared" si="78"/>
        <v>1.5533842172769177</v>
      </c>
      <c r="T138" s="160" t="str">
        <f t="shared" si="69"/>
        <v>1+0.278828973368978i</v>
      </c>
      <c r="U138" s="160">
        <f t="shared" si="79"/>
        <v>1.0381452674794593</v>
      </c>
      <c r="V138" s="160">
        <f t="shared" si="80"/>
        <v>0.2719224806004405</v>
      </c>
      <c r="W138" s="98" t="str">
        <f t="shared" si="70"/>
        <v>1-0.000179454659199528i</v>
      </c>
      <c r="X138" s="160">
        <f t="shared" si="81"/>
        <v>1.0000000161019871</v>
      </c>
      <c r="Y138" s="160">
        <f t="shared" si="82"/>
        <v>-1.7945465727314361E-4</v>
      </c>
      <c r="Z138" s="98" t="str">
        <f t="shared" si="71"/>
        <v>0.999989952454274-0.00421859382668097i</v>
      </c>
      <c r="AA138" s="160">
        <f t="shared" si="83"/>
        <v>0.99999885077102746</v>
      </c>
      <c r="AB138" s="160">
        <f t="shared" si="84"/>
        <v>-4.2186111876847954E-3</v>
      </c>
      <c r="AC138" s="171" t="str">
        <f t="shared" si="85"/>
        <v>9.18703959827548-30.4115291298552i</v>
      </c>
      <c r="AD138" s="190">
        <f t="shared" si="86"/>
        <v>30.040042663242041</v>
      </c>
      <c r="AE138" s="169">
        <f t="shared" si="87"/>
        <v>-73.190922497081743</v>
      </c>
      <c r="AF138" s="98" t="str">
        <f t="shared" si="72"/>
        <v>-0.0000114342530449913</v>
      </c>
      <c r="AG138" s="98" t="str">
        <f t="shared" si="73"/>
        <v>0.000119547922331949i</v>
      </c>
      <c r="AH138" s="98">
        <f t="shared" si="88"/>
        <v>1.19547922331949E-4</v>
      </c>
      <c r="AI138" s="98">
        <f t="shared" si="89"/>
        <v>1.5707963267948966</v>
      </c>
      <c r="AJ138" s="98" t="str">
        <f t="shared" si="74"/>
        <v>1+0.00109494331185533i</v>
      </c>
      <c r="AK138" s="98">
        <f t="shared" si="90"/>
        <v>1.0000005994502483</v>
      </c>
      <c r="AL138" s="98">
        <f t="shared" si="91"/>
        <v>1.0949428742794869E-3</v>
      </c>
      <c r="AM138" s="98" t="str">
        <f t="shared" si="75"/>
        <v>1+2.62895889176465i</v>
      </c>
      <c r="AN138" s="98">
        <f t="shared" si="92"/>
        <v>2.812725520662906</v>
      </c>
      <c r="AO138" s="98">
        <f t="shared" si="93"/>
        <v>1.2073184312737055</v>
      </c>
      <c r="AP138" s="168" t="str">
        <f t="shared" si="94"/>
        <v>-0.251343768625791+0.0959209768576569i</v>
      </c>
      <c r="AQ138" s="98">
        <f t="shared" si="95"/>
        <v>-11.404142805965098</v>
      </c>
      <c r="AR138" s="169">
        <f t="shared" si="96"/>
        <v>159.11151503483447</v>
      </c>
      <c r="AS138" s="168" t="str">
        <f t="shared" si="97"/>
        <v>0.607998426725867+8.52497815386739i</v>
      </c>
      <c r="AT138" s="190">
        <f t="shared" si="98"/>
        <v>18.63589985727695</v>
      </c>
      <c r="AU138" s="169">
        <f t="shared" si="99"/>
        <v>85.920592537752739</v>
      </c>
      <c r="AV138" s="225"/>
      <c r="AX138">
        <f t="shared" si="100"/>
        <v>0</v>
      </c>
      <c r="AY138">
        <f t="shared" si="101"/>
        <v>0</v>
      </c>
    </row>
    <row r="139" spans="14:51" x14ac:dyDescent="0.2">
      <c r="N139" s="170">
        <v>21</v>
      </c>
      <c r="O139" s="199">
        <f t="shared" si="102"/>
        <v>162.18100973589304</v>
      </c>
      <c r="P139" s="189" t="str">
        <f t="shared" si="67"/>
        <v>1757.57575757576</v>
      </c>
      <c r="Q139" s="160" t="str">
        <f t="shared" si="68"/>
        <v>1+58.7631024611225i</v>
      </c>
      <c r="R139" s="160">
        <f t="shared" si="77"/>
        <v>58.771610585863492</v>
      </c>
      <c r="S139" s="160">
        <f t="shared" si="78"/>
        <v>1.5537804878869024</v>
      </c>
      <c r="T139" s="160" t="str">
        <f t="shared" si="69"/>
        <v>1+0.285323734493311i</v>
      </c>
      <c r="U139" s="160">
        <f t="shared" si="79"/>
        <v>1.0399084736000614</v>
      </c>
      <c r="V139" s="160">
        <f t="shared" si="80"/>
        <v>0.27793854610965713</v>
      </c>
      <c r="W139" s="98" t="str">
        <f t="shared" si="70"/>
        <v>1-0.000183634695191007i</v>
      </c>
      <c r="X139" s="160">
        <f t="shared" si="81"/>
        <v>1.0000000168608505</v>
      </c>
      <c r="Y139" s="160">
        <f t="shared" si="82"/>
        <v>-1.8363469312684895E-4</v>
      </c>
      <c r="Z139" s="98" t="str">
        <f t="shared" si="71"/>
        <v>0.999989478928032-0.00431685750012147i</v>
      </c>
      <c r="AA139" s="160">
        <f t="shared" si="83"/>
        <v>0.99999879661199254</v>
      </c>
      <c r="AB139" s="160">
        <f t="shared" si="84"/>
        <v>-4.3168761027691377E-3</v>
      </c>
      <c r="AC139" s="171" t="str">
        <f t="shared" si="85"/>
        <v>9.1631813935963-29.7180868300668i</v>
      </c>
      <c r="AD139" s="190">
        <f t="shared" si="86"/>
        <v>29.854842166305005</v>
      </c>
      <c r="AE139" s="169">
        <f t="shared" si="87"/>
        <v>-72.863541301130653</v>
      </c>
      <c r="AF139" s="98" t="str">
        <f t="shared" si="72"/>
        <v>-0.0000114342530449913</v>
      </c>
      <c r="AG139" s="98" t="str">
        <f t="shared" si="73"/>
        <v>0.000122332551164007i</v>
      </c>
      <c r="AH139" s="98">
        <f t="shared" si="88"/>
        <v>1.2233255116400699E-4</v>
      </c>
      <c r="AI139" s="98">
        <f t="shared" si="89"/>
        <v>1.5707963267948966</v>
      </c>
      <c r="AJ139" s="98" t="str">
        <f t="shared" si="74"/>
        <v>1+0.00112044781796624i</v>
      </c>
      <c r="AK139" s="98">
        <f t="shared" si="90"/>
        <v>1.0000006277014595</v>
      </c>
      <c r="AL139" s="98">
        <f t="shared" si="91"/>
        <v>1.1204473490952923E-3</v>
      </c>
      <c r="AM139" s="98" t="str">
        <f t="shared" si="75"/>
        <v>1+2.69019521093693i</v>
      </c>
      <c r="AN139" s="98">
        <f t="shared" si="92"/>
        <v>2.8700436012276875</v>
      </c>
      <c r="AO139" s="98">
        <f t="shared" si="93"/>
        <v>1.2149041615215848</v>
      </c>
      <c r="AP139" s="168" t="str">
        <f t="shared" si="94"/>
        <v>-0.251343754424269+0.0937502237187084i</v>
      </c>
      <c r="AQ139" s="98">
        <f t="shared" si="95"/>
        <v>-11.4289202346799</v>
      </c>
      <c r="AR139" s="169">
        <f t="shared" si="96"/>
        <v>159.54468406379712</v>
      </c>
      <c r="AS139" s="168" t="str">
        <f t="shared" si="97"/>
        <v>0.482968874873665+8.32850582380017i</v>
      </c>
      <c r="AT139" s="190">
        <f t="shared" si="98"/>
        <v>18.425921931625101</v>
      </c>
      <c r="AU139" s="169">
        <f t="shared" si="99"/>
        <v>86.681142762666454</v>
      </c>
      <c r="AV139" s="225"/>
      <c r="AX139">
        <f t="shared" si="100"/>
        <v>0</v>
      </c>
      <c r="AY139">
        <f t="shared" si="101"/>
        <v>0</v>
      </c>
    </row>
    <row r="140" spans="14:51" x14ac:dyDescent="0.2">
      <c r="N140" s="170">
        <v>22</v>
      </c>
      <c r="O140" s="199">
        <f t="shared" si="102"/>
        <v>165.95869074375622</v>
      </c>
      <c r="P140" s="189" t="str">
        <f t="shared" si="67"/>
        <v>1757.57575757576</v>
      </c>
      <c r="Q140" s="160" t="str">
        <f t="shared" si="68"/>
        <v>1+60.1318709531428i</v>
      </c>
      <c r="R140" s="160">
        <f t="shared" si="77"/>
        <v>60.140185436406981</v>
      </c>
      <c r="S140" s="160">
        <f t="shared" si="78"/>
        <v>1.5541677434409553</v>
      </c>
      <c r="T140" s="160" t="str">
        <f t="shared" si="69"/>
        <v>1+0.291969778038381i</v>
      </c>
      <c r="U140" s="160">
        <f t="shared" si="79"/>
        <v>1.0417515784906599</v>
      </c>
      <c r="V140" s="160">
        <f t="shared" si="80"/>
        <v>0.28407343388288342</v>
      </c>
      <c r="W140" s="98" t="str">
        <f t="shared" si="70"/>
        <v>1-0.000187912096728571i</v>
      </c>
      <c r="X140" s="160">
        <f t="shared" si="81"/>
        <v>1.000000017655478</v>
      </c>
      <c r="Y140" s="160">
        <f t="shared" si="82"/>
        <v>-1.8791209451678577E-4</v>
      </c>
      <c r="Z140" s="98" t="str">
        <f t="shared" si="71"/>
        <v>0.999988983085187-0.00441741002854894i</v>
      </c>
      <c r="AA140" s="160">
        <f t="shared" si="83"/>
        <v>0.99999873990075949</v>
      </c>
      <c r="AB140" s="160">
        <f t="shared" si="84"/>
        <v>-4.4174299616415716E-3</v>
      </c>
      <c r="AC140" s="171" t="str">
        <f t="shared" si="85"/>
        <v>9.14039611967343-29.0403649109262i</v>
      </c>
      <c r="AD140" s="190">
        <f t="shared" si="86"/>
        <v>29.670280258413271</v>
      </c>
      <c r="AE140" s="169">
        <f t="shared" si="87"/>
        <v>-72.528709998098336</v>
      </c>
      <c r="AF140" s="98" t="str">
        <f t="shared" si="72"/>
        <v>-0.0000114342530449913</v>
      </c>
      <c r="AG140" s="98" t="str">
        <f t="shared" si="73"/>
        <v>0.000125182042333956i</v>
      </c>
      <c r="AH140" s="98">
        <f t="shared" si="88"/>
        <v>1.25182042333956E-4</v>
      </c>
      <c r="AI140" s="98">
        <f t="shared" si="89"/>
        <v>1.5707963267948966</v>
      </c>
      <c r="AJ140" s="98" t="str">
        <f t="shared" si="74"/>
        <v>1+0.00114654640034111i</v>
      </c>
      <c r="AK140" s="98">
        <f t="shared" si="90"/>
        <v>1.000000657284108</v>
      </c>
      <c r="AL140" s="98">
        <f t="shared" si="91"/>
        <v>1.1465458979368556E-3</v>
      </c>
      <c r="AM140" s="98" t="str">
        <f t="shared" si="75"/>
        <v>1+2.75285790721901i</v>
      </c>
      <c r="AN140" s="98">
        <f t="shared" si="92"/>
        <v>2.9288609829314578</v>
      </c>
      <c r="AO140" s="98">
        <f t="shared" si="93"/>
        <v>1.2223587873087514</v>
      </c>
      <c r="AP140" s="168" t="str">
        <f t="shared" si="94"/>
        <v>-0.25134373955345+0.0916291781878053i</v>
      </c>
      <c r="AQ140" s="98">
        <f t="shared" si="95"/>
        <v>-11.452715210339457</v>
      </c>
      <c r="AR140" s="169">
        <f t="shared" si="96"/>
        <v>159.97030732255112</v>
      </c>
      <c r="AS140" s="168" t="str">
        <f t="shared" si="97"/>
        <v>0.363563429343582+8.13664089946566i</v>
      </c>
      <c r="AT140" s="190">
        <f t="shared" si="98"/>
        <v>18.217565048073812</v>
      </c>
      <c r="AU140" s="169">
        <f t="shared" si="99"/>
        <v>87.441597324452815</v>
      </c>
      <c r="AV140" s="225"/>
      <c r="AX140">
        <f t="shared" si="100"/>
        <v>0</v>
      </c>
      <c r="AY140">
        <f t="shared" si="101"/>
        <v>0</v>
      </c>
    </row>
    <row r="141" spans="14:51" x14ac:dyDescent="0.2">
      <c r="N141" s="170">
        <v>23</v>
      </c>
      <c r="O141" s="199">
        <f t="shared" si="102"/>
        <v>169.82436524617444</v>
      </c>
      <c r="P141" s="189" t="str">
        <f t="shared" si="67"/>
        <v>1757.57575757576</v>
      </c>
      <c r="Q141" s="160" t="str">
        <f t="shared" si="68"/>
        <v>1+61.5325221590814i</v>
      </c>
      <c r="R141" s="160">
        <f t="shared" si="77"/>
        <v>61.54064740687933</v>
      </c>
      <c r="S141" s="160">
        <f t="shared" si="78"/>
        <v>1.5545461888022263</v>
      </c>
      <c r="T141" s="160" t="str">
        <f t="shared" si="69"/>
        <v>1+0.298770627824441i</v>
      </c>
      <c r="U141" s="160">
        <f t="shared" si="79"/>
        <v>1.0436780576646281</v>
      </c>
      <c r="V141" s="160">
        <f t="shared" si="80"/>
        <v>0.29032854882276132</v>
      </c>
      <c r="W141" s="98" t="str">
        <f t="shared" si="70"/>
        <v>1-0.000192289131747129i</v>
      </c>
      <c r="X141" s="160">
        <f t="shared" si="81"/>
        <v>1.0000000184875548</v>
      </c>
      <c r="Y141" s="160">
        <f t="shared" si="82"/>
        <v>-1.9228912937715843E-4</v>
      </c>
      <c r="Z141" s="98" t="str">
        <f t="shared" si="71"/>
        <v>0.999988463873988-0.00452030472624483i</v>
      </c>
      <c r="AA141" s="160">
        <f t="shared" si="83"/>
        <v>0.99999868051706764</v>
      </c>
      <c r="AB141" s="160">
        <f t="shared" si="84"/>
        <v>-4.5203260849345037E-3</v>
      </c>
      <c r="AC141" s="171" t="str">
        <f t="shared" si="85"/>
        <v>9.11863552797418-28.3780064729511i</v>
      </c>
      <c r="AD141" s="190">
        <f t="shared" si="86"/>
        <v>29.486382539729689</v>
      </c>
      <c r="AE141" s="169">
        <f t="shared" si="87"/>
        <v>-72.186356905682601</v>
      </c>
      <c r="AF141" s="98" t="str">
        <f t="shared" si="72"/>
        <v>-0.0000114342530449913</v>
      </c>
      <c r="AG141" s="98" t="str">
        <f t="shared" si="73"/>
        <v>0.000128097906679729i</v>
      </c>
      <c r="AH141" s="98">
        <f t="shared" si="88"/>
        <v>1.2809790667972899E-4</v>
      </c>
      <c r="AI141" s="98">
        <f t="shared" si="89"/>
        <v>1.5707963267948966</v>
      </c>
      <c r="AJ141" s="98" t="str">
        <f t="shared" si="74"/>
        <v>1+0.00117325289679378i</v>
      </c>
      <c r="AK141" s="98">
        <f t="shared" si="90"/>
        <v>1.0000006882609431</v>
      </c>
      <c r="AL141" s="98">
        <f t="shared" si="91"/>
        <v>1.1732523584579424E-3</v>
      </c>
      <c r="AM141" s="98" t="str">
        <f t="shared" si="75"/>
        <v>1+2.81698020520187i</v>
      </c>
      <c r="AN141" s="98">
        <f t="shared" si="92"/>
        <v>2.9892101760329886</v>
      </c>
      <c r="AO141" s="98">
        <f t="shared" si="93"/>
        <v>1.2296829460792731</v>
      </c>
      <c r="AP141" s="168" t="str">
        <f t="shared" si="94"/>
        <v>-0.251343723981794+0.0895567156584266i</v>
      </c>
      <c r="AQ141" s="98">
        <f t="shared" si="95"/>
        <v>-11.475561610259335</v>
      </c>
      <c r="AR141" s="169">
        <f t="shared" si="96"/>
        <v>160.38842054111211</v>
      </c>
      <c r="AS141" s="168" t="str">
        <f t="shared" si="97"/>
        <v>0.249529245417349+7.94926887526259i</v>
      </c>
      <c r="AT141" s="190">
        <f t="shared" si="98"/>
        <v>18.010820929470349</v>
      </c>
      <c r="AU141" s="169">
        <f t="shared" si="99"/>
        <v>88.202063635429511</v>
      </c>
      <c r="AV141" s="225"/>
      <c r="AX141">
        <f t="shared" si="100"/>
        <v>0</v>
      </c>
      <c r="AY141">
        <f t="shared" si="101"/>
        <v>0</v>
      </c>
    </row>
    <row r="142" spans="14:51" x14ac:dyDescent="0.2">
      <c r="N142" s="170">
        <v>24</v>
      </c>
      <c r="O142" s="199">
        <f t="shared" si="102"/>
        <v>173.78008287493768</v>
      </c>
      <c r="P142" s="189" t="str">
        <f t="shared" si="67"/>
        <v>1757.57575757576</v>
      </c>
      <c r="Q142" s="160" t="str">
        <f t="shared" si="68"/>
        <v>1+62.9657987227485i</v>
      </c>
      <c r="R142" s="160">
        <f t="shared" si="77"/>
        <v>62.973739040918289</v>
      </c>
      <c r="S142" s="160">
        <f t="shared" si="78"/>
        <v>1.5549160241935964</v>
      </c>
      <c r="T142" s="160" t="str">
        <f t="shared" si="69"/>
        <v>1+0.305729889752073i</v>
      </c>
      <c r="U142" s="160">
        <f t="shared" si="79"/>
        <v>1.0456915250148175</v>
      </c>
      <c r="V142" s="160">
        <f t="shared" si="80"/>
        <v>0.29670524880832838</v>
      </c>
      <c r="W142" s="98" t="str">
        <f t="shared" si="70"/>
        <v>1-0.000196768121008589i</v>
      </c>
      <c r="X142" s="160">
        <f t="shared" si="81"/>
        <v>1.0000000193588465</v>
      </c>
      <c r="Y142" s="160">
        <f t="shared" si="82"/>
        <v>-1.9676811846911979E-4</v>
      </c>
      <c r="Z142" s="98" t="str">
        <f t="shared" si="71"/>
        <v>0.999987920193118-0.00462559614933993i</v>
      </c>
      <c r="AA142" s="160">
        <f t="shared" si="83"/>
        <v>0.99999861833499282</v>
      </c>
      <c r="AB142" s="160">
        <f t="shared" si="84"/>
        <v>-4.6256190355838866E-3</v>
      </c>
      <c r="AC142" s="171" t="str">
        <f t="shared" si="85"/>
        <v>9.09785353623506-27.7306626000171i</v>
      </c>
      <c r="AD142" s="190">
        <f t="shared" si="86"/>
        <v>29.303175404614198</v>
      </c>
      <c r="AE142" s="169">
        <f t="shared" si="87"/>
        <v>-71.836412701815391</v>
      </c>
      <c r="AF142" s="98" t="str">
        <f t="shared" si="72"/>
        <v>-0.0000114342530449913</v>
      </c>
      <c r="AG142" s="98" t="str">
        <f t="shared" si="73"/>
        <v>0.000131081690231201i</v>
      </c>
      <c r="AH142" s="98">
        <f t="shared" si="88"/>
        <v>1.3108169023120101E-4</v>
      </c>
      <c r="AI142" s="98">
        <f t="shared" si="89"/>
        <v>1.5707963267948966</v>
      </c>
      <c r="AJ142" s="98" t="str">
        <f t="shared" si="74"/>
        <v>1+0.00120058146746218i</v>
      </c>
      <c r="AK142" s="98">
        <f t="shared" si="90"/>
        <v>1.0000007206976702</v>
      </c>
      <c r="AL142" s="98">
        <f t="shared" si="91"/>
        <v>1.2005808906249598E-3</v>
      </c>
      <c r="AM142" s="98" t="str">
        <f t="shared" si="75"/>
        <v>1+2.88259610337669i</v>
      </c>
      <c r="AN142" s="98">
        <f t="shared" si="92"/>
        <v>3.0511244312879922</v>
      </c>
      <c r="AO142" s="98">
        <f t="shared" si="93"/>
        <v>1.236877377100448</v>
      </c>
      <c r="AP142" s="168" t="str">
        <f t="shared" si="94"/>
        <v>-0.251343707676272+0.0875317372833901i</v>
      </c>
      <c r="AQ142" s="98">
        <f t="shared" si="95"/>
        <v>-11.497492543748933</v>
      </c>
      <c r="AR142" s="169">
        <f t="shared" si="96"/>
        <v>160.79906526507</v>
      </c>
      <c r="AS142" s="168" t="str">
        <f t="shared" si="97"/>
        <v>0.140624833706026+7.76627847978452i</v>
      </c>
      <c r="AT142" s="190">
        <f t="shared" si="98"/>
        <v>17.805682860865268</v>
      </c>
      <c r="AU142" s="169">
        <f t="shared" si="99"/>
        <v>88.962652563254636</v>
      </c>
      <c r="AV142" s="225"/>
      <c r="AX142">
        <f t="shared" si="100"/>
        <v>0</v>
      </c>
      <c r="AY142">
        <f t="shared" si="101"/>
        <v>0</v>
      </c>
    </row>
    <row r="143" spans="14:51" x14ac:dyDescent="0.2">
      <c r="N143" s="170">
        <v>25</v>
      </c>
      <c r="O143" s="199">
        <f t="shared" si="102"/>
        <v>177.82794100389242</v>
      </c>
      <c r="P143" s="189" t="str">
        <f t="shared" si="67"/>
        <v>1757.57575757576</v>
      </c>
      <c r="Q143" s="160" t="str">
        <f t="shared" si="68"/>
        <v>1+64.4324605863492i</v>
      </c>
      <c r="R143" s="160">
        <f t="shared" si="77"/>
        <v>64.440220182828696</v>
      </c>
      <c r="S143" s="160">
        <f t="shared" si="78"/>
        <v>1.5552774453017699</v>
      </c>
      <c r="T143" s="160" t="str">
        <f t="shared" si="69"/>
        <v>1+0.312851253714065i</v>
      </c>
      <c r="U143" s="160">
        <f t="shared" si="79"/>
        <v>1.0477957372267088</v>
      </c>
      <c r="V143" s="160">
        <f t="shared" si="80"/>
        <v>0.3032048397502069</v>
      </c>
      <c r="W143" s="98" t="str">
        <f t="shared" si="70"/>
        <v>1-0.000201351439332341i</v>
      </c>
      <c r="X143" s="160">
        <f t="shared" si="81"/>
        <v>1.0000000202712009</v>
      </c>
      <c r="Y143" s="160">
        <f t="shared" si="82"/>
        <v>-2.0135143661125071E-4</v>
      </c>
      <c r="Z143" s="98" t="str">
        <f t="shared" si="71"/>
        <v>0.999987350889359-0.00473334012474041i</v>
      </c>
      <c r="AA143" s="160">
        <f t="shared" si="83"/>
        <v>0.99999855322268061</v>
      </c>
      <c r="AB143" s="160">
        <f t="shared" si="84"/>
        <v>-4.7333646477877326E-3</v>
      </c>
      <c r="AC143" s="171" t="str">
        <f t="shared" si="85"/>
        <v>9.07800613134977-27.0979921851934i</v>
      </c>
      <c r="AD143" s="190">
        <f t="shared" si="86"/>
        <v>29.120686048210906</v>
      </c>
      <c r="AE143" s="169">
        <f t="shared" si="87"/>
        <v>-71.478810712354871</v>
      </c>
      <c r="AF143" s="98" t="str">
        <f t="shared" si="72"/>
        <v>-0.0000114342530449913</v>
      </c>
      <c r="AG143" s="98" t="str">
        <f t="shared" si="73"/>
        <v>0.000134134975029905i</v>
      </c>
      <c r="AH143" s="98">
        <f t="shared" si="88"/>
        <v>1.3413497502990499E-4</v>
      </c>
      <c r="AI143" s="98">
        <f t="shared" si="89"/>
        <v>1.5707963267948966</v>
      </c>
      <c r="AJ143" s="98" t="str">
        <f t="shared" si="74"/>
        <v>1+0.00122854660231619i</v>
      </c>
      <c r="AK143" s="98">
        <f t="shared" si="90"/>
        <v>1.0000007546630922</v>
      </c>
      <c r="AL143" s="98">
        <f t="shared" si="91"/>
        <v>1.228545984223998E-3</v>
      </c>
      <c r="AM143" s="98" t="str">
        <f t="shared" si="75"/>
        <v>1+2.94974039216118i</v>
      </c>
      <c r="AN143" s="98">
        <f t="shared" si="92"/>
        <v>3.1146377608234301</v>
      </c>
      <c r="AO143" s="98">
        <f t="shared" si="93"/>
        <v>1.2439429149541714</v>
      </c>
      <c r="AP143" s="168" t="str">
        <f t="shared" si="94"/>
        <v>-0.251343690602294+0.085553169392235i</v>
      </c>
      <c r="AQ143" s="98">
        <f t="shared" si="95"/>
        <v>-11.518540337034294</v>
      </c>
      <c r="AR143" s="169">
        <f t="shared" si="96"/>
        <v>161.20228848224133</v>
      </c>
      <c r="AS143" s="168" t="str">
        <f t="shared" si="97"/>
        <v>0.0366195512456069+7.58756156003775i</v>
      </c>
      <c r="AT143" s="190">
        <f t="shared" si="98"/>
        <v>17.602145711176618</v>
      </c>
      <c r="AU143" s="169">
        <f t="shared" si="99"/>
        <v>89.723477769886472</v>
      </c>
      <c r="AV143" s="225"/>
      <c r="AX143">
        <f t="shared" si="100"/>
        <v>0</v>
      </c>
      <c r="AY143">
        <f t="shared" si="101"/>
        <v>0</v>
      </c>
    </row>
    <row r="144" spans="14:51" x14ac:dyDescent="0.2">
      <c r="N144" s="170">
        <v>26</v>
      </c>
      <c r="O144" s="199">
        <f t="shared" si="102"/>
        <v>181.9700858609983</v>
      </c>
      <c r="P144" s="189" t="str">
        <f t="shared" si="67"/>
        <v>1757.57575757576</v>
      </c>
      <c r="Q144" s="160" t="str">
        <f t="shared" si="68"/>
        <v>1+65.9332853934166i</v>
      </c>
      <c r="R144" s="160">
        <f t="shared" si="77"/>
        <v>65.940868380464352</v>
      </c>
      <c r="S144" s="160">
        <f t="shared" si="78"/>
        <v>1.5556306433790996</v>
      </c>
      <c r="T144" s="160" t="str">
        <f t="shared" si="69"/>
        <v>1+0.320138495551849i</v>
      </c>
      <c r="U144" s="160">
        <f t="shared" si="79"/>
        <v>1.0499945982404868</v>
      </c>
      <c r="V144" s="160">
        <f t="shared" si="80"/>
        <v>0.30982857043465473</v>
      </c>
      <c r="W144" s="98" t="str">
        <f t="shared" si="70"/>
        <v>1-0.000206041516854426i</v>
      </c>
      <c r="X144" s="160">
        <f t="shared" si="81"/>
        <v>1.000000021226553</v>
      </c>
      <c r="Y144" s="160">
        <f t="shared" si="82"/>
        <v>-2.0604151393872525E-4</v>
      </c>
      <c r="Z144" s="98" t="str">
        <f t="shared" si="71"/>
        <v>0.999986754755141-0.00484359377972813i</v>
      </c>
      <c r="AA144" s="160">
        <f t="shared" si="83"/>
        <v>0.99999848504206323</v>
      </c>
      <c r="AB144" s="160">
        <f t="shared" si="84"/>
        <v>-4.8436200566412575E-3</v>
      </c>
      <c r="AC144" s="171" t="str">
        <f t="shared" si="85"/>
        <v>9.05905127659054-26.4796617599968i</v>
      </c>
      <c r="AD144" s="190">
        <f t="shared" si="86"/>
        <v>28.93894247122163</v>
      </c>
      <c r="AE144" s="169">
        <f t="shared" si="87"/>
        <v>-71.11348721070847</v>
      </c>
      <c r="AF144" s="98" t="str">
        <f t="shared" si="72"/>
        <v>-0.0000114342530449913</v>
      </c>
      <c r="AG144" s="98" t="str">
        <f t="shared" si="73"/>
        <v>0.000137259379967855i</v>
      </c>
      <c r="AH144" s="98">
        <f t="shared" si="88"/>
        <v>1.3725937996785501E-4</v>
      </c>
      <c r="AI144" s="98">
        <f t="shared" si="89"/>
        <v>1.5707963267948966</v>
      </c>
      <c r="AJ144" s="98" t="str">
        <f t="shared" si="74"/>
        <v>1+0.00125716312884048i</v>
      </c>
      <c r="AK144" s="98">
        <f t="shared" si="90"/>
        <v>1.000000790229254</v>
      </c>
      <c r="AL144" s="98">
        <f t="shared" si="91"/>
        <v>1.2571624665427918E-3</v>
      </c>
      <c r="AM144" s="98" t="str">
        <f t="shared" si="75"/>
        <v>1+3.018448672346i</v>
      </c>
      <c r="AN144" s="98">
        <f t="shared" si="92"/>
        <v>3.1797849593309495</v>
      </c>
      <c r="AO144" s="98">
        <f t="shared" si="93"/>
        <v>1.250880483169452</v>
      </c>
      <c r="AP144" s="168" t="str">
        <f t="shared" si="94"/>
        <v>-0.251343672723648+0.0836199629219447i</v>
      </c>
      <c r="AQ144" s="98">
        <f t="shared" si="95"/>
        <v>-11.538736521458823</v>
      </c>
      <c r="AR144" s="169">
        <f t="shared" si="96"/>
        <v>161.5981422573997</v>
      </c>
      <c r="AS144" s="168" t="str">
        <f t="shared" si="97"/>
        <v>-0.062706884693549+7.41301297109403i</v>
      </c>
      <c r="AT144" s="190">
        <f t="shared" si="98"/>
        <v>17.400205949762807</v>
      </c>
      <c r="AU144" s="169">
        <f t="shared" si="99"/>
        <v>90.484655046691216</v>
      </c>
      <c r="AV144" s="225"/>
      <c r="AX144">
        <f t="shared" si="100"/>
        <v>0</v>
      </c>
      <c r="AY144">
        <f t="shared" si="101"/>
        <v>0</v>
      </c>
    </row>
    <row r="145" spans="14:51" x14ac:dyDescent="0.2">
      <c r="N145" s="170">
        <v>27</v>
      </c>
      <c r="O145" s="199">
        <f t="shared" si="102"/>
        <v>186.20871366628685</v>
      </c>
      <c r="P145" s="189" t="str">
        <f t="shared" si="67"/>
        <v>1757.57575757576</v>
      </c>
      <c r="Q145" s="160" t="str">
        <f t="shared" si="68"/>
        <v>1+67.4690689011301i</v>
      </c>
      <c r="R145" s="160">
        <f t="shared" si="77"/>
        <v>67.476479297496255</v>
      </c>
      <c r="S145" s="160">
        <f t="shared" si="78"/>
        <v>1.5559758053431907</v>
      </c>
      <c r="T145" s="160" t="str">
        <f t="shared" si="69"/>
        <v>1+0.32759547905751i</v>
      </c>
      <c r="U145" s="160">
        <f t="shared" si="79"/>
        <v>1.0522921637544012</v>
      </c>
      <c r="V145" s="160">
        <f t="shared" si="80"/>
        <v>0.31657762715976007</v>
      </c>
      <c r="W145" s="98" t="str">
        <f t="shared" si="70"/>
        <v>1-0.000210840840316031i</v>
      </c>
      <c r="X145" s="160">
        <f t="shared" si="81"/>
        <v>1.0000000222269296</v>
      </c>
      <c r="Y145" s="160">
        <f t="shared" si="82"/>
        <v>-2.1084083719180138E-4</v>
      </c>
      <c r="Z145" s="98" t="str">
        <f t="shared" si="71"/>
        <v>0.999986130525982-0.00495641557225045i</v>
      </c>
      <c r="AA145" s="160">
        <f t="shared" si="83"/>
        <v>0.99999841364856723</v>
      </c>
      <c r="AB145" s="160">
        <f t="shared" si="84"/>
        <v>-4.9564437284639789E-3</v>
      </c>
      <c r="AC145" s="171" t="str">
        <f t="shared" si="85"/>
        <v>9.04094882297055-25.8753453270198i</v>
      </c>
      <c r="AD145" s="190">
        <f t="shared" si="86"/>
        <v>28.757973482685351</v>
      </c>
      <c r="AE145" s="169">
        <f t="shared" si="87"/>
        <v>-70.740381729198788</v>
      </c>
      <c r="AF145" s="98" t="str">
        <f t="shared" si="72"/>
        <v>-0.0000114342530449913</v>
      </c>
      <c r="AG145" s="98" t="str">
        <f t="shared" si="73"/>
        <v>0.000140456561645908i</v>
      </c>
      <c r="AH145" s="98">
        <f t="shared" si="88"/>
        <v>1.4045656164590799E-4</v>
      </c>
      <c r="AI145" s="98">
        <f t="shared" si="89"/>
        <v>1.5707963267948966</v>
      </c>
      <c r="AJ145" s="98" t="str">
        <f t="shared" si="74"/>
        <v>1+0.00128644621989621i</v>
      </c>
      <c r="AK145" s="98">
        <f t="shared" si="90"/>
        <v>1.0000008274715959</v>
      </c>
      <c r="AL145" s="98">
        <f t="shared" si="91"/>
        <v>1.2864455102314834E-3</v>
      </c>
      <c r="AM145" s="98" t="str">
        <f t="shared" si="75"/>
        <v>1+3.0887573739708i</v>
      </c>
      <c r="AN145" s="98">
        <f t="shared" si="92"/>
        <v>3.2466016255862056</v>
      </c>
      <c r="AO145" s="98">
        <f t="shared" si="93"/>
        <v>1.2576910880123273</v>
      </c>
      <c r="AP145" s="168" t="str">
        <f t="shared" si="94"/>
        <v>-0.251343654002407+0.0817310928607167i</v>
      </c>
      <c r="AQ145" s="98">
        <f t="shared" si="95"/>
        <v>-11.558111824756285</v>
      </c>
      <c r="AR145" s="169">
        <f t="shared" si="96"/>
        <v>161.98668337601308</v>
      </c>
      <c r="AS145" s="168" t="str">
        <f t="shared" si="97"/>
        <v>-0.157564861088412+7.24253047086646i</v>
      </c>
      <c r="AT145" s="190">
        <f t="shared" si="98"/>
        <v>17.19986165792907</v>
      </c>
      <c r="AU145" s="169">
        <f t="shared" si="99"/>
        <v>91.246301646814302</v>
      </c>
      <c r="AV145" s="225"/>
      <c r="AX145">
        <f t="shared" si="100"/>
        <v>0</v>
      </c>
      <c r="AY145">
        <f t="shared" si="101"/>
        <v>0</v>
      </c>
    </row>
    <row r="146" spans="14:51" x14ac:dyDescent="0.2">
      <c r="N146" s="170">
        <v>28</v>
      </c>
      <c r="O146" s="199">
        <f t="shared" si="102"/>
        <v>190.54607179632498</v>
      </c>
      <c r="P146" s="189" t="str">
        <f t="shared" si="67"/>
        <v>1757.57575757576</v>
      </c>
      <c r="Q146" s="160" t="str">
        <f t="shared" si="68"/>
        <v>1+69.0406254022344i</v>
      </c>
      <c r="R146" s="160">
        <f t="shared" si="77"/>
        <v>69.047867135282701</v>
      </c>
      <c r="S146" s="160">
        <f t="shared" si="78"/>
        <v>1.5563131138743245</v>
      </c>
      <c r="T146" s="160" t="str">
        <f t="shared" si="69"/>
        <v>1+0.335226158022409i</v>
      </c>
      <c r="U146" s="160">
        <f t="shared" si="79"/>
        <v>1.0546926457610601</v>
      </c>
      <c r="V146" s="160">
        <f t="shared" si="80"/>
        <v>0.3234531281686569</v>
      </c>
      <c r="W146" s="98" t="str">
        <f t="shared" si="70"/>
        <v>1-0.000215751954381982i</v>
      </c>
      <c r="X146" s="160">
        <f t="shared" si="81"/>
        <v>1.0000000232744526</v>
      </c>
      <c r="Y146" s="160">
        <f t="shared" si="82"/>
        <v>-2.1575195103430963E-4</v>
      </c>
      <c r="Z146" s="98" t="str">
        <f t="shared" si="71"/>
        <v>0.999985476877809-0.00507186532191513i</v>
      </c>
      <c r="AA146" s="160">
        <f t="shared" si="83"/>
        <v>0.99999833889081158</v>
      </c>
      <c r="AB146" s="160">
        <f t="shared" si="84"/>
        <v>-5.0718954918345669E-3</v>
      </c>
      <c r="AC146" s="171" t="str">
        <f t="shared" si="85"/>
        <v>9.02366042456416-25.284724195894i</v>
      </c>
      <c r="AD146" s="190">
        <f t="shared" si="86"/>
        <v>28.577808700578132</v>
      </c>
      <c r="AE146" s="169">
        <f t="shared" si="87"/>
        <v>-70.359437381896214</v>
      </c>
      <c r="AF146" s="98" t="str">
        <f t="shared" si="72"/>
        <v>-0.0000114342530449913</v>
      </c>
      <c r="AG146" s="98" t="str">
        <f t="shared" si="73"/>
        <v>0.000143728215252107i</v>
      </c>
      <c r="AH146" s="98">
        <f t="shared" si="88"/>
        <v>1.43728215252107E-4</v>
      </c>
      <c r="AI146" s="98">
        <f t="shared" si="89"/>
        <v>1.5707963267948966</v>
      </c>
      <c r="AJ146" s="98" t="str">
        <f t="shared" si="74"/>
        <v>1+0.00131641140176587i</v>
      </c>
      <c r="AK146" s="98">
        <f t="shared" si="90"/>
        <v>1.000000866469114</v>
      </c>
      <c r="AL146" s="98">
        <f t="shared" si="91"/>
        <v>1.3164106413464504E-3</v>
      </c>
      <c r="AM146" s="98" t="str">
        <f t="shared" si="75"/>
        <v>1+3.16070377563985i</v>
      </c>
      <c r="AN146" s="98">
        <f t="shared" si="92"/>
        <v>3.3151241843020003</v>
      </c>
      <c r="AO146" s="98">
        <f t="shared" si="93"/>
        <v>1.2643758124470541</v>
      </c>
      <c r="AP146" s="168" t="str">
        <f t="shared" si="94"/>
        <v>-0.25134363439887+0.0798855577044925i</v>
      </c>
      <c r="AQ146" s="98">
        <f t="shared" si="95"/>
        <v>-11.576696165187631</v>
      </c>
      <c r="AR146" s="169">
        <f t="shared" si="96"/>
        <v>162.36797299778544</v>
      </c>
      <c r="AS146" s="168" t="str">
        <f t="shared" si="97"/>
        <v>-0.248155312897938+7.07601461972131i</v>
      </c>
      <c r="AT146" s="190">
        <f t="shared" si="98"/>
        <v>17.001112535390508</v>
      </c>
      <c r="AU146" s="169">
        <f t="shared" si="99"/>
        <v>92.008535615889244</v>
      </c>
      <c r="AV146" s="225"/>
      <c r="AX146">
        <f t="shared" si="100"/>
        <v>0</v>
      </c>
      <c r="AY146">
        <f t="shared" si="101"/>
        <v>0</v>
      </c>
    </row>
    <row r="147" spans="14:51" x14ac:dyDescent="0.2">
      <c r="N147" s="170">
        <v>29</v>
      </c>
      <c r="O147" s="199">
        <f t="shared" si="102"/>
        <v>194.98445997580458</v>
      </c>
      <c r="P147" s="189" t="str">
        <f t="shared" ref="P147:P210" si="103">COMPLEX(Adc,0)</f>
        <v>1757.57575757576</v>
      </c>
      <c r="Q147" s="160" t="str">
        <f t="shared" ref="Q147:Q210" si="104">IMSUM(COMPLEX(1,0),IMDIV(COMPLEX(0,2*PI()*O147),COMPLEX(wp_lf,0)))</f>
        <v>1+70.6487881567867i</v>
      </c>
      <c r="R147" s="160">
        <f t="shared" si="77"/>
        <v>70.655865064568587</v>
      </c>
      <c r="S147" s="160">
        <f t="shared" si="78"/>
        <v>1.5566427475107489</v>
      </c>
      <c r="T147" s="160" t="str">
        <f t="shared" ref="T147:T210" si="105">IMSUM(COMPLEX(1,0),IMDIV(COMPLEX(0,2*PI()*O147),COMPLEX(wz_esr,0)))</f>
        <v>1+0.34303457833353i</v>
      </c>
      <c r="U147" s="160">
        <f t="shared" si="79"/>
        <v>1.0572004171075902</v>
      </c>
      <c r="V147" s="160">
        <f t="shared" si="80"/>
        <v>0.33045611788642287</v>
      </c>
      <c r="W147" s="98" t="str">
        <f t="shared" ref="W147:W210" si="106">IMSUB(COMPLEX(1,0),IMDIV(COMPLEX(0,2*PI()*O147),COMPLEX(wz_rhp,0)))</f>
        <v>1-0.000220777462989958i</v>
      </c>
      <c r="X147" s="160">
        <f t="shared" si="81"/>
        <v>1.0000000243713438</v>
      </c>
      <c r="Y147" s="160">
        <f t="shared" si="82"/>
        <v>-2.2077745940286242E-4</v>
      </c>
      <c r="Z147" s="98" t="str">
        <f t="shared" ref="Z147:Z210" si="107">IF(Dc_Mode_Loop="CCM",IMSUM(COMPLEX(1,0),IMDIV(COMPLEX(0,2*PI()*O147),COMPLEX(Q*(wsl/2),0)),IMDIV(IMPOWER(COMPLEX(0,2*PI()*O147),2),IMPOWER(COMPLEX(wsl/2,0),2))),COMPLEX(1,0))</f>
        <v>0.999984792424147-0.00519000424170749i</v>
      </c>
      <c r="AA147" s="160">
        <f t="shared" si="83"/>
        <v>0.99999826061028385</v>
      </c>
      <c r="AB147" s="160">
        <f t="shared" si="84"/>
        <v>-5.1900365693508376E-3</v>
      </c>
      <c r="AC147" s="171" t="str">
        <f t="shared" si="85"/>
        <v>9.00714945760941-24.7074868225409i</v>
      </c>
      <c r="AD147" s="190">
        <f t="shared" si="86"/>
        <v>28.398478550039812</v>
      </c>
      <c r="AE147" s="169">
        <f t="shared" si="87"/>
        <v>-69.970601198537992</v>
      </c>
      <c r="AF147" s="98" t="str">
        <f t="shared" ref="AF147:AF210" si="108">COMPLEX(Adc_ea,0)</f>
        <v>-0.0000114342530449913</v>
      </c>
      <c r="AG147" s="98" t="str">
        <f t="shared" ref="AG147:AG210" si="109">COMPLEX(0,2*PI()*O147*wp0_ea)</f>
        <v>0.000147076075460501i</v>
      </c>
      <c r="AH147" s="98">
        <f t="shared" si="88"/>
        <v>1.4707607546050099E-4</v>
      </c>
      <c r="AI147" s="98">
        <f t="shared" si="89"/>
        <v>1.5707963267948966</v>
      </c>
      <c r="AJ147" s="98" t="str">
        <f t="shared" ref="AJ147:AJ210" si="110">IMSUM(COMPLEX(1,0),IMDIV(COMPLEX(0,2*PI()*O147),COMPLEX(wp1_ea,0)))</f>
        <v>1+0.00134707456238549i</v>
      </c>
      <c r="AK147" s="98">
        <f t="shared" si="90"/>
        <v>1.0000009073045266</v>
      </c>
      <c r="AL147" s="98">
        <f t="shared" si="91"/>
        <v>1.3470737475814419E-3</v>
      </c>
      <c r="AM147" s="98" t="str">
        <f t="shared" ref="AM147:AM210" si="111">IMSUM(COMPLEX(1,0),IMDIV(COMPLEX(0,2*PI()*O147),COMPLEX(wz_ea,0)))</f>
        <v>1+3.23432602428756i</v>
      </c>
      <c r="AN147" s="98">
        <f t="shared" si="92"/>
        <v>3.3853899083242651</v>
      </c>
      <c r="AO147" s="98">
        <f t="shared" si="93"/>
        <v>1.2709358102802029</v>
      </c>
      <c r="AP147" s="168" t="str">
        <f t="shared" si="94"/>
        <v>-0.251343613871446+0.0780823789259401i</v>
      </c>
      <c r="AQ147" s="98">
        <f t="shared" si="95"/>
        <v>-11.59451864834053</v>
      </c>
      <c r="AR147" s="169">
        <f t="shared" si="96"/>
        <v>162.74207632066586</v>
      </c>
      <c r="AS147" s="168" t="str">
        <f t="shared" si="97"/>
        <v>-0.334670146970474+6.91336868465019i</v>
      </c>
      <c r="AT147" s="190">
        <f t="shared" si="98"/>
        <v>16.803959901699276</v>
      </c>
      <c r="AU147" s="169">
        <f t="shared" si="99"/>
        <v>92.771475122127882</v>
      </c>
      <c r="AV147" s="225"/>
      <c r="AX147">
        <f t="shared" si="100"/>
        <v>0</v>
      </c>
      <c r="AY147">
        <f t="shared" si="101"/>
        <v>0</v>
      </c>
    </row>
    <row r="148" spans="14:51" x14ac:dyDescent="0.2">
      <c r="N148" s="170">
        <v>30</v>
      </c>
      <c r="O148" s="199">
        <f t="shared" si="102"/>
        <v>199.52623149688802</v>
      </c>
      <c r="P148" s="189" t="str">
        <f t="shared" si="103"/>
        <v>1757.57575757576</v>
      </c>
      <c r="Q148" s="160" t="str">
        <f t="shared" si="104"/>
        <v>1+72.2944098339674i</v>
      </c>
      <c r="R148" s="160">
        <f t="shared" ref="R148:R211" si="112">IMABS(Q148)</f>
        <v>72.301325667249301</v>
      </c>
      <c r="S148" s="160">
        <f t="shared" ref="S148:S211" si="113">IMARGUMENT(Q148)</f>
        <v>1.5569648807418777</v>
      </c>
      <c r="T148" s="160" t="str">
        <f t="shared" si="105"/>
        <v>1+0.351024880118685i</v>
      </c>
      <c r="U148" s="160">
        <f t="shared" ref="U148:U211" si="114">IMABS(T148)</f>
        <v>1.059820016069869</v>
      </c>
      <c r="V148" s="160">
        <f t="shared" ref="V148:V211" si="115">IMARGUMENT(T148)</f>
        <v>0.33758756096920489</v>
      </c>
      <c r="W148" s="98" t="str">
        <f t="shared" si="106"/>
        <v>1-0.000225920030731148i</v>
      </c>
      <c r="X148" s="160">
        <f t="shared" ref="X148:X211" si="116">IMABS(W148)</f>
        <v>1.0000000255199299</v>
      </c>
      <c r="Y148" s="160">
        <f t="shared" ref="Y148:Y211" si="117">IMARGUMENT(W148)</f>
        <v>-2.2592002688750584E-4</v>
      </c>
      <c r="Z148" s="98" t="str">
        <f t="shared" si="107"/>
        <v>0.999984075713178-0.00531089497044667i</v>
      </c>
      <c r="AA148" s="160">
        <f t="shared" ref="AA148:AA211" si="118">IMABS(Z148)</f>
        <v>0.99999817864100438</v>
      </c>
      <c r="AB148" s="160">
        <f t="shared" ref="AB148:AB211" si="119">IMARGUMENT(Z148)</f>
        <v>-5.3109296101318919E-3</v>
      </c>
      <c r="AC148" s="171" t="str">
        <f t="shared" ref="AC148:AC211" si="120">(IMDIV(IMPRODUCT(P148,T148,W148),IMPRODUCT(Q148,Z148)))</f>
        <v>8.99138094322472-24.143328651661i</v>
      </c>
      <c r="AD148" s="190">
        <f t="shared" ref="AD148:AD211" si="121">20*LOG(IMABS(AC148))</f>
        <v>28.220014259028389</v>
      </c>
      <c r="AE148" s="169">
        <f t="shared" ref="AE148:AE211" si="122">(180/PI())*IMARGUMENT(AC148)</f>
        <v>-69.573824469044808</v>
      </c>
      <c r="AF148" s="98" t="str">
        <f t="shared" si="108"/>
        <v>-0.0000114342530449913</v>
      </c>
      <c r="AG148" s="98" t="str">
        <f t="shared" si="109"/>
        <v>0.000150501917350886i</v>
      </c>
      <c r="AH148" s="98">
        <f t="shared" ref="AH148:AH211" si="123">IMABS(AG148)</f>
        <v>1.50501917350886E-4</v>
      </c>
      <c r="AI148" s="98">
        <f t="shared" ref="AI148:AI211" si="124">IMARGUMENT(AG148)</f>
        <v>1.5707963267948966</v>
      </c>
      <c r="AJ148" s="98" t="str">
        <f t="shared" si="110"/>
        <v>1+0.00137845195976874i</v>
      </c>
      <c r="AK148" s="98">
        <f t="shared" ref="AK148:AK211" si="125">IMABS(AJ148)</f>
        <v>1.0000009500644513</v>
      </c>
      <c r="AL148" s="98">
        <f t="shared" ref="AL148:AL211" si="126">IMARGUMENT(AJ148)</f>
        <v>1.3784510866905173E-3</v>
      </c>
      <c r="AM148" s="98" t="str">
        <f t="shared" si="111"/>
        <v>1+3.30966315540474i</v>
      </c>
      <c r="AN148" s="98">
        <f t="shared" ref="AN148:AN211" si="127">IMABS(AM148)</f>
        <v>3.4574369411810912</v>
      </c>
      <c r="AO148" s="98">
        <f t="shared" ref="AO148:AO211" si="128">IMARGUMENT(AM148)</f>
        <v>1.27737230049719</v>
      </c>
      <c r="AP148" s="168" t="str">
        <f t="shared" ref="AP148:AP211" si="129">IMPRODUCT(AF148,IMDIV(AM148,IMPRODUCT(AG148,AJ148)))</f>
        <v>-0.251343592376599+0.0763206004556297i</v>
      </c>
      <c r="AQ148" s="98">
        <f t="shared" ref="AQ148:AQ211" si="130">20*LOG(IMABS(AP148))</f>
        <v>-11.611607566387065</v>
      </c>
      <c r="AR148" s="169">
        <f t="shared" ref="AR148:AR211" si="131">(180/PI())*IMARGUMENT(AP148)</f>
        <v>163.10906225587314</v>
      </c>
      <c r="AS148" s="168" t="str">
        <f t="shared" ref="AS148:AS211" si="132">IMPRODUCT(AC148,AP148)</f>
        <v>-0.417292647004218+6.75449854774956i</v>
      </c>
      <c r="AT148" s="190">
        <f t="shared" ref="AT148:AT211" si="133">20*LOG(IMABS(AS148))</f>
        <v>16.608406692641324</v>
      </c>
      <c r="AU148" s="169">
        <f t="shared" ref="AU148:AU211" si="134">(180/PI())*IMARGUMENT(AS148)</f>
        <v>93.535237786828333</v>
      </c>
      <c r="AV148" s="225"/>
      <c r="AX148">
        <f t="shared" ref="AX148:AX211" si="135">SUM((AT149&lt;0)*(AT148&gt;0))*O148</f>
        <v>0</v>
      </c>
      <c r="AY148">
        <f t="shared" ref="AY148:AY211" si="136">IF(AX148&gt;0,AU148,0)</f>
        <v>0</v>
      </c>
    </row>
    <row r="149" spans="14:51" x14ac:dyDescent="0.2">
      <c r="N149" s="170">
        <v>31</v>
      </c>
      <c r="O149" s="199">
        <f t="shared" si="102"/>
        <v>204.17379446695315</v>
      </c>
      <c r="P149" s="189" t="str">
        <f t="shared" si="103"/>
        <v>1757.57575757576</v>
      </c>
      <c r="Q149" s="160" t="str">
        <f t="shared" si="104"/>
        <v>1+73.9783629641715i</v>
      </c>
      <c r="R149" s="160">
        <f t="shared" si="112"/>
        <v>73.985121388416346</v>
      </c>
      <c r="S149" s="160">
        <f t="shared" si="113"/>
        <v>1.5572796840994381</v>
      </c>
      <c r="T149" s="160" t="str">
        <f t="shared" si="105"/>
        <v>1+0.359201299941641i</v>
      </c>
      <c r="U149" s="160">
        <f t="shared" si="114"/>
        <v>1.0625561509302766</v>
      </c>
      <c r="V149" s="160">
        <f t="shared" si="115"/>
        <v>0.34484833617607846</v>
      </c>
      <c r="W149" s="98" t="str">
        <f t="shared" si="106"/>
        <v>1-0.000231182384263035i</v>
      </c>
      <c r="X149" s="160">
        <f t="shared" si="116"/>
        <v>1.000000026722647</v>
      </c>
      <c r="Y149" s="160">
        <f t="shared" si="117"/>
        <v>-2.3118238014449823E-4</v>
      </c>
      <c r="Z149" s="98" t="str">
        <f t="shared" si="107"/>
        <v>0.999983325224661-0.00543460160599717i</v>
      </c>
      <c r="AA149" s="160">
        <f t="shared" si="118"/>
        <v>0.9999980928091744</v>
      </c>
      <c r="AB149" s="160">
        <f t="shared" si="119"/>
        <v>-5.434638723078835E-3</v>
      </c>
      <c r="AC149" s="171" t="str">
        <f t="shared" si="120"/>
        <v>8.97632147357943-23.591951962421i</v>
      </c>
      <c r="AD149" s="190">
        <f t="shared" si="121"/>
        <v>28.042447851202116</v>
      </c>
      <c r="AE149" s="169">
        <f t="shared" si="122"/>
        <v>-69.169063098035309</v>
      </c>
      <c r="AF149" s="98" t="str">
        <f t="shared" si="108"/>
        <v>-0.0000114342530449913</v>
      </c>
      <c r="AG149" s="98" t="str">
        <f t="shared" si="109"/>
        <v>0.000154007557349979i</v>
      </c>
      <c r="AH149" s="98">
        <f t="shared" si="123"/>
        <v>1.54007557349979E-4</v>
      </c>
      <c r="AI149" s="98">
        <f t="shared" si="124"/>
        <v>1.5707963267948966</v>
      </c>
      <c r="AJ149" s="98" t="str">
        <f t="shared" si="110"/>
        <v>1+0.00141056023062702i</v>
      </c>
      <c r="AK149" s="98">
        <f t="shared" si="125"/>
        <v>1.0000009948395872</v>
      </c>
      <c r="AL149" s="98">
        <f t="shared" si="126"/>
        <v>1.4105592951068997E-3</v>
      </c>
      <c r="AM149" s="98" t="str">
        <f t="shared" si="111"/>
        <v>1+3.38675511373547i</v>
      </c>
      <c r="AN149" s="98">
        <f t="shared" si="127"/>
        <v>3.5313043199947183</v>
      </c>
      <c r="AO149" s="98">
        <f t="shared" si="128"/>
        <v>1.2836865617987152</v>
      </c>
      <c r="AP149" s="168" t="str">
        <f t="shared" si="129"/>
        <v>-0.251343569868734+0.0745992881751098i</v>
      </c>
      <c r="AQ149" s="98">
        <f t="shared" si="130"/>
        <v>-11.627990399607384</v>
      </c>
      <c r="AR149" s="169">
        <f t="shared" si="131"/>
        <v>163.46900311436335</v>
      </c>
      <c r="AS149" s="168" t="str">
        <f t="shared" si="132"/>
        <v>-0.496197860400837+6.59931261876656i</v>
      </c>
      <c r="AT149" s="190">
        <f t="shared" si="133"/>
        <v>16.414457451594735</v>
      </c>
      <c r="AU149" s="169">
        <f t="shared" si="134"/>
        <v>94.299940016328023</v>
      </c>
      <c r="AV149" s="225"/>
      <c r="AX149">
        <f t="shared" si="135"/>
        <v>0</v>
      </c>
      <c r="AY149">
        <f t="shared" si="136"/>
        <v>0</v>
      </c>
    </row>
    <row r="150" spans="14:51" x14ac:dyDescent="0.2">
      <c r="N150" s="170">
        <v>32</v>
      </c>
      <c r="O150" s="199">
        <f t="shared" si="102"/>
        <v>208.92961308540396</v>
      </c>
      <c r="P150" s="189" t="str">
        <f t="shared" si="103"/>
        <v>1757.57575757576</v>
      </c>
      <c r="Q150" s="160" t="str">
        <f t="shared" si="104"/>
        <v>1+75.7015404016392i</v>
      </c>
      <c r="R150" s="160">
        <f t="shared" si="112"/>
        <v>75.708144998943226</v>
      </c>
      <c r="S150" s="160">
        <f t="shared" si="113"/>
        <v>1.5575873242466156</v>
      </c>
      <c r="T150" s="160" t="str">
        <f t="shared" si="105"/>
        <v>1+0.36756817304842i</v>
      </c>
      <c r="U150" s="160">
        <f t="shared" si="114"/>
        <v>1.0654137045477465</v>
      </c>
      <c r="V150" s="160">
        <f t="shared" si="115"/>
        <v>0.35223923007647573</v>
      </c>
      <c r="W150" s="98" t="str">
        <f t="shared" si="106"/>
        <v>1-0.000236567313755122i</v>
      </c>
      <c r="X150" s="160">
        <f t="shared" si="116"/>
        <v>1.0000000279820467</v>
      </c>
      <c r="Y150" s="160">
        <f t="shared" si="117"/>
        <v>-2.3656730934203037E-4</v>
      </c>
      <c r="Z150" s="98" t="str">
        <f t="shared" si="107"/>
        <v>0.99998253936671-0.00556118973925466i</v>
      </c>
      <c r="AA150" s="160">
        <f t="shared" si="118"/>
        <v>0.99999800293281083</v>
      </c>
      <c r="AB150" s="160">
        <f t="shared" si="119"/>
        <v>-5.5612295109132483E-3</v>
      </c>
      <c r="AC150" s="171" t="str">
        <f t="shared" si="120"/>
        <v>8.96193914136466-23.0530657172836i</v>
      </c>
      <c r="AD150" s="190">
        <f t="shared" si="121"/>
        <v>27.865812135821741</v>
      </c>
      <c r="AE150" s="169">
        <f t="shared" si="122"/>
        <v>-68.756277968603513</v>
      </c>
      <c r="AF150" s="98" t="str">
        <f t="shared" si="108"/>
        <v>-0.0000114342530449913</v>
      </c>
      <c r="AG150" s="98" t="str">
        <f t="shared" si="109"/>
        <v>0.00015759485419451i</v>
      </c>
      <c r="AH150" s="98">
        <f t="shared" si="123"/>
        <v>1.5759485419450999E-4</v>
      </c>
      <c r="AI150" s="98">
        <f t="shared" si="124"/>
        <v>1.5707963267948966</v>
      </c>
      <c r="AJ150" s="98" t="str">
        <f t="shared" si="110"/>
        <v>1+0.00144341639919056i</v>
      </c>
      <c r="AK150" s="98">
        <f t="shared" si="125"/>
        <v>1.0000010417249081</v>
      </c>
      <c r="AL150" s="98">
        <f t="shared" si="126"/>
        <v>1.4434153967627472E-3</v>
      </c>
      <c r="AM150" s="98" t="str">
        <f t="shared" si="111"/>
        <v>1+3.46564277445653i</v>
      </c>
      <c r="AN150" s="98">
        <f t="shared" si="127"/>
        <v>3.6070319987688988</v>
      </c>
      <c r="AO150" s="98">
        <f t="shared" si="128"/>
        <v>1.2898799273429149</v>
      </c>
      <c r="AP150" s="168" t="str">
        <f t="shared" si="129"/>
        <v>-0.251343546300112+0.0729175294216255i</v>
      </c>
      <c r="AQ150" s="98">
        <f t="shared" si="130"/>
        <v>-11.643693819986204</v>
      </c>
      <c r="AR150" s="169">
        <f t="shared" si="131"/>
        <v>163.82197430507156</v>
      </c>
      <c r="AS150" s="168" t="str">
        <f t="shared" si="132"/>
        <v>-0.571552967817681+6.44772175148687i</v>
      </c>
      <c r="AT150" s="190">
        <f t="shared" si="133"/>
        <v>16.222118315835537</v>
      </c>
      <c r="AU150" s="169">
        <f t="shared" si="134"/>
        <v>95.065696336468037</v>
      </c>
      <c r="AV150" s="225"/>
      <c r="AX150">
        <f t="shared" si="135"/>
        <v>0</v>
      </c>
      <c r="AY150">
        <f t="shared" si="136"/>
        <v>0</v>
      </c>
    </row>
    <row r="151" spans="14:51" x14ac:dyDescent="0.2">
      <c r="N151" s="170">
        <v>33</v>
      </c>
      <c r="O151" s="199">
        <f t="shared" si="102"/>
        <v>213.79620895022339</v>
      </c>
      <c r="P151" s="189" t="str">
        <f t="shared" si="103"/>
        <v>1757.57575757576</v>
      </c>
      <c r="Q151" s="160" t="str">
        <f t="shared" si="104"/>
        <v>1+77.4648557978555i</v>
      </c>
      <c r="R151" s="160">
        <f t="shared" si="112"/>
        <v>77.471310068841277</v>
      </c>
      <c r="S151" s="160">
        <f t="shared" si="113"/>
        <v>1.5578879640652277</v>
      </c>
      <c r="T151" s="160" t="str">
        <f t="shared" si="105"/>
        <v>1+0.376129935665887i</v>
      </c>
      <c r="U151" s="160">
        <f t="shared" si="114"/>
        <v>1.0683977389081392</v>
      </c>
      <c r="V151" s="160">
        <f t="shared" si="115"/>
        <v>0.35976093060820735</v>
      </c>
      <c r="W151" s="98" t="str">
        <f t="shared" si="106"/>
        <v>1-0.000242077674368298i</v>
      </c>
      <c r="X151" s="160">
        <f t="shared" si="116"/>
        <v>1.0000000293007998</v>
      </c>
      <c r="Y151" s="160">
        <f t="shared" si="117"/>
        <v>-2.4207766963958512E-4</v>
      </c>
      <c r="Z151" s="98" t="str">
        <f t="shared" si="107"/>
        <v>0.999981716472415-0.00569072648892292i</v>
      </c>
      <c r="AA151" s="160">
        <f t="shared" si="118"/>
        <v>0.99999790882135808</v>
      </c>
      <c r="AB151" s="160">
        <f t="shared" si="119"/>
        <v>-5.6907691050105871E-3</v>
      </c>
      <c r="AC151" s="171" t="str">
        <f t="shared" si="120"/>
        <v>8.94820347241767-22.5263854139387i</v>
      </c>
      <c r="AD151" s="190">
        <f t="shared" si="121"/>
        <v>27.690140694468866</v>
      </c>
      <c r="AE151" s="169">
        <f t="shared" si="122"/>
        <v>-68.335435314501026</v>
      </c>
      <c r="AF151" s="98" t="str">
        <f t="shared" si="108"/>
        <v>-0.0000114342530449913</v>
      </c>
      <c r="AG151" s="98" t="str">
        <f t="shared" si="109"/>
        <v>0.000161265709916749i</v>
      </c>
      <c r="AH151" s="98">
        <f t="shared" si="123"/>
        <v>1.6126570991674901E-4</v>
      </c>
      <c r="AI151" s="98">
        <f t="shared" si="124"/>
        <v>1.5707963267948966</v>
      </c>
      <c r="AJ151" s="98" t="str">
        <f t="shared" si="110"/>
        <v>1+0.00147703788623482i</v>
      </c>
      <c r="AK151" s="98">
        <f t="shared" si="125"/>
        <v>1.0000010908198638</v>
      </c>
      <c r="AL151" s="98">
        <f t="shared" si="126"/>
        <v>1.4770368121141296E-3</v>
      </c>
      <c r="AM151" s="98" t="str">
        <f t="shared" si="111"/>
        <v>1+3.54636796484979i</v>
      </c>
      <c r="AN151" s="98">
        <f t="shared" si="127"/>
        <v>3.6846608720631049</v>
      </c>
      <c r="AO151" s="98">
        <f t="shared" si="128"/>
        <v>1.2959537796972254</v>
      </c>
      <c r="AP151" s="168" t="str">
        <f t="shared" si="129"/>
        <v>-0.251343521620739+0.0712744325042107i</v>
      </c>
      <c r="AQ151" s="98">
        <f t="shared" si="130"/>
        <v>-11.658743696699762</v>
      </c>
      <c r="AR151" s="169">
        <f t="shared" si="131"/>
        <v>164.16805404515827</v>
      </c>
      <c r="AS151" s="168" t="str">
        <f t="shared" si="132"/>
        <v>-0.643517636186772+6.29963916375418i</v>
      </c>
      <c r="AT151" s="190">
        <f t="shared" si="133"/>
        <v>16.031396997769107</v>
      </c>
      <c r="AU151" s="169">
        <f t="shared" si="134"/>
        <v>95.832618730657245</v>
      </c>
      <c r="AV151" s="225"/>
      <c r="AX151">
        <f t="shared" si="135"/>
        <v>0</v>
      </c>
      <c r="AY151">
        <f t="shared" si="136"/>
        <v>0</v>
      </c>
    </row>
    <row r="152" spans="14:51" x14ac:dyDescent="0.2">
      <c r="N152" s="170">
        <v>34</v>
      </c>
      <c r="O152" s="199">
        <f t="shared" si="102"/>
        <v>218.77616239495524</v>
      </c>
      <c r="P152" s="189" t="str">
        <f t="shared" si="103"/>
        <v>1757.57575757576</v>
      </c>
      <c r="Q152" s="160" t="str">
        <f t="shared" si="104"/>
        <v>1+79.2692440859848i</v>
      </c>
      <c r="R152" s="160">
        <f t="shared" si="112"/>
        <v>79.275551451651452</v>
      </c>
      <c r="S152" s="160">
        <f t="shared" si="113"/>
        <v>1.5581817627409758</v>
      </c>
      <c r="T152" s="160" t="str">
        <f t="shared" si="105"/>
        <v>1+0.384891127353914i</v>
      </c>
      <c r="U152" s="160">
        <f t="shared" si="114"/>
        <v>1.0715134996423361</v>
      </c>
      <c r="V152" s="160">
        <f t="shared" si="115"/>
        <v>0.36741402050369659</v>
      </c>
      <c r="W152" s="98" t="str">
        <f t="shared" si="106"/>
        <v>1-0.000247716387768702i</v>
      </c>
      <c r="X152" s="160">
        <f t="shared" si="116"/>
        <v>1.0000000306817038</v>
      </c>
      <c r="Y152" s="160">
        <f t="shared" si="117"/>
        <v>-2.4771638270179488E-4</v>
      </c>
      <c r="Z152" s="98" t="str">
        <f t="shared" si="107"/>
        <v>0.999980854796307-0.00582328053710129i</v>
      </c>
      <c r="AA152" s="160">
        <f t="shared" si="118"/>
        <v>0.99999781027528589</v>
      </c>
      <c r="AB152" s="160">
        <f t="shared" si="119"/>
        <v>-5.8233262010481237E-3</v>
      </c>
      <c r="AC152" s="171" t="str">
        <f t="shared" si="120"/>
        <v>8.93508536135919-22.0116329402806i</v>
      </c>
      <c r="AD152" s="190">
        <f t="shared" si="121"/>
        <v>27.515467864371995</v>
      </c>
      <c r="AE152" s="169">
        <f t="shared" si="122"/>
        <v>-67.906507099715029</v>
      </c>
      <c r="AF152" s="98" t="str">
        <f t="shared" si="108"/>
        <v>-0.0000114342530449913</v>
      </c>
      <c r="AG152" s="98" t="str">
        <f t="shared" si="109"/>
        <v>0.00016502207085299i</v>
      </c>
      <c r="AH152" s="98">
        <f t="shared" si="123"/>
        <v>1.6502207085299E-4</v>
      </c>
      <c r="AI152" s="98">
        <f t="shared" si="124"/>
        <v>1.5707963267948966</v>
      </c>
      <c r="AJ152" s="98" t="str">
        <f t="shared" si="110"/>
        <v>1+0.00151144251831727i</v>
      </c>
      <c r="AK152" s="98">
        <f t="shared" si="125"/>
        <v>1.0000011422285908</v>
      </c>
      <c r="AL152" s="98">
        <f t="shared" si="126"/>
        <v>1.5114413673762851E-3</v>
      </c>
      <c r="AM152" s="98" t="str">
        <f t="shared" si="111"/>
        <v>1+3.62897348647975i</v>
      </c>
      <c r="AN152" s="98">
        <f t="shared" si="127"/>
        <v>3.7642327990671611</v>
      </c>
      <c r="AO152" s="98">
        <f t="shared" si="128"/>
        <v>1.3019095460025578</v>
      </c>
      <c r="AP152" s="168" t="str">
        <f t="shared" si="129"/>
        <v>-0.251343495778269+0.0696691262309015i</v>
      </c>
      <c r="AQ152" s="98">
        <f t="shared" si="130"/>
        <v>-11.673165103315114</v>
      </c>
      <c r="AR152" s="169">
        <f t="shared" si="131"/>
        <v>164.50732308240754</v>
      </c>
      <c r="AS152" s="168" t="str">
        <f t="shared" si="132"/>
        <v>-0.712244355936578+6.15498036092264i</v>
      </c>
      <c r="AT152" s="190">
        <f t="shared" si="133"/>
        <v>15.842302761056889</v>
      </c>
      <c r="AU152" s="169">
        <f t="shared" si="134"/>
        <v>96.600815982692509</v>
      </c>
      <c r="AV152" s="225"/>
      <c r="AX152">
        <f t="shared" si="135"/>
        <v>0</v>
      </c>
      <c r="AY152">
        <f t="shared" si="136"/>
        <v>0</v>
      </c>
    </row>
    <row r="153" spans="14:51" x14ac:dyDescent="0.2">
      <c r="N153" s="170">
        <v>35</v>
      </c>
      <c r="O153" s="199">
        <f t="shared" si="102"/>
        <v>223.87211385683412</v>
      </c>
      <c r="P153" s="189" t="str">
        <f t="shared" si="103"/>
        <v>1757.57575757576</v>
      </c>
      <c r="Q153" s="160" t="str">
        <f t="shared" si="104"/>
        <v>1+81.1156619765811i</v>
      </c>
      <c r="R153" s="160">
        <f t="shared" si="112"/>
        <v>81.121825780112729</v>
      </c>
      <c r="S153" s="160">
        <f t="shared" si="113"/>
        <v>1.5584688758468104</v>
      </c>
      <c r="T153" s="160" t="str">
        <f t="shared" si="105"/>
        <v>1+0.3938563934123i</v>
      </c>
      <c r="U153" s="160">
        <f t="shared" si="114"/>
        <v>1.0747664204987726</v>
      </c>
      <c r="V153" s="160">
        <f t="shared" si="115"/>
        <v>0.37519897060451923</v>
      </c>
      <c r="W153" s="98" t="str">
        <f t="shared" si="106"/>
        <v>1-0.000253486443676815i</v>
      </c>
      <c r="X153" s="160">
        <f t="shared" si="116"/>
        <v>1.0000000321276881</v>
      </c>
      <c r="Y153" s="160">
        <f t="shared" si="117"/>
        <v>-2.5348643824752619E-4</v>
      </c>
      <c r="Z153" s="98" t="str">
        <f t="shared" si="107"/>
        <v>0.999979952510655-0.00595892216570067i</v>
      </c>
      <c r="AA153" s="160">
        <f t="shared" si="118"/>
        <v>0.99999770708566549</v>
      </c>
      <c r="AB153" s="160">
        <f t="shared" si="119"/>
        <v>-5.9589710954857569E-3</v>
      </c>
      <c r="AC153" s="171" t="str">
        <f t="shared" si="120"/>
        <v>8.92255701011011-21.5085364323878i</v>
      </c>
      <c r="AD153" s="190">
        <f t="shared" si="121"/>
        <v>27.341828718138309</v>
      </c>
      <c r="AE153" s="169">
        <f t="shared" si="122"/>
        <v>-67.469471404291724</v>
      </c>
      <c r="AF153" s="98" t="str">
        <f t="shared" si="108"/>
        <v>-0.0000114342530449913</v>
      </c>
      <c r="AG153" s="98" t="str">
        <f t="shared" si="109"/>
        <v>0.000168865928675523i</v>
      </c>
      <c r="AH153" s="98">
        <f t="shared" si="123"/>
        <v>1.6886592867552299E-4</v>
      </c>
      <c r="AI153" s="98">
        <f t="shared" si="124"/>
        <v>1.5707963267948966</v>
      </c>
      <c r="AJ153" s="98" t="str">
        <f t="shared" si="110"/>
        <v>1+0.00154664853722924i</v>
      </c>
      <c r="AK153" s="98">
        <f t="shared" si="125"/>
        <v>1.0000011960601336</v>
      </c>
      <c r="AL153" s="98">
        <f t="shared" si="126"/>
        <v>1.546647303973835E-3</v>
      </c>
      <c r="AM153" s="98" t="str">
        <f t="shared" si="111"/>
        <v>1+3.7135031378874i</v>
      </c>
      <c r="AN153" s="98">
        <f t="shared" si="127"/>
        <v>3.845790628089309</v>
      </c>
      <c r="AO153" s="98">
        <f t="shared" si="128"/>
        <v>1.3077486933509126</v>
      </c>
      <c r="AP153" s="168" t="str">
        <f t="shared" si="129"/>
        <v>-0.251343468717887+0.0681007594468172i</v>
      </c>
      <c r="AQ153" s="98">
        <f t="shared" si="130"/>
        <v>-11.686982326533499</v>
      </c>
      <c r="AR153" s="169">
        <f t="shared" si="131"/>
        <v>164.83986442984244</v>
      </c>
      <c r="AS153" s="168" t="str">
        <f t="shared" si="132"/>
        <v>-0.777878763119028+6.01366306255742i</v>
      </c>
      <c r="AT153" s="190">
        <f t="shared" si="133"/>
        <v>15.654846391604815</v>
      </c>
      <c r="AU153" s="169">
        <f t="shared" si="134"/>
        <v>97.370393025550712</v>
      </c>
      <c r="AV153" s="225"/>
      <c r="AX153">
        <f t="shared" si="135"/>
        <v>0</v>
      </c>
      <c r="AY153">
        <f t="shared" si="136"/>
        <v>0</v>
      </c>
    </row>
    <row r="154" spans="14:51" x14ac:dyDescent="0.2">
      <c r="N154" s="170">
        <v>36</v>
      </c>
      <c r="O154" s="199">
        <f t="shared" si="102"/>
        <v>229.08676527677744</v>
      </c>
      <c r="P154" s="189" t="str">
        <f t="shared" si="103"/>
        <v>1757.57575757576</v>
      </c>
      <c r="Q154" s="160" t="str">
        <f t="shared" si="104"/>
        <v>1+83.0050884648497i</v>
      </c>
      <c r="R154" s="160">
        <f t="shared" si="112"/>
        <v>83.011111973382967</v>
      </c>
      <c r="S154" s="160">
        <f t="shared" si="113"/>
        <v>1.558749455424449</v>
      </c>
      <c r="T154" s="160" t="str">
        <f t="shared" si="105"/>
        <v>1+0.403030487343778i</v>
      </c>
      <c r="U154" s="160">
        <f t="shared" si="114"/>
        <v>1.0781621277565647</v>
      </c>
      <c r="V154" s="160">
        <f t="shared" si="115"/>
        <v>0.38311613308715209</v>
      </c>
      <c r="W154" s="98" t="str">
        <f t="shared" si="106"/>
        <v>1-0.000259390901452655i</v>
      </c>
      <c r="X154" s="160">
        <f t="shared" si="116"/>
        <v>1.0000000336418193</v>
      </c>
      <c r="Y154" s="160">
        <f t="shared" si="117"/>
        <v>-2.5939089563506727E-4</v>
      </c>
      <c r="Z154" s="98" t="str">
        <f t="shared" si="107"/>
        <v>0.99997900770159-0.00609772329370794i</v>
      </c>
      <c r="AA154" s="160">
        <f t="shared" si="118"/>
        <v>0.9999975990337292</v>
      </c>
      <c r="AB154" s="160">
        <f t="shared" si="119"/>
        <v>-6.0977757228998716E-3</v>
      </c>
      <c r="AC154" s="171" t="str">
        <f t="shared" si="120"/>
        <v>8.9105918691586-21.0168301354513i</v>
      </c>
      <c r="AD154" s="190">
        <f t="shared" si="121"/>
        <v>27.169259039689578</v>
      </c>
      <c r="AE154" s="169">
        <f t="shared" si="122"/>
        <v>-67.024312815094746</v>
      </c>
      <c r="AF154" s="98" t="str">
        <f t="shared" si="108"/>
        <v>-0.0000114342530449913</v>
      </c>
      <c r="AG154" s="98" t="str">
        <f t="shared" si="109"/>
        <v>0.000172799321448644i</v>
      </c>
      <c r="AH154" s="98">
        <f t="shared" si="123"/>
        <v>1.72799321448644E-4</v>
      </c>
      <c r="AI154" s="98">
        <f t="shared" si="124"/>
        <v>1.5707963267948966</v>
      </c>
      <c r="AJ154" s="98" t="str">
        <f t="shared" si="110"/>
        <v>1+0.00158267460966796i</v>
      </c>
      <c r="AK154" s="98">
        <f t="shared" si="125"/>
        <v>1.0000012524286757</v>
      </c>
      <c r="AL154" s="98">
        <f t="shared" si="126"/>
        <v>1.582673288211075E-3</v>
      </c>
      <c r="AM154" s="98" t="str">
        <f t="shared" si="111"/>
        <v>1+3.80000173781276i</v>
      </c>
      <c r="AN154" s="98">
        <f t="shared" si="127"/>
        <v>3.9293782214721955</v>
      </c>
      <c r="AO154" s="98">
        <f t="shared" si="128"/>
        <v>1.3134727243763997</v>
      </c>
      <c r="AP154" s="168" t="str">
        <f t="shared" si="129"/>
        <v>-0.251343440382193+0.0665685005828658i</v>
      </c>
      <c r="AQ154" s="98">
        <f t="shared" si="130"/>
        <v>-11.700218876315677</v>
      </c>
      <c r="AR154" s="169">
        <f t="shared" si="131"/>
        <v>165.1657631125552</v>
      </c>
      <c r="AS154" s="168" t="str">
        <f t="shared" si="132"/>
        <v>-0.840559947114137+5.87560713220824i</v>
      </c>
      <c r="AT154" s="190">
        <f t="shared" si="133"/>
        <v>15.469040163373894</v>
      </c>
      <c r="AU154" s="169">
        <f t="shared" si="134"/>
        <v>98.141450297460452</v>
      </c>
      <c r="AV154" s="225"/>
      <c r="AX154">
        <f t="shared" si="135"/>
        <v>0</v>
      </c>
      <c r="AY154">
        <f t="shared" si="136"/>
        <v>0</v>
      </c>
    </row>
    <row r="155" spans="14:51" x14ac:dyDescent="0.2">
      <c r="N155" s="170">
        <v>37</v>
      </c>
      <c r="O155" s="199">
        <f t="shared" si="102"/>
        <v>234.42288153199232</v>
      </c>
      <c r="P155" s="189" t="str">
        <f t="shared" si="103"/>
        <v>1757.57575757576</v>
      </c>
      <c r="Q155" s="160" t="str">
        <f t="shared" si="104"/>
        <v>1+84.9385253497243i</v>
      </c>
      <c r="R155" s="160">
        <f t="shared" si="112"/>
        <v>84.944411756075866</v>
      </c>
      <c r="S155" s="160">
        <f t="shared" si="113"/>
        <v>1.5590236500640868</v>
      </c>
      <c r="T155" s="160" t="str">
        <f t="shared" si="105"/>
        <v>1+0.412418273374383i</v>
      </c>
      <c r="U155" s="160">
        <f t="shared" si="114"/>
        <v>1.0817064445648401</v>
      </c>
      <c r="V155" s="160">
        <f t="shared" si="115"/>
        <v>0.39116573462555465</v>
      </c>
      <c r="W155" s="98" t="str">
        <f t="shared" si="106"/>
        <v>1-0.000265432891717888i</v>
      </c>
      <c r="X155" s="160">
        <f t="shared" si="116"/>
        <v>1.0000000352273093</v>
      </c>
      <c r="Y155" s="160">
        <f t="shared" si="117"/>
        <v>-2.6543288548423044E-4</v>
      </c>
      <c r="Z155" s="98" t="str">
        <f t="shared" si="107"/>
        <v>0.999978018365046-0.00623975751531842i</v>
      </c>
      <c r="AA155" s="160">
        <f t="shared" si="118"/>
        <v>0.99999748589040682</v>
      </c>
      <c r="AB155" s="160">
        <f t="shared" si="119"/>
        <v>-6.2398136941902204E-3</v>
      </c>
      <c r="AC155" s="171" t="str">
        <f t="shared" si="120"/>
        <v>8.8991645814553-20.5362542676042i</v>
      </c>
      <c r="AD155" s="190">
        <f t="shared" si="121"/>
        <v>26.99779529620972</v>
      </c>
      <c r="AE155" s="169">
        <f t="shared" si="122"/>
        <v>-66.571022820031232</v>
      </c>
      <c r="AF155" s="98" t="str">
        <f t="shared" si="108"/>
        <v>-0.0000114342530449913</v>
      </c>
      <c r="AG155" s="98" t="str">
        <f t="shared" si="109"/>
        <v>0.000176824334709267i</v>
      </c>
      <c r="AH155" s="98">
        <f t="shared" si="123"/>
        <v>1.7682433470926699E-4</v>
      </c>
      <c r="AI155" s="98">
        <f t="shared" si="124"/>
        <v>1.5707963267948966</v>
      </c>
      <c r="AJ155" s="98" t="str">
        <f t="shared" si="110"/>
        <v>1+0.00161953983713389i</v>
      </c>
      <c r="AK155" s="98">
        <f t="shared" si="125"/>
        <v>1.000001311453782</v>
      </c>
      <c r="AL155" s="98">
        <f t="shared" si="126"/>
        <v>1.6195384211674267E-3</v>
      </c>
      <c r="AM155" s="98" t="str">
        <f t="shared" si="111"/>
        <v>1+3.88851514895846i</v>
      </c>
      <c r="AN155" s="98">
        <f t="shared" si="127"/>
        <v>4.015040480951523</v>
      </c>
      <c r="AO155" s="98">
        <f t="shared" si="128"/>
        <v>1.31908317305851</v>
      </c>
      <c r="AP155" s="168" t="str">
        <f t="shared" si="129"/>
        <v>-0.251343410711084+0.0650715372148334i</v>
      </c>
      <c r="AQ155" s="98">
        <f t="shared" si="130"/>
        <v>-11.712897497236188</v>
      </c>
      <c r="AR155" s="169">
        <f t="shared" si="131"/>
        <v>165.48510592668524</v>
      </c>
      <c r="AS155" s="168" t="str">
        <f t="shared" si="132"/>
        <v>-0.900420744554564+5.74073451009279i</v>
      </c>
      <c r="AT155" s="190">
        <f t="shared" si="133"/>
        <v>15.284897798973534</v>
      </c>
      <c r="AU155" s="169">
        <f t="shared" si="134"/>
        <v>98.914083106654004</v>
      </c>
      <c r="AV155" s="225"/>
      <c r="AX155">
        <f t="shared" si="135"/>
        <v>0</v>
      </c>
      <c r="AY155">
        <f t="shared" si="136"/>
        <v>0</v>
      </c>
    </row>
    <row r="156" spans="14:51" x14ac:dyDescent="0.2">
      <c r="N156" s="170">
        <v>38</v>
      </c>
      <c r="O156" s="199">
        <f t="shared" si="102"/>
        <v>239.88329190194912</v>
      </c>
      <c r="P156" s="189" t="str">
        <f t="shared" si="103"/>
        <v>1757.57575757576</v>
      </c>
      <c r="Q156" s="160" t="str">
        <f t="shared" si="104"/>
        <v>1+86.9169977650344i</v>
      </c>
      <c r="R156" s="160">
        <f t="shared" si="112"/>
        <v>86.92275018938939</v>
      </c>
      <c r="S156" s="160">
        <f t="shared" si="113"/>
        <v>1.5592916049823395</v>
      </c>
      <c r="T156" s="160" t="str">
        <f t="shared" si="105"/>
        <v>1+0.422024729032536i</v>
      </c>
      <c r="U156" s="160">
        <f t="shared" si="114"/>
        <v>1.0854053951934206</v>
      </c>
      <c r="V156" s="160">
        <f t="shared" si="115"/>
        <v>0.39934786951912238</v>
      </c>
      <c r="W156" s="98" t="str">
        <f t="shared" si="106"/>
        <v>1-0.000271615618015732i</v>
      </c>
      <c r="X156" s="160">
        <f t="shared" si="116"/>
        <v>1.0000000368875213</v>
      </c>
      <c r="Y156" s="160">
        <f t="shared" si="117"/>
        <v>-2.7161561133624758E-4</v>
      </c>
      <c r="Z156" s="98" t="str">
        <f t="shared" si="107"/>
        <v>0.999976982402507-0.00638510013895653i</v>
      </c>
      <c r="AA156" s="160">
        <f t="shared" si="118"/>
        <v>0.99999736741583878</v>
      </c>
      <c r="AB156" s="160">
        <f t="shared" si="119"/>
        <v>-6.385160335680316E-3</v>
      </c>
      <c r="AC156" s="171" t="str">
        <f t="shared" si="120"/>
        <v>8.88825092881966-20.0665548866034i</v>
      </c>
      <c r="AD156" s="190">
        <f t="shared" si="121"/>
        <v>26.827474605919825</v>
      </c>
      <c r="AE156" s="169">
        <f t="shared" si="122"/>
        <v>-66.109600204112127</v>
      </c>
      <c r="AF156" s="98" t="str">
        <f t="shared" si="108"/>
        <v>-0.0000114342530449913</v>
      </c>
      <c r="AG156" s="98" t="str">
        <f t="shared" si="109"/>
        <v>0.0001809431025727i</v>
      </c>
      <c r="AH156" s="98">
        <f t="shared" si="123"/>
        <v>1.8094310257269999E-4</v>
      </c>
      <c r="AI156" s="98">
        <f t="shared" si="124"/>
        <v>1.5707963267948966</v>
      </c>
      <c r="AJ156" s="98" t="str">
        <f t="shared" si="110"/>
        <v>1+0.00165726376605863i</v>
      </c>
      <c r="AK156" s="98">
        <f t="shared" si="125"/>
        <v>1.0000013732606521</v>
      </c>
      <c r="AL156" s="98">
        <f t="shared" si="126"/>
        <v>1.6572622488233415E-3</v>
      </c>
      <c r="AM156" s="98" t="str">
        <f t="shared" si="111"/>
        <v>1+3.97909030230677i</v>
      </c>
      <c r="AN156" s="98">
        <f t="shared" si="127"/>
        <v>4.1028233734724413</v>
      </c>
      <c r="AO156" s="98">
        <f t="shared" si="128"/>
        <v>1.324581600735488</v>
      </c>
      <c r="AP156" s="168" t="str">
        <f t="shared" si="129"/>
        <v>-0.25134337964163+0.0636090756326252i</v>
      </c>
      <c r="AQ156" s="98">
        <f t="shared" si="130"/>
        <v>-11.725040180921827</v>
      </c>
      <c r="AR156" s="169">
        <f t="shared" si="131"/>
        <v>165.79798121042228</v>
      </c>
      <c r="AS156" s="168" t="str">
        <f t="shared" si="132"/>
        <v>-0.95758802008421+5.6089691485362i</v>
      </c>
      <c r="AT156" s="190">
        <f t="shared" si="133"/>
        <v>15.102434424997988</v>
      </c>
      <c r="AU156" s="169">
        <f t="shared" si="134"/>
        <v>99.688381006310166</v>
      </c>
      <c r="AV156" s="225"/>
      <c r="AX156">
        <f t="shared" si="135"/>
        <v>0</v>
      </c>
      <c r="AY156">
        <f t="shared" si="136"/>
        <v>0</v>
      </c>
    </row>
    <row r="157" spans="14:51" x14ac:dyDescent="0.2">
      <c r="N157" s="170">
        <v>39</v>
      </c>
      <c r="O157" s="199">
        <f t="shared" si="102"/>
        <v>245.4708915685033</v>
      </c>
      <c r="P157" s="189" t="str">
        <f t="shared" si="103"/>
        <v>1757.57575757576</v>
      </c>
      <c r="Q157" s="160" t="str">
        <f t="shared" si="104"/>
        <v>1+88.9415547230415i</v>
      </c>
      <c r="R157" s="160">
        <f t="shared" si="112"/>
        <v>88.947176214603829</v>
      </c>
      <c r="S157" s="160">
        <f t="shared" si="113"/>
        <v>1.5595534620984501</v>
      </c>
      <c r="T157" s="160" t="str">
        <f t="shared" si="105"/>
        <v>1+0.431854947788177i</v>
      </c>
      <c r="U157" s="160">
        <f t="shared" si="114"/>
        <v>1.0892652091796236</v>
      </c>
      <c r="V157" s="160">
        <f t="shared" si="115"/>
        <v>0.40766249281742206</v>
      </c>
      <c r="W157" s="98" t="str">
        <f t="shared" si="106"/>
        <v>1-0.000277942358509504i</v>
      </c>
      <c r="X157" s="160">
        <f t="shared" si="116"/>
        <v>1.0000000386259766</v>
      </c>
      <c r="Y157" s="160">
        <f t="shared" si="117"/>
        <v>-2.7794235135230748E-4</v>
      </c>
      <c r="Z157" s="98" t="str">
        <f t="shared" si="107"/>
        <v>0.999975897616557-0.00653382822720508i</v>
      </c>
      <c r="AA157" s="160">
        <f t="shared" si="118"/>
        <v>0.9999972433588713</v>
      </c>
      <c r="AB157" s="160">
        <f t="shared" si="119"/>
        <v>-6.5338927291321673E-3</v>
      </c>
      <c r="AC157" s="171" t="str">
        <f t="shared" si="120"/>
        <v>8.87782778074484-19.6074837593123i</v>
      </c>
      <c r="AD157" s="190">
        <f t="shared" si="121"/>
        <v>26.658334701507357</v>
      </c>
      <c r="AE157" s="169">
        <f t="shared" si="122"/>
        <v>-65.640051445546476</v>
      </c>
      <c r="AF157" s="98" t="str">
        <f t="shared" si="108"/>
        <v>-0.0000114342530449913</v>
      </c>
      <c r="AG157" s="98" t="str">
        <f t="shared" si="109"/>
        <v>0.000185157808864181i</v>
      </c>
      <c r="AH157" s="98">
        <f t="shared" si="123"/>
        <v>1.8515780886418099E-4</v>
      </c>
      <c r="AI157" s="98">
        <f t="shared" si="124"/>
        <v>1.5707963267948966</v>
      </c>
      <c r="AJ157" s="98" t="str">
        <f t="shared" si="110"/>
        <v>1+0.0016958663981686i</v>
      </c>
      <c r="AK157" s="98">
        <f t="shared" si="125"/>
        <v>1.0000014379803863</v>
      </c>
      <c r="AL157" s="98">
        <f t="shared" si="126"/>
        <v>1.6958647724218243E-3</v>
      </c>
      <c r="AM157" s="98" t="str">
        <f t="shared" si="111"/>
        <v>1+4.07177522200281i</v>
      </c>
      <c r="AN157" s="98">
        <f t="shared" si="127"/>
        <v>4.1927739574792282</v>
      </c>
      <c r="AO157" s="98">
        <f t="shared" si="128"/>
        <v>1.3299695923248176</v>
      </c>
      <c r="AP157" s="168" t="str">
        <f t="shared" si="129"/>
        <v>-0.251343347107923+0.062180340419429i</v>
      </c>
      <c r="AQ157" s="98">
        <f t="shared" si="130"/>
        <v>-11.736668179438714</v>
      </c>
      <c r="AR157" s="169">
        <f t="shared" si="131"/>
        <v>166.104478626862</v>
      </c>
      <c r="AS157" s="168" t="str">
        <f t="shared" si="132"/>
        <v>-1.01218293453765+5.48023695002157i</v>
      </c>
      <c r="AT157" s="190">
        <f t="shared" si="133"/>
        <v>14.921666522068644</v>
      </c>
      <c r="AU157" s="169">
        <f t="shared" si="134"/>
        <v>100.46442718131556</v>
      </c>
      <c r="AV157" s="225"/>
      <c r="AX157">
        <f t="shared" si="135"/>
        <v>0</v>
      </c>
      <c r="AY157">
        <f t="shared" si="136"/>
        <v>0</v>
      </c>
    </row>
    <row r="158" spans="14:51" x14ac:dyDescent="0.2">
      <c r="N158" s="170">
        <v>40</v>
      </c>
      <c r="O158" s="199">
        <f t="shared" si="102"/>
        <v>251.18864315095806</v>
      </c>
      <c r="P158" s="189" t="str">
        <f t="shared" si="103"/>
        <v>1757.57575757576</v>
      </c>
      <c r="Q158" s="160" t="str">
        <f t="shared" si="104"/>
        <v>1+91.0132696706439i</v>
      </c>
      <c r="R158" s="160">
        <f t="shared" si="112"/>
        <v>91.018763209249045</v>
      </c>
      <c r="S158" s="160">
        <f t="shared" si="113"/>
        <v>1.5598093601088026</v>
      </c>
      <c r="T158" s="160" t="str">
        <f t="shared" si="105"/>
        <v>1+0.441914141753415i</v>
      </c>
      <c r="U158" s="160">
        <f t="shared" si="114"/>
        <v>1.0932923253556925</v>
      </c>
      <c r="V158" s="160">
        <f t="shared" si="115"/>
        <v>0.41610941347614011</v>
      </c>
      <c r="W158" s="98" t="str">
        <f t="shared" si="106"/>
        <v>1-0.000284416467720761i</v>
      </c>
      <c r="X158" s="160">
        <f t="shared" si="116"/>
        <v>1.0000000404463627</v>
      </c>
      <c r="Y158" s="160">
        <f t="shared" si="117"/>
        <v>-2.844164600516868E-4</v>
      </c>
      <c r="Z158" s="98" t="str">
        <f t="shared" si="107"/>
        <v>0.999974761706221-0.00668602063766516i</v>
      </c>
      <c r="AA158" s="160">
        <f t="shared" si="118"/>
        <v>0.99999711345652431</v>
      </c>
      <c r="AB158" s="160">
        <f t="shared" si="119"/>
        <v>-6.6860897526976977E-3</v>
      </c>
      <c r="AC158" s="171" t="str">
        <f t="shared" si="120"/>
        <v>8.86787304549442-19.1587982339338i</v>
      </c>
      <c r="AD158" s="190">
        <f t="shared" si="121"/>
        <v>26.490413889051005</v>
      </c>
      <c r="AE158" s="169">
        <f t="shared" si="122"/>
        <v>-65.162391109898834</v>
      </c>
      <c r="AF158" s="98" t="str">
        <f t="shared" si="108"/>
        <v>-0.0000114342530449913</v>
      </c>
      <c r="AG158" s="98" t="str">
        <f t="shared" si="109"/>
        <v>0.000189470688276776i</v>
      </c>
      <c r="AH158" s="98">
        <f t="shared" si="123"/>
        <v>1.89470688276776E-4</v>
      </c>
      <c r="AI158" s="98">
        <f t="shared" si="124"/>
        <v>1.5707963267948966</v>
      </c>
      <c r="AJ158" s="98" t="str">
        <f t="shared" si="110"/>
        <v>1+0.00173536820109034i</v>
      </c>
      <c r="AK158" s="98">
        <f t="shared" si="125"/>
        <v>1.0000015057502631</v>
      </c>
      <c r="AL158" s="98">
        <f t="shared" si="126"/>
        <v>1.735366459071426E-3</v>
      </c>
      <c r="AM158" s="98" t="str">
        <f t="shared" si="111"/>
        <v>1+4.16661905081791i</v>
      </c>
      <c r="AN158" s="98">
        <f t="shared" si="127"/>
        <v>4.2849404096951851</v>
      </c>
      <c r="AO158" s="98">
        <f t="shared" si="128"/>
        <v>1.3352487527471379</v>
      </c>
      <c r="AP158" s="168" t="str">
        <f t="shared" si="129"/>
        <v>-0.251343313040961+0.060784574040575i</v>
      </c>
      <c r="AQ158" s="98">
        <f t="shared" si="130"/>
        <v>-11.747802019497973</v>
      </c>
      <c r="AR158" s="169">
        <f t="shared" si="131"/>
        <v>166.40468895850481</v>
      </c>
      <c r="AS158" s="168" t="str">
        <f t="shared" si="132"/>
        <v>-1.06432120110222+5.35446570771651i</v>
      </c>
      <c r="AT158" s="190">
        <f t="shared" si="133"/>
        <v>14.742611869553029</v>
      </c>
      <c r="AU158" s="169">
        <f t="shared" si="134"/>
        <v>101.242297848606</v>
      </c>
      <c r="AV158" s="225"/>
      <c r="AX158">
        <f t="shared" si="135"/>
        <v>0</v>
      </c>
      <c r="AY158">
        <f t="shared" si="136"/>
        <v>0</v>
      </c>
    </row>
    <row r="159" spans="14:51" x14ac:dyDescent="0.2">
      <c r="N159" s="170">
        <v>41</v>
      </c>
      <c r="O159" s="199">
        <f t="shared" si="102"/>
        <v>257.03957827688663</v>
      </c>
      <c r="P159" s="189" t="str">
        <f t="shared" si="103"/>
        <v>1757.57575757576</v>
      </c>
      <c r="Q159" s="160" t="str">
        <f t="shared" si="104"/>
        <v>1+93.1332410585282i</v>
      </c>
      <c r="R159" s="160">
        <f t="shared" si="112"/>
        <v>93.138609556219606</v>
      </c>
      <c r="S159" s="160">
        <f t="shared" si="113"/>
        <v>1.5600594345597747</v>
      </c>
      <c r="T159" s="160" t="str">
        <f t="shared" si="105"/>
        <v>1+0.452207644446032i</v>
      </c>
      <c r="U159" s="160">
        <f t="shared" si="114"/>
        <v>1.0974933957411448</v>
      </c>
      <c r="V159" s="160">
        <f t="shared" si="115"/>
        <v>0.42468828758145499</v>
      </c>
      <c r="W159" s="98" t="str">
        <f t="shared" si="106"/>
        <v>1-0.0002910413783079i</v>
      </c>
      <c r="X159" s="160">
        <f t="shared" si="116"/>
        <v>1.000000042352541</v>
      </c>
      <c r="Y159" s="160">
        <f t="shared" si="117"/>
        <v>-2.9104137009033898E-4</v>
      </c>
      <c r="Z159" s="98" t="str">
        <f t="shared" si="107"/>
        <v>0.99997357226208-0.00684175806476724i</v>
      </c>
      <c r="AA159" s="160">
        <f t="shared" si="118"/>
        <v>0.99999697743343297</v>
      </c>
      <c r="AB159" s="160">
        <f t="shared" si="119"/>
        <v>-6.8418321228279613E-3</v>
      </c>
      <c r="AC159" s="171" t="str">
        <f t="shared" si="120"/>
        <v>8.85836562338835-18.7202611149492i</v>
      </c>
      <c r="AD159" s="190">
        <f t="shared" si="121"/>
        <v>26.323751002302412</v>
      </c>
      <c r="AE159" s="169">
        <f t="shared" si="122"/>
        <v>-64.676642240179945</v>
      </c>
      <c r="AF159" s="98" t="str">
        <f t="shared" si="108"/>
        <v>-0.0000114342530449913</v>
      </c>
      <c r="AG159" s="98" t="str">
        <f t="shared" si="109"/>
        <v>0.000193884027556236i</v>
      </c>
      <c r="AH159" s="98">
        <f t="shared" si="123"/>
        <v>1.9388402755623601E-4</v>
      </c>
      <c r="AI159" s="98">
        <f t="shared" si="124"/>
        <v>1.5707963267948966</v>
      </c>
      <c r="AJ159" s="98" t="str">
        <f t="shared" si="110"/>
        <v>1+0.0017757901192026i</v>
      </c>
      <c r="AK159" s="98">
        <f t="shared" si="125"/>
        <v>1.0000015767140307</v>
      </c>
      <c r="AL159" s="98">
        <f t="shared" si="126"/>
        <v>1.7757882525958626E-3</v>
      </c>
      <c r="AM159" s="98" t="str">
        <f t="shared" si="111"/>
        <v>1+4.26367207620544i</v>
      </c>
      <c r="AN159" s="98">
        <f t="shared" si="127"/>
        <v>4.3793720524081996</v>
      </c>
      <c r="AO159" s="98">
        <f t="shared" si="128"/>
        <v>1.3404207035491618</v>
      </c>
      <c r="AP159" s="168" t="str">
        <f t="shared" si="129"/>
        <v>-0.251343277368482+0.0594210364418827i</v>
      </c>
      <c r="AQ159" s="98">
        <f t="shared" si="130"/>
        <v>-11.758461517363216</v>
      </c>
      <c r="AR159" s="169">
        <f t="shared" si="131"/>
        <v>166.6987039131408</v>
      </c>
      <c r="AS159" s="168" t="str">
        <f t="shared" si="132"/>
        <v>-1.11411332999777+5.23158504834796i</v>
      </c>
      <c r="AT159" s="190">
        <f t="shared" si="133"/>
        <v>14.565289484939187</v>
      </c>
      <c r="AU159" s="169">
        <f t="shared" si="134"/>
        <v>102.0220616729609</v>
      </c>
      <c r="AV159" s="225"/>
      <c r="AX159">
        <f t="shared" si="135"/>
        <v>0</v>
      </c>
      <c r="AY159">
        <f t="shared" si="136"/>
        <v>0</v>
      </c>
    </row>
    <row r="160" spans="14:51" x14ac:dyDescent="0.2">
      <c r="N160" s="170">
        <v>42</v>
      </c>
      <c r="O160" s="199">
        <f t="shared" si="102"/>
        <v>263.02679918953817</v>
      </c>
      <c r="P160" s="189" t="str">
        <f t="shared" si="103"/>
        <v>1757.57575757576</v>
      </c>
      <c r="Q160" s="160" t="str">
        <f t="shared" si="104"/>
        <v>1+95.302592923586i</v>
      </c>
      <c r="R160" s="160">
        <f t="shared" si="112"/>
        <v>95.307839226155707</v>
      </c>
      <c r="S160" s="160">
        <f t="shared" si="113"/>
        <v>1.5603038179189672</v>
      </c>
      <c r="T160" s="160" t="str">
        <f t="shared" si="105"/>
        <v>1+0.462740913617411i</v>
      </c>
      <c r="U160" s="160">
        <f t="shared" si="114"/>
        <v>1.1018752892843529</v>
      </c>
      <c r="V160" s="160">
        <f t="shared" si="115"/>
        <v>0.43339861168307703</v>
      </c>
      <c r="W160" s="98" t="str">
        <f t="shared" si="106"/>
        <v>1-0.000297820602886205i</v>
      </c>
      <c r="X160" s="160">
        <f t="shared" si="116"/>
        <v>1.0000000443485548</v>
      </c>
      <c r="Y160" s="160">
        <f t="shared" si="117"/>
        <v>-2.9782059408092976E-4</v>
      </c>
      <c r="Z160" s="98" t="str">
        <f t="shared" si="107"/>
        <v>0.999972326761163-0.00700112308255664i</v>
      </c>
      <c r="AA160" s="160">
        <f t="shared" si="118"/>
        <v>0.9999968350012669</v>
      </c>
      <c r="AB160" s="160">
        <f t="shared" si="119"/>
        <v>-7.0012024371637173E-3</v>
      </c>
      <c r="AC160" s="171" t="str">
        <f t="shared" si="120"/>
        <v>8.84928536218063-18.2916405407073i</v>
      </c>
      <c r="AD160" s="190">
        <f t="shared" si="121"/>
        <v>26.158385352202945</v>
      </c>
      <c r="AE160" s="169">
        <f t="shared" si="122"/>
        <v>-64.182836740562919</v>
      </c>
      <c r="AF160" s="98" t="str">
        <f t="shared" si="108"/>
        <v>-0.0000114342530449913</v>
      </c>
      <c r="AG160" s="98" t="str">
        <f t="shared" si="109"/>
        <v>0.000198400166713465i</v>
      </c>
      <c r="AH160" s="98">
        <f t="shared" si="123"/>
        <v>1.98400166713465E-4</v>
      </c>
      <c r="AI160" s="98">
        <f t="shared" si="124"/>
        <v>1.5707963267948966</v>
      </c>
      <c r="AJ160" s="98" t="str">
        <f t="shared" si="110"/>
        <v>1+0.00181715358474142i</v>
      </c>
      <c r="AK160" s="98">
        <f t="shared" si="125"/>
        <v>1.0000016510222123</v>
      </c>
      <c r="AL160" s="98">
        <f t="shared" si="126"/>
        <v>1.8171515846364438E-3</v>
      </c>
      <c r="AM160" s="98" t="str">
        <f t="shared" si="111"/>
        <v>1+4.36298575696415i</v>
      </c>
      <c r="AN160" s="98">
        <f t="shared" si="127"/>
        <v>4.4761193812801778</v>
      </c>
      <c r="AO160" s="98">
        <f t="shared" si="128"/>
        <v>1.3454870797207672</v>
      </c>
      <c r="AP160" s="168" t="str">
        <f t="shared" si="129"/>
        <v>-0.25134324001482+0.0580890046572697i</v>
      </c>
      <c r="AQ160" s="98">
        <f t="shared" si="130"/>
        <v>-11.768665794346107</v>
      </c>
      <c r="AR160" s="169">
        <f t="shared" si="131"/>
        <v>166.98661594084692</v>
      </c>
      <c r="AS160" s="168" t="str">
        <f t="shared" si="132"/>
        <v>-1.16166486218795+5.11152637730503i</v>
      </c>
      <c r="AT160" s="190">
        <f t="shared" si="133"/>
        <v>14.389719557856843</v>
      </c>
      <c r="AU160" s="169">
        <f t="shared" si="134"/>
        <v>102.803779200284</v>
      </c>
      <c r="AV160" s="225"/>
      <c r="AX160">
        <f t="shared" si="135"/>
        <v>0</v>
      </c>
      <c r="AY160">
        <f t="shared" si="136"/>
        <v>0</v>
      </c>
    </row>
    <row r="161" spans="14:51" x14ac:dyDescent="0.2">
      <c r="N161" s="170">
        <v>43</v>
      </c>
      <c r="O161" s="199">
        <f t="shared" si="102"/>
        <v>269.15348039269179</v>
      </c>
      <c r="P161" s="189" t="str">
        <f t="shared" si="103"/>
        <v>1757.57575757576</v>
      </c>
      <c r="Q161" s="160" t="str">
        <f t="shared" si="104"/>
        <v>1+97.5224754848911i</v>
      </c>
      <c r="R161" s="160">
        <f t="shared" si="112"/>
        <v>97.527602373385491</v>
      </c>
      <c r="S161" s="160">
        <f t="shared" si="113"/>
        <v>1.5605426396448419</v>
      </c>
      <c r="T161" s="160" t="str">
        <f t="shared" si="105"/>
        <v>1+0.473519534146291i</v>
      </c>
      <c r="U161" s="160">
        <f t="shared" si="114"/>
        <v>1.1064450954376908</v>
      </c>
      <c r="V161" s="160">
        <f t="shared" si="115"/>
        <v>0.44223971627879594</v>
      </c>
      <c r="W161" s="98" t="str">
        <f t="shared" si="106"/>
        <v>1-0.000304757735890284i</v>
      </c>
      <c r="X161" s="160">
        <f t="shared" si="116"/>
        <v>1.0000000464386378</v>
      </c>
      <c r="Y161" s="160">
        <f t="shared" si="117"/>
        <v>-3.0475772645526157E-4</v>
      </c>
      <c r="Z161" s="98" t="str">
        <f t="shared" si="107"/>
        <v>0.999971022561597-0.00716420018847526i</v>
      </c>
      <c r="AA161" s="160">
        <f t="shared" si="118"/>
        <v>0.9999966858581214</v>
      </c>
      <c r="AB161" s="160">
        <f t="shared" si="119"/>
        <v>-7.1642852184297693E-3</v>
      </c>
      <c r="AC161" s="171" t="str">
        <f t="shared" si="120"/>
        <v>8.84061301443459-17.8727098636188i</v>
      </c>
      <c r="AD161" s="190">
        <f t="shared" si="121"/>
        <v>25.994356671541127</v>
      </c>
      <c r="AE161" s="169">
        <f t="shared" si="122"/>
        <v>-63.68101575127227</v>
      </c>
      <c r="AF161" s="98" t="str">
        <f t="shared" si="108"/>
        <v>-0.0000114342530449913</v>
      </c>
      <c r="AG161" s="98" t="str">
        <f t="shared" si="109"/>
        <v>0.000203021500265222i</v>
      </c>
      <c r="AH161" s="98">
        <f t="shared" si="123"/>
        <v>2.03021500265222E-4</v>
      </c>
      <c r="AI161" s="98">
        <f t="shared" si="124"/>
        <v>1.5707963267948966</v>
      </c>
      <c r="AJ161" s="98" t="str">
        <f t="shared" si="110"/>
        <v>1+0.00185948052916375i</v>
      </c>
      <c r="AK161" s="98">
        <f t="shared" si="125"/>
        <v>1.0000017288324248</v>
      </c>
      <c r="AL161" s="98">
        <f t="shared" si="126"/>
        <v>1.8594783860128557E-3</v>
      </c>
      <c r="AM161" s="98" t="str">
        <f t="shared" si="111"/>
        <v>1+4.46461275052217i</v>
      </c>
      <c r="AN161" s="98">
        <f t="shared" si="127"/>
        <v>4.5752340936967517</v>
      </c>
      <c r="AO161" s="98">
        <f t="shared" si="128"/>
        <v>1.3504495267008643</v>
      </c>
      <c r="AP161" s="168" t="str">
        <f t="shared" si="129"/>
        <v>-0.251343200900748+0.0567877724254254i</v>
      </c>
      <c r="AQ161" s="98">
        <f t="shared" si="130"/>
        <v>-11.778433292787778</v>
      </c>
      <c r="AR161" s="169">
        <f t="shared" si="131"/>
        <v>167.26851806178473</v>
      </c>
      <c r="AS161" s="168" t="str">
        <f t="shared" si="132"/>
        <v>-1.20707659261196+4.99422282585729i</v>
      </c>
      <c r="AT161" s="190">
        <f t="shared" si="133"/>
        <v>14.215923378753354</v>
      </c>
      <c r="AU161" s="169">
        <f t="shared" si="134"/>
        <v>103.58750231051245</v>
      </c>
      <c r="AV161" s="225"/>
      <c r="AX161">
        <f t="shared" si="135"/>
        <v>0</v>
      </c>
      <c r="AY161">
        <f t="shared" si="136"/>
        <v>0</v>
      </c>
    </row>
    <row r="162" spans="14:51" x14ac:dyDescent="0.2">
      <c r="N162" s="170">
        <v>44</v>
      </c>
      <c r="O162" s="199">
        <f t="shared" si="102"/>
        <v>275.42287033381683</v>
      </c>
      <c r="P162" s="189" t="str">
        <f t="shared" si="103"/>
        <v>1757.57575757576</v>
      </c>
      <c r="Q162" s="160" t="str">
        <f t="shared" si="104"/>
        <v>1+99.7940657535609i</v>
      </c>
      <c r="R162" s="160">
        <f t="shared" si="112"/>
        <v>99.799075945752307</v>
      </c>
      <c r="S162" s="160">
        <f t="shared" si="113"/>
        <v>1.5607760262548052</v>
      </c>
      <c r="T162" s="160" t="str">
        <f t="shared" si="105"/>
        <v>1+0.484549220999948i</v>
      </c>
      <c r="U162" s="160">
        <f t="shared" si="114"/>
        <v>1.1112101275508861</v>
      </c>
      <c r="V162" s="160">
        <f t="shared" si="115"/>
        <v>0.45121075949613548</v>
      </c>
      <c r="W162" s="98" t="str">
        <f t="shared" si="106"/>
        <v>1-0.000311856455479877i</v>
      </c>
      <c r="X162" s="160">
        <f t="shared" si="116"/>
        <v>1.0000000486272231</v>
      </c>
      <c r="Y162" s="160">
        <f t="shared" si="117"/>
        <v>-3.1185644537006836E-4</v>
      </c>
      <c r="Z162" s="98" t="str">
        <f t="shared" si="107"/>
        <v>0.999969656896999-0.00733107584816321i</v>
      </c>
      <c r="AA162" s="160">
        <f t="shared" si="118"/>
        <v>0.99999652968787511</v>
      </c>
      <c r="AB162" s="160">
        <f t="shared" si="119"/>
        <v>-7.3311669593573063E-3</v>
      </c>
      <c r="AC162" s="171" t="str">
        <f t="shared" si="120"/>
        <v>8.83233019680703-17.4632475329077i</v>
      </c>
      <c r="AD162" s="190">
        <f t="shared" si="121"/>
        <v>25.831705054683223</v>
      </c>
      <c r="AE162" s="169">
        <f t="shared" si="122"/>
        <v>-63.171230012035821</v>
      </c>
      <c r="AF162" s="98" t="str">
        <f t="shared" si="108"/>
        <v>-0.0000114342530449913</v>
      </c>
      <c r="AG162" s="98" t="str">
        <f t="shared" si="109"/>
        <v>0.000207750478503727i</v>
      </c>
      <c r="AH162" s="98">
        <f t="shared" si="123"/>
        <v>2.0775047850372699E-4</v>
      </c>
      <c r="AI162" s="98">
        <f t="shared" si="124"/>
        <v>1.5707963267948966</v>
      </c>
      <c r="AJ162" s="98" t="str">
        <f t="shared" si="110"/>
        <v>1+0.00190279339477578i</v>
      </c>
      <c r="AK162" s="98">
        <f t="shared" si="125"/>
        <v>1.000001810309713</v>
      </c>
      <c r="AL162" s="98">
        <f t="shared" si="126"/>
        <v>1.9027910983484473E-3</v>
      </c>
      <c r="AM162" s="98" t="str">
        <f t="shared" si="111"/>
        <v>1+4.56860694085665i</v>
      </c>
      <c r="AN162" s="98">
        <f t="shared" si="127"/>
        <v>4.6767691176755308</v>
      </c>
      <c r="AO162" s="98">
        <f t="shared" si="128"/>
        <v>1.3553096975663521</v>
      </c>
      <c r="AP162" s="168" t="str">
        <f t="shared" si="129"/>
        <v>-0.251343159943299+0.0555166498153387i</v>
      </c>
      <c r="AQ162" s="98">
        <f t="shared" si="130"/>
        <v>-11.78778179243082</v>
      </c>
      <c r="AR162" s="169">
        <f t="shared" si="131"/>
        <v>167.54450370447353</v>
      </c>
      <c r="AS162" s="168" t="str">
        <f t="shared" si="132"/>
        <v>-1.25044478340508+4.87960920038262i</v>
      </c>
      <c r="AT162" s="190">
        <f t="shared" si="133"/>
        <v>14.043923262252404</v>
      </c>
      <c r="AU162" s="169">
        <f t="shared" si="134"/>
        <v>104.37327369243765</v>
      </c>
      <c r="AV162" s="225"/>
      <c r="AX162">
        <f t="shared" si="135"/>
        <v>0</v>
      </c>
      <c r="AY162">
        <f t="shared" si="136"/>
        <v>0</v>
      </c>
    </row>
    <row r="163" spans="14:51" x14ac:dyDescent="0.2">
      <c r="N163" s="170">
        <v>45</v>
      </c>
      <c r="O163" s="199">
        <f t="shared" si="102"/>
        <v>281.83829312644554</v>
      </c>
      <c r="P163" s="189" t="str">
        <f t="shared" si="103"/>
        <v>1757.57575757576</v>
      </c>
      <c r="Q163" s="160" t="str">
        <f t="shared" si="104"/>
        <v>1+102.118568156824i</v>
      </c>
      <c r="R163" s="160">
        <f t="shared" si="112"/>
        <v>102.12346430864901</v>
      </c>
      <c r="S163" s="160">
        <f t="shared" si="113"/>
        <v>1.5610041013917695</v>
      </c>
      <c r="T163" s="160" t="str">
        <f t="shared" si="105"/>
        <v>1+0.495835822264345i</v>
      </c>
      <c r="U163" s="160">
        <f t="shared" si="114"/>
        <v>1.1161779260675957</v>
      </c>
      <c r="V163" s="160">
        <f t="shared" si="115"/>
        <v>0.46031072101906878</v>
      </c>
      <c r="W163" s="98" t="str">
        <f t="shared" si="106"/>
        <v>1-0.000319120525490073i</v>
      </c>
      <c r="X163" s="160">
        <f t="shared" si="116"/>
        <v>1.0000000509189537</v>
      </c>
      <c r="Y163" s="160">
        <f t="shared" si="117"/>
        <v>-3.1912051465721788E-4</v>
      </c>
      <c r="Z163" s="98" t="str">
        <f t="shared" si="107"/>
        <v>0.999968226870611-0.00750183854130409i</v>
      </c>
      <c r="AA163" s="160">
        <f t="shared" si="118"/>
        <v>0.99999636615952447</v>
      </c>
      <c r="AB163" s="160">
        <f t="shared" si="119"/>
        <v>-7.5019361686584768E-3</v>
      </c>
      <c r="AC163" s="171" t="str">
        <f t="shared" si="120"/>
        <v>8.82441935115525-17.0630369798683i</v>
      </c>
      <c r="AD163" s="190">
        <f t="shared" si="121"/>
        <v>25.67047089233856</v>
      </c>
      <c r="AE163" s="169">
        <f t="shared" si="122"/>
        <v>-62.653540211348762</v>
      </c>
      <c r="AF163" s="98" t="str">
        <f t="shared" si="108"/>
        <v>-0.0000114342530449913</v>
      </c>
      <c r="AG163" s="98" t="str">
        <f t="shared" si="109"/>
        <v>0.000212589608795837i</v>
      </c>
      <c r="AH163" s="98">
        <f t="shared" si="123"/>
        <v>2.1258960879583699E-4</v>
      </c>
      <c r="AI163" s="98">
        <f t="shared" si="124"/>
        <v>1.5707963267948966</v>
      </c>
      <c r="AJ163" s="98" t="str">
        <f t="shared" si="110"/>
        <v>1+0.00194711514663216i</v>
      </c>
      <c r="AK163" s="98">
        <f t="shared" si="125"/>
        <v>1.0000018956269003</v>
      </c>
      <c r="AL163" s="98">
        <f t="shared" si="126"/>
        <v>1.9471126859661918E-3</v>
      </c>
      <c r="AM163" s="98" t="str">
        <f t="shared" si="111"/>
        <v>1+4.67502346706382i</v>
      </c>
      <c r="AN163" s="98">
        <f t="shared" si="127"/>
        <v>4.7807786413509481</v>
      </c>
      <c r="AO163" s="98">
        <f t="shared" si="128"/>
        <v>1.3600692503981666</v>
      </c>
      <c r="AP163" s="168" t="str">
        <f t="shared" si="129"/>
        <v>-0.2513431170556+0.0542749628604862i</v>
      </c>
      <c r="AQ163" s="98">
        <f t="shared" si="130"/>
        <v>-11.796728427092578</v>
      </c>
      <c r="AR163" s="169">
        <f t="shared" si="131"/>
        <v>167.81466655419428</v>
      </c>
      <c r="AS163" s="168" t="str">
        <f t="shared" si="132"/>
        <v>-1.29186136755566+4.76762193350438i</v>
      </c>
      <c r="AT163" s="190">
        <f t="shared" si="133"/>
        <v>13.873742465245984</v>
      </c>
      <c r="AU163" s="169">
        <f t="shared" si="134"/>
        <v>105.16112634284548</v>
      </c>
      <c r="AV163" s="225"/>
      <c r="AX163">
        <f t="shared" si="135"/>
        <v>0</v>
      </c>
      <c r="AY163">
        <f t="shared" si="136"/>
        <v>0</v>
      </c>
    </row>
    <row r="164" spans="14:51" x14ac:dyDescent="0.2">
      <c r="N164" s="170">
        <v>46</v>
      </c>
      <c r="O164" s="199">
        <f t="shared" si="102"/>
        <v>288.40315031266073</v>
      </c>
      <c r="P164" s="189" t="str">
        <f t="shared" si="103"/>
        <v>1757.57575757576</v>
      </c>
      <c r="Q164" s="160" t="str">
        <f t="shared" si="104"/>
        <v>1+104.497215176622i</v>
      </c>
      <c r="R164" s="160">
        <f t="shared" si="112"/>
        <v>104.50199988358712</v>
      </c>
      <c r="S164" s="160">
        <f t="shared" si="113"/>
        <v>1.5612269858892238</v>
      </c>
      <c r="T164" s="160" t="str">
        <f t="shared" si="105"/>
        <v>1+0.50738532224487i</v>
      </c>
      <c r="U164" s="160">
        <f t="shared" si="114"/>
        <v>1.1213562615108235</v>
      </c>
      <c r="V164" s="160">
        <f t="shared" si="115"/>
        <v>0.46953839630996563</v>
      </c>
      <c r="W164" s="98" t="str">
        <f t="shared" si="106"/>
        <v>1-0.000326553797426944i</v>
      </c>
      <c r="X164" s="160">
        <f t="shared" si="116"/>
        <v>1.0000000533186899</v>
      </c>
      <c r="Y164" s="160">
        <f t="shared" si="117"/>
        <v>-3.2655378581933066E-4</v>
      </c>
      <c r="Z164" s="98" t="str">
        <f t="shared" si="107"/>
        <v>0.999966729449156-0.00767657880853815i</v>
      </c>
      <c r="AA164" s="160">
        <f t="shared" si="118"/>
        <v>0.99999619492648328</v>
      </c>
      <c r="AB164" s="160">
        <f t="shared" si="119"/>
        <v>-7.6766834180781018E-3</v>
      </c>
      <c r="AC164" s="171" t="str">
        <f t="shared" si="120"/>
        <v>8.81686370738612-16.6718665055833i</v>
      </c>
      <c r="AD164" s="190">
        <f t="shared" si="121"/>
        <v>25.510694801358461</v>
      </c>
      <c r="AE164" s="169">
        <f t="shared" si="122"/>
        <v>-62.128017318678602</v>
      </c>
      <c r="AF164" s="98" t="str">
        <f t="shared" si="108"/>
        <v>-0.0000114342530449913</v>
      </c>
      <c r="AG164" s="98" t="str">
        <f t="shared" si="109"/>
        <v>0.000217541456912487i</v>
      </c>
      <c r="AH164" s="98">
        <f t="shared" si="123"/>
        <v>2.1754145691248701E-4</v>
      </c>
      <c r="AI164" s="98">
        <f t="shared" si="124"/>
        <v>1.5707963267948966</v>
      </c>
      <c r="AJ164" s="98" t="str">
        <f t="shared" si="110"/>
        <v>1+0.0019924692847124i</v>
      </c>
      <c r="AK164" s="98">
        <f t="shared" si="125"/>
        <v>1.0000019849649553</v>
      </c>
      <c r="AL164" s="98">
        <f t="shared" si="126"/>
        <v>1.992466648061594E-3</v>
      </c>
      <c r="AM164" s="98" t="str">
        <f t="shared" si="111"/>
        <v>1+4.78391875259448i</v>
      </c>
      <c r="AN164" s="98">
        <f t="shared" si="127"/>
        <v>4.8873181430540331</v>
      </c>
      <c r="AO164" s="98">
        <f t="shared" si="128"/>
        <v>1.3647298458181885</v>
      </c>
      <c r="AP164" s="168" t="str">
        <f t="shared" si="129"/>
        <v>-0.251343072146681+0.0530620532014832i</v>
      </c>
      <c r="AQ164" s="98">
        <f t="shared" si="130"/>
        <v>-11.805289701560183</v>
      </c>
      <c r="AR164" s="169">
        <f t="shared" si="131"/>
        <v>168.07910041116725</v>
      </c>
      <c r="AS164" s="168" t="str">
        <f t="shared" si="132"/>
        <v>-1.33141414342572+4.65819903704421i</v>
      </c>
      <c r="AT164" s="190">
        <f t="shared" si="133"/>
        <v>13.705405099798291</v>
      </c>
      <c r="AU164" s="169">
        <f t="shared" si="134"/>
        <v>105.95108309248867</v>
      </c>
      <c r="AV164" s="225"/>
      <c r="AX164">
        <f t="shared" si="135"/>
        <v>0</v>
      </c>
      <c r="AY164">
        <f t="shared" si="136"/>
        <v>0</v>
      </c>
    </row>
    <row r="165" spans="14:51" x14ac:dyDescent="0.2">
      <c r="N165" s="170">
        <v>47</v>
      </c>
      <c r="O165" s="199">
        <f t="shared" si="102"/>
        <v>295.12092266663871</v>
      </c>
      <c r="P165" s="189" t="str">
        <f t="shared" si="103"/>
        <v>1757.57575757576</v>
      </c>
      <c r="Q165" s="160" t="str">
        <f t="shared" si="104"/>
        <v>1+106.931268003091i</v>
      </c>
      <c r="R165" s="160">
        <f t="shared" si="112"/>
        <v>106.93594380164639</v>
      </c>
      <c r="S165" s="160">
        <f t="shared" si="113"/>
        <v>1.56144479783485</v>
      </c>
      <c r="T165" s="160" t="str">
        <f t="shared" si="105"/>
        <v>1+0.519203844639287i</v>
      </c>
      <c r="U165" s="160">
        <f t="shared" si="114"/>
        <v>1.1267531372435655</v>
      </c>
      <c r="V165" s="160">
        <f t="shared" si="115"/>
        <v>0.4788923911788005</v>
      </c>
      <c r="W165" s="98" t="str">
        <f t="shared" si="106"/>
        <v>1-0.00033416021250966i</v>
      </c>
      <c r="X165" s="160">
        <f t="shared" si="116"/>
        <v>1.0000000558315223</v>
      </c>
      <c r="Y165" s="160">
        <f t="shared" si="117"/>
        <v>-3.3416020007187824E-4</v>
      </c>
      <c r="Z165" s="98" t="str">
        <f t="shared" si="107"/>
        <v>0.999965161456402-0.00785538929946803i</v>
      </c>
      <c r="AA165" s="160">
        <f t="shared" si="118"/>
        <v>0.9999960156258495</v>
      </c>
      <c r="AB165" s="160">
        <f t="shared" si="119"/>
        <v>-7.8555013905478952E-3</v>
      </c>
      <c r="AC165" s="171" t="str">
        <f t="shared" si="120"/>
        <v>8.80964724796749-16.2895291710524i</v>
      </c>
      <c r="AD165" s="190">
        <f t="shared" si="121"/>
        <v>25.352417549602443</v>
      </c>
      <c r="AE165" s="169">
        <f t="shared" si="122"/>
        <v>-61.594742896629427</v>
      </c>
      <c r="AF165" s="98" t="str">
        <f t="shared" si="108"/>
        <v>-0.0000114342530449913</v>
      </c>
      <c r="AG165" s="98" t="str">
        <f t="shared" si="109"/>
        <v>0.000222608648389094i</v>
      </c>
      <c r="AH165" s="98">
        <f t="shared" si="123"/>
        <v>2.22608648389094E-4</v>
      </c>
      <c r="AI165" s="98">
        <f t="shared" si="124"/>
        <v>1.5707963267948966</v>
      </c>
      <c r="AJ165" s="98" t="str">
        <f t="shared" si="110"/>
        <v>1+0.00203887985638085i</v>
      </c>
      <c r="AK165" s="98">
        <f t="shared" si="125"/>
        <v>1.0000020785133743</v>
      </c>
      <c r="AL165" s="98">
        <f t="shared" si="126"/>
        <v>2.0388770311589271E-3</v>
      </c>
      <c r="AM165" s="98" t="str">
        <f t="shared" si="111"/>
        <v>1+4.89535053517042i</v>
      </c>
      <c r="AN165" s="98">
        <f t="shared" si="127"/>
        <v>4.9964444220058439</v>
      </c>
      <c r="AO165" s="98">
        <f t="shared" si="128"/>
        <v>1.3692931446906316</v>
      </c>
      <c r="AP165" s="168" t="str">
        <f t="shared" si="129"/>
        <v>-0.251343025121286+0.0518772777370104i</v>
      </c>
      <c r="AQ165" s="98">
        <f t="shared" si="130"/>
        <v>-11.813481508632455</v>
      </c>
      <c r="AR165" s="169">
        <f t="shared" si="131"/>
        <v>168.33789905813799</v>
      </c>
      <c r="AS165" s="168" t="str">
        <f t="shared" si="132"/>
        <v>-1.36918696054374+4.55128005670164i</v>
      </c>
      <c r="AT165" s="190">
        <f t="shared" si="133"/>
        <v>13.538936040969977</v>
      </c>
      <c r="AU165" s="169">
        <f t="shared" si="134"/>
        <v>106.74315616150852</v>
      </c>
      <c r="AV165" s="225"/>
      <c r="AX165">
        <f t="shared" si="135"/>
        <v>0</v>
      </c>
      <c r="AY165">
        <f t="shared" si="136"/>
        <v>0</v>
      </c>
    </row>
    <row r="166" spans="14:51" x14ac:dyDescent="0.2">
      <c r="N166" s="170">
        <v>48</v>
      </c>
      <c r="O166" s="199">
        <f t="shared" si="102"/>
        <v>301.99517204020168</v>
      </c>
      <c r="P166" s="189" t="str">
        <f t="shared" si="103"/>
        <v>1757.57575757576</v>
      </c>
      <c r="Q166" s="160" t="str">
        <f t="shared" si="104"/>
        <v>1+109.422017203259i</v>
      </c>
      <c r="R166" s="160">
        <f t="shared" si="112"/>
        <v>109.42658657214119</v>
      </c>
      <c r="S166" s="160">
        <f t="shared" si="113"/>
        <v>1.5616576526327091</v>
      </c>
      <c r="T166" s="160" t="str">
        <f t="shared" si="105"/>
        <v>1+0.531297655784608i</v>
      </c>
      <c r="U166" s="160">
        <f t="shared" si="114"/>
        <v>1.1323767919920558</v>
      </c>
      <c r="V166" s="160">
        <f t="shared" si="115"/>
        <v>0.48837111675321038</v>
      </c>
      <c r="W166" s="98" t="str">
        <f t="shared" si="106"/>
        <v>1-0.000341943803760183i</v>
      </c>
      <c r="X166" s="160">
        <f t="shared" si="116"/>
        <v>1.0000000584627808</v>
      </c>
      <c r="Y166" s="160">
        <f t="shared" si="117"/>
        <v>-3.4194379043285983E-4</v>
      </c>
      <c r="Z166" s="98" t="str">
        <f t="shared" si="107"/>
        <v>0.999963519566426-0.00803836482178285i</v>
      </c>
      <c r="AA166" s="160">
        <f t="shared" si="118"/>
        <v>0.99999582787763786</v>
      </c>
      <c r="AB166" s="160">
        <f t="shared" si="119"/>
        <v>-8.0384849294696369E-3</v>
      </c>
      <c r="AC166" s="171" t="str">
        <f t="shared" si="120"/>
        <v>8.80275467402978-15.9158226896885i</v>
      </c>
      <c r="AD166" s="190">
        <f t="shared" si="121"/>
        <v>25.195679975949659</v>
      </c>
      <c r="AE166" s="169">
        <f t="shared" si="122"/>
        <v>-61.053809389996168</v>
      </c>
      <c r="AF166" s="98" t="str">
        <f t="shared" si="108"/>
        <v>-0.0000114342530449913</v>
      </c>
      <c r="AG166" s="98" t="str">
        <f t="shared" si="109"/>
        <v>0.00022779386991765i</v>
      </c>
      <c r="AH166" s="98">
        <f t="shared" si="123"/>
        <v>2.2779386991764999E-4</v>
      </c>
      <c r="AI166" s="98">
        <f t="shared" si="124"/>
        <v>1.5707963267948966</v>
      </c>
      <c r="AJ166" s="98" t="str">
        <f t="shared" si="110"/>
        <v>1+0.00208637146913691i</v>
      </c>
      <c r="AK166" s="98">
        <f t="shared" si="125"/>
        <v>1.0000021764705851</v>
      </c>
      <c r="AL166" s="98">
        <f t="shared" si="126"/>
        <v>2.0863684418574338E-3</v>
      </c>
      <c r="AM166" s="98" t="str">
        <f t="shared" si="111"/>
        <v>1+5.00937789739773i</v>
      </c>
      <c r="AN166" s="98">
        <f t="shared" si="127"/>
        <v>5.1082156296437704</v>
      </c>
      <c r="AO166" s="98">
        <f t="shared" si="128"/>
        <v>1.3737608059814312</v>
      </c>
      <c r="AP166" s="168" t="str">
        <f t="shared" si="129"/>
        <v>-0.251342975879672+0.0507200082828314i</v>
      </c>
      <c r="AQ166" s="98">
        <f t="shared" si="130"/>
        <v>-11.821319146241782</v>
      </c>
      <c r="AR166" s="169">
        <f t="shared" si="131"/>
        <v>168.59115613699859</v>
      </c>
      <c r="AS166" s="168" t="str">
        <f t="shared" si="132"/>
        <v>-1.40525989706026+4.44680602837804i</v>
      </c>
      <c r="AT166" s="190">
        <f t="shared" si="133"/>
        <v>13.374360829707888</v>
      </c>
      <c r="AU166" s="169">
        <f t="shared" si="134"/>
        <v>107.5373467470024</v>
      </c>
      <c r="AV166" s="225"/>
      <c r="AX166">
        <f t="shared" si="135"/>
        <v>0</v>
      </c>
      <c r="AY166">
        <f t="shared" si="136"/>
        <v>0</v>
      </c>
    </row>
    <row r="167" spans="14:51" x14ac:dyDescent="0.2">
      <c r="N167" s="170">
        <v>49</v>
      </c>
      <c r="O167" s="199">
        <f t="shared" si="102"/>
        <v>309.02954325135937</v>
      </c>
      <c r="P167" s="189" t="str">
        <f t="shared" si="103"/>
        <v>1757.57575757576</v>
      </c>
      <c r="Q167" s="160" t="str">
        <f t="shared" si="104"/>
        <v>1+111.970783405319i</v>
      </c>
      <c r="R167" s="160">
        <f t="shared" si="112"/>
        <v>111.97524876686303</v>
      </c>
      <c r="S167" s="160">
        <f t="shared" si="113"/>
        <v>1.5618656630640377</v>
      </c>
      <c r="T167" s="160" t="str">
        <f t="shared" si="105"/>
        <v>1+0.543673167979581i</v>
      </c>
      <c r="U167" s="160">
        <f t="shared" si="114"/>
        <v>1.1382357021201512</v>
      </c>
      <c r="V167" s="160">
        <f t="shared" si="115"/>
        <v>0.49797278490405994</v>
      </c>
      <c r="W167" s="98" t="str">
        <f t="shared" si="106"/>
        <v>1-0.00034990869814162i</v>
      </c>
      <c r="X167" s="160">
        <f t="shared" si="116"/>
        <v>1.0000000612180466</v>
      </c>
      <c r="Y167" s="160">
        <f t="shared" si="117"/>
        <v>-3.4990868386113592E-4</v>
      </c>
      <c r="Z167" s="98" t="str">
        <f t="shared" si="107"/>
        <v>0.999961800296559-0.00822560239152652i</v>
      </c>
      <c r="AA167" s="160">
        <f t="shared" si="118"/>
        <v>0.9999956312839765</v>
      </c>
      <c r="AB167" s="160">
        <f t="shared" si="119"/>
        <v>-8.2257310891539429E-3</v>
      </c>
      <c r="AC167" s="171" t="str">
        <f t="shared" si="120"/>
        <v>8.79617137298481-15.5505493221309i</v>
      </c>
      <c r="AD167" s="190">
        <f t="shared" si="121"/>
        <v>25.040522905573845</v>
      </c>
      <c r="AE167" s="169">
        <f t="shared" si="122"/>
        <v>-60.505320388574773</v>
      </c>
      <c r="AF167" s="98" t="str">
        <f t="shared" si="108"/>
        <v>-0.0000114342530449913</v>
      </c>
      <c r="AG167" s="98" t="str">
        <f t="shared" si="109"/>
        <v>0.000233099870771245i</v>
      </c>
      <c r="AH167" s="98">
        <f t="shared" si="123"/>
        <v>2.33099870771245E-4</v>
      </c>
      <c r="AI167" s="98">
        <f t="shared" si="124"/>
        <v>1.5707963267948966</v>
      </c>
      <c r="AJ167" s="98" t="str">
        <f t="shared" si="110"/>
        <v>1+0.0021349693036623i</v>
      </c>
      <c r="AK167" s="98">
        <f t="shared" si="125"/>
        <v>1.0000022790443668</v>
      </c>
      <c r="AL167" s="98">
        <f t="shared" si="126"/>
        <v>2.1349660598742985E-3</v>
      </c>
      <c r="AM167" s="98" t="str">
        <f t="shared" si="111"/>
        <v>1+5.12606129809319i</v>
      </c>
      <c r="AN167" s="98">
        <f t="shared" si="127"/>
        <v>5.2226913016000518</v>
      </c>
      <c r="AO167" s="98">
        <f t="shared" si="128"/>
        <v>1.3781344847690864</v>
      </c>
      <c r="AP167" s="168" t="str">
        <f t="shared" si="129"/>
        <v>-0.251342924317393+0.0495896312387163i</v>
      </c>
      <c r="AQ167" s="98">
        <f t="shared" si="130"/>
        <v>-11.828817334594932</v>
      </c>
      <c r="AR167" s="169">
        <f t="shared" si="131"/>
        <v>168.83896503407036</v>
      </c>
      <c r="AS167" s="168" t="str">
        <f t="shared" si="132"/>
        <v>-1.439709429239+4.3447194360651i</v>
      </c>
      <c r="AT167" s="190">
        <f t="shared" si="133"/>
        <v>13.211705570978904</v>
      </c>
      <c r="AU167" s="169">
        <f t="shared" si="134"/>
        <v>108.33364464549562</v>
      </c>
      <c r="AV167" s="225"/>
      <c r="AX167">
        <f t="shared" si="135"/>
        <v>0</v>
      </c>
      <c r="AY167">
        <f t="shared" si="136"/>
        <v>0</v>
      </c>
    </row>
    <row r="168" spans="14:51" x14ac:dyDescent="0.2">
      <c r="N168" s="170">
        <v>50</v>
      </c>
      <c r="O168" s="199">
        <f t="shared" si="102"/>
        <v>316.22776601683825</v>
      </c>
      <c r="P168" s="189" t="str">
        <f t="shared" si="103"/>
        <v>1757.57575757576</v>
      </c>
      <c r="Q168" s="160" t="str">
        <f t="shared" si="104"/>
        <v>1+114.578917998849i</v>
      </c>
      <c r="R168" s="160">
        <f t="shared" si="112"/>
        <v>114.58328172027088</v>
      </c>
      <c r="S168" s="160">
        <f t="shared" si="113"/>
        <v>1.562068939346676</v>
      </c>
      <c r="T168" s="160" t="str">
        <f t="shared" si="105"/>
        <v>1+0.556336942884582i</v>
      </c>
      <c r="U168" s="160">
        <f t="shared" si="114"/>
        <v>1.1443385836447895</v>
      </c>
      <c r="V168" s="160">
        <f t="shared" si="115"/>
        <v>0.50769540418184067</v>
      </c>
      <c r="W168" s="98" t="str">
        <f t="shared" si="106"/>
        <v>1-0.000358059118746401i</v>
      </c>
      <c r="X168" s="160">
        <f t="shared" si="116"/>
        <v>1.0000000641031641</v>
      </c>
      <c r="Y168" s="160">
        <f t="shared" si="117"/>
        <v>-3.580591034445867E-4</v>
      </c>
      <c r="Z168" s="98" t="str">
        <f t="shared" si="107"/>
        <v>0.99996-0.00841720128453689i</v>
      </c>
      <c r="AA168" s="160">
        <f t="shared" si="118"/>
        <v>0.9999954254282688</v>
      </c>
      <c r="AB168" s="160">
        <f t="shared" si="119"/>
        <v>-8.4173391864420521E-3</v>
      </c>
      <c r="AC168" s="171" t="str">
        <f t="shared" si="120"/>
        <v>8.78988338759343-15.1935157733319i</v>
      </c>
      <c r="AD168" s="190">
        <f t="shared" si="121"/>
        <v>24.886987060648842</v>
      </c>
      <c r="AE168" s="169">
        <f t="shared" si="122"/>
        <v>-59.94939086056398</v>
      </c>
      <c r="AF168" s="98" t="str">
        <f t="shared" si="108"/>
        <v>-0.0000114342530449913</v>
      </c>
      <c r="AG168" s="98" t="str">
        <f t="shared" si="109"/>
        <v>0.000238529464261765i</v>
      </c>
      <c r="AH168" s="98">
        <f t="shared" si="123"/>
        <v>2.3852946426176501E-4</v>
      </c>
      <c r="AI168" s="98">
        <f t="shared" si="124"/>
        <v>1.5707963267948966</v>
      </c>
      <c r="AJ168" s="98" t="str">
        <f t="shared" si="110"/>
        <v>1+0.00218469912717215i</v>
      </c>
      <c r="AK168" s="98">
        <f t="shared" si="125"/>
        <v>1.0000023864522907</v>
      </c>
      <c r="AL168" s="98">
        <f t="shared" si="126"/>
        <v>2.1846956513911324E-3</v>
      </c>
      <c r="AM168" s="98" t="str">
        <f t="shared" si="111"/>
        <v>1+5.24546260434034i</v>
      </c>
      <c r="AN168" s="98">
        <f t="shared" si="127"/>
        <v>5.339932390352236</v>
      </c>
      <c r="AO168" s="98">
        <f t="shared" si="128"/>
        <v>1.3824158304004033</v>
      </c>
      <c r="AP168" s="168" t="str">
        <f t="shared" si="129"/>
        <v>-0.251342870325081+0.0484855472631014i</v>
      </c>
      <c r="AQ168" s="98">
        <f t="shared" si="130"/>
        <v>-11.83599023327721</v>
      </c>
      <c r="AR168" s="169">
        <f t="shared" si="131"/>
        <v>169.0814187736708</v>
      </c>
      <c r="AS168" s="168" t="str">
        <f t="shared" si="132"/>
        <v>-1.47260859333992+4.24496417122494i</v>
      </c>
      <c r="AT168" s="190">
        <f t="shared" si="133"/>
        <v>13.050996827371623</v>
      </c>
      <c r="AU168" s="169">
        <f t="shared" si="134"/>
        <v>109.13202791310685</v>
      </c>
      <c r="AV168" s="225"/>
      <c r="AX168">
        <f t="shared" si="135"/>
        <v>0</v>
      </c>
      <c r="AY168">
        <f t="shared" si="136"/>
        <v>0</v>
      </c>
    </row>
    <row r="169" spans="14:51" x14ac:dyDescent="0.2">
      <c r="N169" s="170">
        <v>51</v>
      </c>
      <c r="O169" s="199">
        <f t="shared" si="102"/>
        <v>323.59365692962825</v>
      </c>
      <c r="P169" s="189" t="str">
        <f t="shared" si="103"/>
        <v>1757.57575757576</v>
      </c>
      <c r="Q169" s="160" t="str">
        <f t="shared" si="104"/>
        <v>1+117.247803851333i</v>
      </c>
      <c r="R169" s="160">
        <f t="shared" si="112"/>
        <v>117.252068245983</v>
      </c>
      <c r="S169" s="160">
        <f t="shared" si="113"/>
        <v>1.5622675891931643</v>
      </c>
      <c r="T169" s="160" t="str">
        <f t="shared" si="105"/>
        <v>1+0.56929569500069i</v>
      </c>
      <c r="U169" s="160">
        <f t="shared" si="114"/>
        <v>1.1506943939840493</v>
      </c>
      <c r="V169" s="160">
        <f t="shared" si="115"/>
        <v>0.51753677631929973</v>
      </c>
      <c r="W169" s="98" t="str">
        <f t="shared" si="106"/>
        <v>1-0.000366399387035414i</v>
      </c>
      <c r="X169" s="160">
        <f t="shared" si="116"/>
        <v>1.000000067124253</v>
      </c>
      <c r="Y169" s="160">
        <f t="shared" si="117"/>
        <v>-3.6639937063922466E-4</v>
      </c>
      <c r="Z169" s="98" t="str">
        <f t="shared" si="107"/>
        <v>0.999958114858078-0.00861326308908316i</v>
      </c>
      <c r="AA169" s="160">
        <f t="shared" si="118"/>
        <v>0.99999520987430868</v>
      </c>
      <c r="AB169" s="160">
        <f t="shared" si="119"/>
        <v>-8.6134108535389758E-3</v>
      </c>
      <c r="AC169" s="171" t="str">
        <f t="shared" si="120"/>
        <v>8.78387738641898-14.8445330918714i</v>
      </c>
      <c r="AD169" s="190">
        <f t="shared" si="121"/>
        <v>24.735112966701067</v>
      </c>
      <c r="AE169" s="169">
        <f t="shared" si="122"/>
        <v>-59.386147353378135</v>
      </c>
      <c r="AF169" s="98" t="str">
        <f t="shared" si="108"/>
        <v>-0.0000114342530449913</v>
      </c>
      <c r="AG169" s="98" t="str">
        <f t="shared" si="109"/>
        <v>0.000244085529231546i</v>
      </c>
      <c r="AH169" s="98">
        <f t="shared" si="123"/>
        <v>2.4408552923154599E-4</v>
      </c>
      <c r="AI169" s="98">
        <f t="shared" si="124"/>
        <v>1.5707963267948966</v>
      </c>
      <c r="AJ169" s="98" t="str">
        <f t="shared" si="110"/>
        <v>1+0.00223558730707714i</v>
      </c>
      <c r="AK169" s="98">
        <f t="shared" si="125"/>
        <v>1.0000024989221814</v>
      </c>
      <c r="AL169" s="98">
        <f t="shared" si="126"/>
        <v>2.2355835827111811E-3</v>
      </c>
      <c r="AM169" s="98" t="str">
        <f t="shared" si="111"/>
        <v>1+5.36764512429222i</v>
      </c>
      <c r="AN169" s="98">
        <f t="shared" si="127"/>
        <v>5.4600012985655999</v>
      </c>
      <c r="AO169" s="98">
        <f t="shared" si="128"/>
        <v>1.3866064847846156</v>
      </c>
      <c r="AP169" s="168" t="str">
        <f t="shared" si="129"/>
        <v>-0.251342813788216+0.0474071709553064i</v>
      </c>
      <c r="AQ169" s="98">
        <f t="shared" si="130"/>
        <v>-11.842851458270527</v>
      </c>
      <c r="AR169" s="169">
        <f t="shared" si="131"/>
        <v>169.31860991959141</v>
      </c>
      <c r="AS169" s="168" t="str">
        <f t="shared" si="132"/>
        <v>-1.50402714023518+4.14748549359166i</v>
      </c>
      <c r="AT169" s="190">
        <f t="shared" si="133"/>
        <v>12.892261508430545</v>
      </c>
      <c r="AU169" s="169">
        <f t="shared" si="134"/>
        <v>109.93246256621329</v>
      </c>
      <c r="AV169" s="225"/>
      <c r="AX169">
        <f t="shared" si="135"/>
        <v>0</v>
      </c>
      <c r="AY169">
        <f t="shared" si="136"/>
        <v>0</v>
      </c>
    </row>
    <row r="170" spans="14:51" x14ac:dyDescent="0.2">
      <c r="N170" s="170">
        <v>52</v>
      </c>
      <c r="O170" s="199">
        <f t="shared" si="102"/>
        <v>331.13112148259137</v>
      </c>
      <c r="P170" s="189" t="str">
        <f t="shared" si="103"/>
        <v>1757.57575757576</v>
      </c>
      <c r="Q170" s="160" t="str">
        <f t="shared" si="104"/>
        <v>1+119.978856041378i</v>
      </c>
      <c r="R170" s="160">
        <f t="shared" si="112"/>
        <v>119.98302336996558</v>
      </c>
      <c r="S170" s="160">
        <f t="shared" si="113"/>
        <v>1.5624617178675322</v>
      </c>
      <c r="T170" s="160" t="str">
        <f t="shared" si="105"/>
        <v>1+0.58255629522981i</v>
      </c>
      <c r="U170" s="160">
        <f t="shared" si="114"/>
        <v>1.1573123334311621</v>
      </c>
      <c r="V170" s="160">
        <f t="shared" si="115"/>
        <v>0.52749449335523968</v>
      </c>
      <c r="W170" s="98" t="str">
        <f t="shared" si="106"/>
        <v>1-0.000374933925129304i</v>
      </c>
      <c r="X170" s="160">
        <f t="shared" si="116"/>
        <v>1.0000000702877216</v>
      </c>
      <c r="Y170" s="160">
        <f t="shared" si="117"/>
        <v>-3.7493390756047061E-4</v>
      </c>
      <c r="Z170" s="98" t="str">
        <f t="shared" si="107"/>
        <v>0.999956140872154-0.0088138917597293i</v>
      </c>
      <c r="AA170" s="160">
        <f t="shared" si="118"/>
        <v>0.99999498416536226</v>
      </c>
      <c r="AB170" s="160">
        <f t="shared" si="119"/>
        <v>-8.8140500920866061E-3</v>
      </c>
      <c r="AC170" s="171" t="str">
        <f t="shared" si="120"/>
        <v>8.77814063560173-14.5034165714532i</v>
      </c>
      <c r="AD170" s="190">
        <f t="shared" si="121"/>
        <v>24.584940854873722</v>
      </c>
      <c r="AE170" s="169">
        <f t="shared" si="122"/>
        <v>-58.815728158729151</v>
      </c>
      <c r="AF170" s="98" t="str">
        <f t="shared" si="108"/>
        <v>-0.0000114342530449913</v>
      </c>
      <c r="AG170" s="98" t="str">
        <f t="shared" si="109"/>
        <v>0.000249771011579781i</v>
      </c>
      <c r="AH170" s="98">
        <f t="shared" si="123"/>
        <v>2.49771011579781E-4</v>
      </c>
      <c r="AI170" s="98">
        <f t="shared" si="124"/>
        <v>1.5707963267948966</v>
      </c>
      <c r="AJ170" s="98" t="str">
        <f t="shared" si="110"/>
        <v>1+0.00228766082496385i</v>
      </c>
      <c r="AK170" s="98">
        <f t="shared" si="125"/>
        <v>1.0000026166926015</v>
      </c>
      <c r="AL170" s="98">
        <f t="shared" si="126"/>
        <v>2.2876568342343894E-3</v>
      </c>
      <c r="AM170" s="98" t="str">
        <f t="shared" si="111"/>
        <v>1+5.4926736407382i</v>
      </c>
      <c r="AN170" s="98">
        <f t="shared" si="127"/>
        <v>5.5829619131479156</v>
      </c>
      <c r="AO170" s="98">
        <f t="shared" si="128"/>
        <v>1.3907080808194097</v>
      </c>
      <c r="AP170" s="168" t="str">
        <f t="shared" si="129"/>
        <v>-0.251342754586877+0.0463539305451433i</v>
      </c>
      <c r="AQ170" s="98">
        <f t="shared" si="130"/>
        <v>-11.849414098841295</v>
      </c>
      <c r="AR170" s="169">
        <f t="shared" si="131"/>
        <v>169.55063048411492</v>
      </c>
      <c r="AS170" s="168" t="str">
        <f t="shared" si="132"/>
        <v>-1.53403168308272+4.05222999332819i</v>
      </c>
      <c r="AT170" s="190">
        <f t="shared" si="133"/>
        <v>12.735526756032431</v>
      </c>
      <c r="AU170" s="169">
        <f t="shared" si="134"/>
        <v>110.7349023253858</v>
      </c>
      <c r="AV170" s="225"/>
      <c r="AX170">
        <f t="shared" si="135"/>
        <v>0</v>
      </c>
      <c r="AY170">
        <f t="shared" si="136"/>
        <v>0</v>
      </c>
    </row>
    <row r="171" spans="14:51" x14ac:dyDescent="0.2">
      <c r="N171" s="170">
        <v>53</v>
      </c>
      <c r="O171" s="199">
        <f t="shared" si="102"/>
        <v>338.84415613920277</v>
      </c>
      <c r="P171" s="189" t="str">
        <f t="shared" si="103"/>
        <v>1757.57575757576</v>
      </c>
      <c r="Q171" s="160" t="str">
        <f t="shared" si="104"/>
        <v>1+122.773522609003i</v>
      </c>
      <c r="R171" s="160">
        <f t="shared" si="112"/>
        <v>122.77759508079383</v>
      </c>
      <c r="S171" s="160">
        <f t="shared" si="113"/>
        <v>1.562651428240811</v>
      </c>
      <c r="T171" s="160" t="str">
        <f t="shared" si="105"/>
        <v>1+0.5961257745177i</v>
      </c>
      <c r="U171" s="160">
        <f t="shared" si="114"/>
        <v>1.1642018463498189</v>
      </c>
      <c r="V171" s="160">
        <f t="shared" si="115"/>
        <v>0.53756593543327802</v>
      </c>
      <c r="W171" s="98" t="str">
        <f t="shared" si="106"/>
        <v>1-0.000383667258153133i</v>
      </c>
      <c r="X171" s="160">
        <f t="shared" si="116"/>
        <v>1.0000000736002799</v>
      </c>
      <c r="Y171" s="160">
        <f t="shared" si="117"/>
        <v>-3.8366723932778895E-4</v>
      </c>
      <c r="Z171" s="98" t="str">
        <f t="shared" si="107"/>
        <v>0.99995407385514-0.00901919367245205i</v>
      </c>
      <c r="AA171" s="160">
        <f t="shared" si="118"/>
        <v>0.99999474782320319</v>
      </c>
      <c r="AB171" s="160">
        <f t="shared" si="119"/>
        <v>-9.0193633285064276E-3</v>
      </c>
      <c r="AC171" s="171" t="str">
        <f t="shared" si="120"/>
        <v>8.77266097189708-14.1699856545413i</v>
      </c>
      <c r="AD171" s="190">
        <f t="shared" si="121"/>
        <v>24.436510560423045</v>
      </c>
      <c r="AE171" s="169">
        <f t="shared" si="122"/>
        <v>-58.238283438892267</v>
      </c>
      <c r="AF171" s="98" t="str">
        <f t="shared" si="108"/>
        <v>-0.0000114342530449913</v>
      </c>
      <c r="AG171" s="98" t="str">
        <f t="shared" si="109"/>
        <v>0.000255588925824464i</v>
      </c>
      <c r="AH171" s="98">
        <f t="shared" si="123"/>
        <v>2.5558892582446397E-4</v>
      </c>
      <c r="AI171" s="98">
        <f t="shared" si="124"/>
        <v>1.5707963267948966</v>
      </c>
      <c r="AJ171" s="98" t="str">
        <f t="shared" si="110"/>
        <v>1+0.00234094729090071i</v>
      </c>
      <c r="AK171" s="98">
        <f t="shared" si="125"/>
        <v>1.0000027400133555</v>
      </c>
      <c r="AL171" s="98">
        <f t="shared" si="126"/>
        <v>2.3409430147576841E-3</v>
      </c>
      <c r="AM171" s="98" t="str">
        <f t="shared" si="111"/>
        <v>1+5.6206144454526i</v>
      </c>
      <c r="AN171" s="98">
        <f t="shared" si="127"/>
        <v>5.7088796400371269</v>
      </c>
      <c r="AO171" s="98">
        <f t="shared" si="128"/>
        <v>1.3947222409424775</v>
      </c>
      <c r="AP171" s="168" t="str">
        <f t="shared" si="129"/>
        <v>-0.251342692595494+0.0453252675897536i</v>
      </c>
      <c r="AQ171" s="98">
        <f t="shared" si="130"/>
        <v>-11.855690734257875</v>
      </c>
      <c r="AR171" s="169">
        <f t="shared" si="131"/>
        <v>169.77757184420602</v>
      </c>
      <c r="AS171" s="168" t="str">
        <f t="shared" si="132"/>
        <v>-1.56268583836896+3.95914555447736i</v>
      </c>
      <c r="AT171" s="190">
        <f t="shared" si="133"/>
        <v>12.580819826165177</v>
      </c>
      <c r="AU171" s="169">
        <f t="shared" si="134"/>
        <v>111.53928840531373</v>
      </c>
      <c r="AV171" s="225"/>
      <c r="AX171">
        <f t="shared" si="135"/>
        <v>0</v>
      </c>
      <c r="AY171">
        <f t="shared" si="136"/>
        <v>0</v>
      </c>
    </row>
    <row r="172" spans="14:51" x14ac:dyDescent="0.2">
      <c r="N172" s="170">
        <v>54</v>
      </c>
      <c r="O172" s="199">
        <f t="shared" si="102"/>
        <v>346.73685045253183</v>
      </c>
      <c r="P172" s="189" t="str">
        <f t="shared" si="103"/>
        <v>1757.57575757576</v>
      </c>
      <c r="Q172" s="160" t="str">
        <f t="shared" si="104"/>
        <v>1+125.633285323415i</v>
      </c>
      <c r="R172" s="160">
        <f t="shared" si="112"/>
        <v>125.63726509740096</v>
      </c>
      <c r="S172" s="160">
        <f t="shared" si="113"/>
        <v>1.5628368208452996</v>
      </c>
      <c r="T172" s="160" t="str">
        <f t="shared" si="105"/>
        <v>1+0.6100113275819i</v>
      </c>
      <c r="U172" s="160">
        <f t="shared" si="114"/>
        <v>1.1713726220883909</v>
      </c>
      <c r="V172" s="160">
        <f t="shared" si="115"/>
        <v>0.54774826932763254</v>
      </c>
      <c r="W172" s="98" t="str">
        <f t="shared" si="106"/>
        <v>1-0.000392604016635672i</v>
      </c>
      <c r="X172" s="160">
        <f t="shared" si="116"/>
        <v>1.0000000770689541</v>
      </c>
      <c r="Y172" s="160">
        <f t="shared" si="117"/>
        <v>-3.9260399646395253E-4</v>
      </c>
      <c r="Z172" s="98" t="str">
        <f t="shared" si="107"/>
        <v>0.999951909422615-0.0092292776810431i</v>
      </c>
      <c r="AA172" s="160">
        <f t="shared" si="118"/>
        <v>0.99999450034710069</v>
      </c>
      <c r="AB172" s="160">
        <f t="shared" si="119"/>
        <v>-9.229459470642477E-3</v>
      </c>
      <c r="AC172" s="171" t="str">
        <f t="shared" si="120"/>
        <v>8.76742677691964-13.8440638380893i</v>
      </c>
      <c r="AD172" s="190">
        <f t="shared" si="121"/>
        <v>24.289861417816304</v>
      </c>
      <c r="AE172" s="169">
        <f t="shared" si="122"/>
        <v>-57.653975311172935</v>
      </c>
      <c r="AF172" s="98" t="str">
        <f t="shared" si="108"/>
        <v>-0.0000114342530449913</v>
      </c>
      <c r="AG172" s="98" t="str">
        <f t="shared" si="109"/>
        <v>0.00026154235670074i</v>
      </c>
      <c r="AH172" s="98">
        <f t="shared" si="123"/>
        <v>2.6154235670073999E-4</v>
      </c>
      <c r="AI172" s="98">
        <f t="shared" si="124"/>
        <v>1.5707963267948966</v>
      </c>
      <c r="AJ172" s="98" t="str">
        <f t="shared" si="110"/>
        <v>1+0.00239547495807731i</v>
      </c>
      <c r="AK172" s="98">
        <f t="shared" si="125"/>
        <v>1.0000028691460214</v>
      </c>
      <c r="AL172" s="98">
        <f t="shared" si="126"/>
        <v>2.3954703761082156E-3</v>
      </c>
      <c r="AM172" s="98" t="str">
        <f t="shared" si="111"/>
        <v>1+5.75153537434362i</v>
      </c>
      <c r="AN172" s="98">
        <f t="shared" si="127"/>
        <v>5.8378214397432551</v>
      </c>
      <c r="AO172" s="98">
        <f t="shared" si="128"/>
        <v>1.3986505758023384</v>
      </c>
      <c r="AP172" s="168" t="str">
        <f t="shared" si="129"/>
        <v>-0.25134262768258+0.0443206366775086i</v>
      </c>
      <c r="AQ172" s="98">
        <f t="shared" si="130"/>
        <v>-11.86169345030337</v>
      </c>
      <c r="AR172" s="169">
        <f t="shared" si="131"/>
        <v>169.9995246645168</v>
      </c>
      <c r="AS172" s="168" t="str">
        <f t="shared" si="132"/>
        <v>-1.5900503606174+3.86818131964726i</v>
      </c>
      <c r="AT172" s="190">
        <f t="shared" si="133"/>
        <v>12.428167967512923</v>
      </c>
      <c r="AU172" s="169">
        <f t="shared" si="134"/>
        <v>112.3455493533438</v>
      </c>
      <c r="AV172" s="225"/>
      <c r="AX172">
        <f t="shared" si="135"/>
        <v>0</v>
      </c>
      <c r="AY172">
        <f t="shared" si="136"/>
        <v>0</v>
      </c>
    </row>
    <row r="173" spans="14:51" x14ac:dyDescent="0.2">
      <c r="N173" s="170">
        <v>55</v>
      </c>
      <c r="O173" s="199">
        <f t="shared" si="102"/>
        <v>354.81338923357566</v>
      </c>
      <c r="P173" s="189" t="str">
        <f t="shared" si="103"/>
        <v>1757.57575757576</v>
      </c>
      <c r="Q173" s="160" t="str">
        <f t="shared" si="104"/>
        <v>1+128.559660468659i</v>
      </c>
      <c r="R173" s="160">
        <f t="shared" si="112"/>
        <v>128.56354965470143</v>
      </c>
      <c r="S173" s="160">
        <f t="shared" si="113"/>
        <v>1.5630179939276048</v>
      </c>
      <c r="T173" s="160" t="str">
        <f t="shared" si="105"/>
        <v>1+0.624220316726437i</v>
      </c>
      <c r="U173" s="160">
        <f t="shared" si="114"/>
        <v>1.1788345956129949</v>
      </c>
      <c r="V173" s="160">
        <f t="shared" si="115"/>
        <v>0.55803844774537059</v>
      </c>
      <c r="W173" s="98" t="str">
        <f t="shared" si="106"/>
        <v>1-0.00040174893896456i</v>
      </c>
      <c r="X173" s="160">
        <f t="shared" si="116"/>
        <v>1.0000000807011018</v>
      </c>
      <c r="Y173" s="160">
        <f t="shared" si="117"/>
        <v>-4.0174891735017326E-4</v>
      </c>
      <c r="Z173" s="98" t="str">
        <f t="shared" si="107"/>
        <v>0.999949642983528-0.00944425517482457i</v>
      </c>
      <c r="AA173" s="160">
        <f t="shared" si="118"/>
        <v>0.99999424121276415</v>
      </c>
      <c r="AB173" s="160">
        <f t="shared" si="119"/>
        <v>-9.4444499657347948E-3</v>
      </c>
      <c r="AC173" s="171" t="str">
        <f t="shared" si="120"/>
        <v>8.76242695253891-13.5254785813236i</v>
      </c>
      <c r="AD173" s="190">
        <f t="shared" si="121"/>
        <v>24.145032152857656</v>
      </c>
      <c r="AE173" s="169">
        <f t="shared" si="122"/>
        <v>-57.062977887744033</v>
      </c>
      <c r="AF173" s="98" t="str">
        <f t="shared" si="108"/>
        <v>-0.0000114342530449913</v>
      </c>
      <c r="AG173" s="98" t="str">
        <f t="shared" si="109"/>
        <v>0.00026763446079646i</v>
      </c>
      <c r="AH173" s="98">
        <f t="shared" si="123"/>
        <v>2.6763446079646001E-4</v>
      </c>
      <c r="AI173" s="98">
        <f t="shared" si="124"/>
        <v>1.5707963267948966</v>
      </c>
      <c r="AJ173" s="98" t="str">
        <f t="shared" si="110"/>
        <v>1+0.00245127273778455i</v>
      </c>
      <c r="AK173" s="98">
        <f t="shared" si="125"/>
        <v>1.0000030043645043</v>
      </c>
      <c r="AL173" s="98">
        <f t="shared" si="126"/>
        <v>2.451267828117006E-3</v>
      </c>
      <c r="AM173" s="98" t="str">
        <f t="shared" si="111"/>
        <v>1+5.88550584342069i</v>
      </c>
      <c r="AN173" s="98">
        <f t="shared" si="127"/>
        <v>5.9698558636653107</v>
      </c>
      <c r="AO173" s="98">
        <f t="shared" si="128"/>
        <v>1.40249468304228</v>
      </c>
      <c r="AP173" s="168" t="str">
        <f t="shared" si="129"/>
        <v>-0.251342559710452+0.0433395051388226i</v>
      </c>
      <c r="AQ173" s="98">
        <f t="shared" si="130"/>
        <v>-11.867433855552708</v>
      </c>
      <c r="AR173" s="169">
        <f t="shared" si="131"/>
        <v>170.21657882685344</v>
      </c>
      <c r="AS173" s="168" t="str">
        <f t="shared" si="132"/>
        <v>-1.61618327104668+3.77928765587688i</v>
      </c>
      <c r="AT173" s="190">
        <f t="shared" si="133"/>
        <v>12.277598297304941</v>
      </c>
      <c r="AU173" s="169">
        <f t="shared" si="134"/>
        <v>113.15360093910948</v>
      </c>
      <c r="AV173" s="225"/>
      <c r="AX173">
        <f t="shared" si="135"/>
        <v>0</v>
      </c>
      <c r="AY173">
        <f t="shared" si="136"/>
        <v>0</v>
      </c>
    </row>
    <row r="174" spans="14:51" x14ac:dyDescent="0.2">
      <c r="N174" s="170">
        <v>56</v>
      </c>
      <c r="O174" s="199">
        <f t="shared" si="102"/>
        <v>363.07805477010152</v>
      </c>
      <c r="P174" s="189" t="str">
        <f t="shared" si="103"/>
        <v>1757.57575757576</v>
      </c>
      <c r="Q174" s="160" t="str">
        <f t="shared" si="104"/>
        <v>1+131.554199647573i</v>
      </c>
      <c r="R174" s="160">
        <f t="shared" si="112"/>
        <v>131.55800030752025</v>
      </c>
      <c r="S174" s="160">
        <f t="shared" si="113"/>
        <v>1.5631950435004918</v>
      </c>
      <c r="T174" s="160" t="str">
        <f t="shared" si="105"/>
        <v>1+0.638760275745438i</v>
      </c>
      <c r="U174" s="160">
        <f t="shared" si="114"/>
        <v>1.186597947862033</v>
      </c>
      <c r="V174" s="160">
        <f t="shared" si="115"/>
        <v>0.56843320945146969</v>
      </c>
      <c r="W174" s="98" t="str">
        <f t="shared" si="106"/>
        <v>1-0.000411106873898664i</v>
      </c>
      <c r="X174" s="160">
        <f t="shared" si="116"/>
        <v>1.0000000845044272</v>
      </c>
      <c r="Y174" s="160">
        <f t="shared" si="117"/>
        <v>-4.1110685073843142E-4</v>
      </c>
      <c r="Z174" s="98" t="str">
        <f t="shared" si="107"/>
        <v>0.999947269730458-0.00966424013770926i</v>
      </c>
      <c r="AA174" s="160">
        <f t="shared" si="118"/>
        <v>0.99999396987123701</v>
      </c>
      <c r="AB174" s="160">
        <f t="shared" si="119"/>
        <v>-9.6644488597561317E-3</v>
      </c>
      <c r="AC174" s="171" t="str">
        <f t="shared" si="120"/>
        <v>8.75765089737537-13.2140612155346i</v>
      </c>
      <c r="AD174" s="190">
        <f t="shared" si="121"/>
        <v>24.002060772317261</v>
      </c>
      <c r="AE174" s="169">
        <f t="shared" si="122"/>
        <v>-56.465477268194498</v>
      </c>
      <c r="AF174" s="98" t="str">
        <f t="shared" si="108"/>
        <v>-0.0000114342530449913</v>
      </c>
      <c r="AG174" s="98" t="str">
        <f t="shared" si="109"/>
        <v>0.000273868468225856i</v>
      </c>
      <c r="AH174" s="98">
        <f t="shared" si="123"/>
        <v>2.7386846822585601E-4</v>
      </c>
      <c r="AI174" s="98">
        <f t="shared" si="124"/>
        <v>1.5707963267948966</v>
      </c>
      <c r="AJ174" s="98" t="str">
        <f t="shared" si="110"/>
        <v>1+0.00250837021474379i</v>
      </c>
      <c r="AK174" s="98">
        <f t="shared" si="125"/>
        <v>1.0000031459556185</v>
      </c>
      <c r="AL174" s="98">
        <f t="shared" si="126"/>
        <v>2.5083649539411278E-3</v>
      </c>
      <c r="AM174" s="98" t="str">
        <f t="shared" si="111"/>
        <v>1+6.02259688559984i</v>
      </c>
      <c r="AN174" s="98">
        <f t="shared" si="127"/>
        <v>6.1050530912054226</v>
      </c>
      <c r="AO174" s="98">
        <f t="shared" si="128"/>
        <v>1.406256146191456</v>
      </c>
      <c r="AP174" s="168" t="str">
        <f t="shared" si="129"/>
        <v>-0.251342488534935+0.0423813527637181i</v>
      </c>
      <c r="AQ174" s="98">
        <f t="shared" si="130"/>
        <v>-11.872923097387471</v>
      </c>
      <c r="AR174" s="169">
        <f t="shared" si="131"/>
        <v>170.42882336576315</v>
      </c>
      <c r="AS174" s="168" t="str">
        <f t="shared" si="132"/>
        <v>-1.6411399804496+3.69241612162859i</v>
      </c>
      <c r="AT174" s="190">
        <f t="shared" si="133"/>
        <v>12.129137674929789</v>
      </c>
      <c r="AU174" s="169">
        <f t="shared" si="134"/>
        <v>113.96334609756875</v>
      </c>
      <c r="AV174" s="225"/>
      <c r="AX174">
        <f t="shared" si="135"/>
        <v>0</v>
      </c>
      <c r="AY174">
        <f t="shared" si="136"/>
        <v>0</v>
      </c>
    </row>
    <row r="175" spans="14:51" x14ac:dyDescent="0.2">
      <c r="N175" s="170">
        <v>57</v>
      </c>
      <c r="O175" s="199">
        <f t="shared" si="102"/>
        <v>371.53522909717265</v>
      </c>
      <c r="P175" s="189" t="str">
        <f t="shared" si="103"/>
        <v>1757.57575757576</v>
      </c>
      <c r="Q175" s="160" t="str">
        <f t="shared" si="104"/>
        <v>1+134.618490604464i</v>
      </c>
      <c r="R175" s="160">
        <f t="shared" si="112"/>
        <v>134.6222047532433</v>
      </c>
      <c r="S175" s="160">
        <f t="shared" si="113"/>
        <v>1.5633680633935627</v>
      </c>
      <c r="T175" s="160" t="str">
        <f t="shared" si="105"/>
        <v>1+0.653638913917629i</v>
      </c>
      <c r="U175" s="160">
        <f t="shared" si="114"/>
        <v>1.1946731058274549</v>
      </c>
      <c r="V175" s="160">
        <f t="shared" si="115"/>
        <v>0.57892908025889367</v>
      </c>
      <c r="W175" s="98" t="str">
        <f t="shared" si="106"/>
        <v>1-0.00042068278313895i</v>
      </c>
      <c r="X175" s="160">
        <f t="shared" si="116"/>
        <v>1.0000000884869982</v>
      </c>
      <c r="Y175" s="160">
        <f t="shared" si="117"/>
        <v>-4.2068275832231377E-4</v>
      </c>
      <c r="Z175" s="98" t="str">
        <f t="shared" si="107"/>
        <v>0.999944784629416-0.00988934920863628i</v>
      </c>
      <c r="AA175" s="160">
        <f t="shared" si="118"/>
        <v>0.99999368574773495</v>
      </c>
      <c r="AB175" s="160">
        <f t="shared" si="119"/>
        <v>-9.8895728581438001E-3</v>
      </c>
      <c r="AC175" s="171" t="str">
        <f t="shared" si="120"/>
        <v>8.7530884843467-12.9096468558367i</v>
      </c>
      <c r="AD175" s="190">
        <f t="shared" si="121"/>
        <v>23.86098445159238</v>
      </c>
      <c r="AE175" s="169">
        <f t="shared" si="122"/>
        <v>-55.861671482373865</v>
      </c>
      <c r="AF175" s="98" t="str">
        <f t="shared" si="108"/>
        <v>-0.0000114342530449913</v>
      </c>
      <c r="AG175" s="98" t="str">
        <f t="shared" si="109"/>
        <v>0.000280247684342183i</v>
      </c>
      <c r="AH175" s="98">
        <f t="shared" si="123"/>
        <v>2.8024768434218298E-4</v>
      </c>
      <c r="AI175" s="98">
        <f t="shared" si="124"/>
        <v>1.5707963267948966</v>
      </c>
      <c r="AJ175" s="98" t="str">
        <f t="shared" si="110"/>
        <v>1+0.00256679766279309i</v>
      </c>
      <c r="AK175" s="98">
        <f t="shared" si="125"/>
        <v>1.000003294219695</v>
      </c>
      <c r="AL175" s="98">
        <f t="shared" si="126"/>
        <v>2.5667920257424798E-3</v>
      </c>
      <c r="AM175" s="98" t="str">
        <f t="shared" si="111"/>
        <v>1+6.16288118836621i</v>
      </c>
      <c r="AN175" s="98">
        <f t="shared" si="127"/>
        <v>6.2434849677017823</v>
      </c>
      <c r="AO175" s="98">
        <f t="shared" si="128"/>
        <v>1.4099365336573124</v>
      </c>
      <c r="AP175" s="168" t="str">
        <f t="shared" si="129"/>
        <v>-0.251342414005062+0.0414456715260001i</v>
      </c>
      <c r="AQ175" s="98">
        <f t="shared" si="130"/>
        <v>-11.878171877724908</v>
      </c>
      <c r="AR175" s="169">
        <f t="shared" si="131"/>
        <v>170.63634640990608</v>
      </c>
      <c r="AS175" s="168" t="str">
        <f t="shared" si="132"/>
        <v>-1.66497340655194+3.6075194348591i</v>
      </c>
      <c r="AT175" s="190">
        <f t="shared" si="133"/>
        <v>11.982812573867466</v>
      </c>
      <c r="AU175" s="169">
        <f t="shared" si="134"/>
        <v>114.77467492753217</v>
      </c>
      <c r="AV175" s="225"/>
      <c r="AX175">
        <f t="shared" si="135"/>
        <v>0</v>
      </c>
      <c r="AY175">
        <f t="shared" si="136"/>
        <v>0</v>
      </c>
    </row>
    <row r="176" spans="14:51" x14ac:dyDescent="0.2">
      <c r="N176" s="170">
        <v>58</v>
      </c>
      <c r="O176" s="199">
        <f t="shared" si="102"/>
        <v>380.18939632056163</v>
      </c>
      <c r="P176" s="189" t="str">
        <f t="shared" si="103"/>
        <v>1757.57575757576</v>
      </c>
      <c r="Q176" s="160" t="str">
        <f t="shared" si="104"/>
        <v>1+137.754158066961i</v>
      </c>
      <c r="R176" s="160">
        <f t="shared" si="112"/>
        <v>137.75778767364577</v>
      </c>
      <c r="S176" s="160">
        <f t="shared" si="113"/>
        <v>1.5635371453027955</v>
      </c>
      <c r="T176" s="160" t="str">
        <f t="shared" si="105"/>
        <v>1+0.668864120093913i</v>
      </c>
      <c r="U176" s="160">
        <f t="shared" si="114"/>
        <v>1.2030707423709566</v>
      </c>
      <c r="V176" s="160">
        <f t="shared" si="115"/>
        <v>0.58952237492125414</v>
      </c>
      <c r="W176" s="98" t="str">
        <f t="shared" si="106"/>
        <v>1-0.000430481743959252i</v>
      </c>
      <c r="X176" s="160">
        <f t="shared" si="116"/>
        <v>1.0000000926572616</v>
      </c>
      <c r="Y176" s="160">
        <f t="shared" si="117"/>
        <v>-4.3048171736774732E-4</v>
      </c>
      <c r="Z176" s="98" t="str">
        <f t="shared" si="107"/>
        <v>0.99994218240917-0.0101197017434147i</v>
      </c>
      <c r="AA176" s="160">
        <f t="shared" si="118"/>
        <v>0.99999338824043693</v>
      </c>
      <c r="AB176" s="160">
        <f t="shared" si="119"/>
        <v>-1.0119941387960671E-2</v>
      </c>
      <c r="AC176" s="171" t="str">
        <f t="shared" si="120"/>
        <v>8.74873003921691-12.6120743148542i</v>
      </c>
      <c r="AD176" s="190">
        <f t="shared" si="121"/>
        <v>23.721839420975638</v>
      </c>
      <c r="AE176" s="169">
        <f t="shared" si="122"/>
        <v>-55.251770381379188</v>
      </c>
      <c r="AF176" s="98" t="str">
        <f t="shared" si="108"/>
        <v>-0.0000114342530449913</v>
      </c>
      <c r="AG176" s="98" t="str">
        <f t="shared" si="109"/>
        <v>0.000286775491490265i</v>
      </c>
      <c r="AH176" s="98">
        <f t="shared" si="123"/>
        <v>2.8677549149026501E-4</v>
      </c>
      <c r="AI176" s="98">
        <f t="shared" si="124"/>
        <v>1.5707963267948966</v>
      </c>
      <c r="AJ176" s="98" t="str">
        <f t="shared" si="110"/>
        <v>1+0.00262658606093879i</v>
      </c>
      <c r="AK176" s="98">
        <f t="shared" si="125"/>
        <v>1.0000034494712184</v>
      </c>
      <c r="AL176" s="98">
        <f t="shared" si="126"/>
        <v>2.6265800207313614E-3</v>
      </c>
      <c r="AM176" s="98" t="str">
        <f t="shared" si="111"/>
        <v>1+6.30643313231403i</v>
      </c>
      <c r="AN176" s="98">
        <f t="shared" si="127"/>
        <v>6.3852250432031088</v>
      </c>
      <c r="AO176" s="98">
        <f t="shared" si="128"/>
        <v>1.4135373978137116</v>
      </c>
      <c r="AP176" s="168" t="str">
        <f t="shared" si="129"/>
        <v>-0.251342335962751+0.0405319653138871i</v>
      </c>
      <c r="AQ176" s="98">
        <f t="shared" si="130"/>
        <v>-11.883190468441958</v>
      </c>
      <c r="AR176" s="169">
        <f t="shared" si="131"/>
        <v>170.83923512888924</v>
      </c>
      <c r="AS176" s="168" t="str">
        <f t="shared" si="132"/>
        <v>-1.68773408609843+3.52455144212137i</v>
      </c>
      <c r="AT176" s="190">
        <f t="shared" si="133"/>
        <v>11.83864895253368</v>
      </c>
      <c r="AU176" s="169">
        <f t="shared" si="134"/>
        <v>115.58746474751003</v>
      </c>
      <c r="AV176" s="225"/>
      <c r="AX176">
        <f t="shared" si="135"/>
        <v>0</v>
      </c>
      <c r="AY176">
        <f t="shared" si="136"/>
        <v>0</v>
      </c>
    </row>
    <row r="177" spans="14:51" x14ac:dyDescent="0.2">
      <c r="N177" s="170">
        <v>59</v>
      </c>
      <c r="O177" s="199">
        <f t="shared" si="102"/>
        <v>389.04514499428063</v>
      </c>
      <c r="P177" s="189" t="str">
        <f t="shared" si="103"/>
        <v>1757.57575757576</v>
      </c>
      <c r="Q177" s="160" t="str">
        <f t="shared" si="104"/>
        <v>1+140.962864607456i</v>
      </c>
      <c r="R177" s="160">
        <f t="shared" si="112"/>
        <v>140.96641159630889</v>
      </c>
      <c r="S177" s="160">
        <f t="shared" si="113"/>
        <v>1.5637023788389637</v>
      </c>
      <c r="T177" s="160" t="str">
        <f t="shared" si="105"/>
        <v>1+0.684443966880134i</v>
      </c>
      <c r="U177" s="160">
        <f t="shared" si="114"/>
        <v>1.2118017757862107</v>
      </c>
      <c r="V177" s="160">
        <f t="shared" si="115"/>
        <v>0.60020919996002164</v>
      </c>
      <c r="W177" s="98" t="str">
        <f t="shared" si="106"/>
        <v>1-0.0004405089518983i</v>
      </c>
      <c r="X177" s="160">
        <f t="shared" si="116"/>
        <v>1.0000000970240637</v>
      </c>
      <c r="Y177" s="160">
        <f t="shared" si="117"/>
        <v>-4.4050892340498951E-4</v>
      </c>
      <c r="Z177" s="98" t="str">
        <f t="shared" si="107"/>
        <v>0.999939457550063-0.0103554198780076i</v>
      </c>
      <c r="AA177" s="160">
        <f t="shared" si="118"/>
        <v>0.99999307671921611</v>
      </c>
      <c r="AB177" s="160">
        <f t="shared" si="119"/>
        <v>-1.0355676661519335E-2</v>
      </c>
      <c r="AC177" s="171" t="str">
        <f t="shared" si="120"/>
        <v>8.7445663201041-12.3211860182934i</v>
      </c>
      <c r="AD177" s="190">
        <f t="shared" si="121"/>
        <v>23.584660851152638</v>
      </c>
      <c r="AE177" s="169">
        <f t="shared" si="122"/>
        <v>-54.6359954748484</v>
      </c>
      <c r="AF177" s="98" t="str">
        <f t="shared" si="108"/>
        <v>-0.0000114342530449913</v>
      </c>
      <c r="AG177" s="98" t="str">
        <f t="shared" si="109"/>
        <v>0.000293455350799857i</v>
      </c>
      <c r="AH177" s="98">
        <f t="shared" si="123"/>
        <v>2.9345535079985702E-4</v>
      </c>
      <c r="AI177" s="98">
        <f t="shared" si="124"/>
        <v>1.5707963267948966</v>
      </c>
      <c r="AJ177" s="98" t="str">
        <f t="shared" si="110"/>
        <v>1+0.00268776710978097i</v>
      </c>
      <c r="AK177" s="98">
        <f t="shared" si="125"/>
        <v>1.0000036120394948</v>
      </c>
      <c r="AL177" s="98">
        <f t="shared" si="126"/>
        <v>2.6877606375833659E-3</v>
      </c>
      <c r="AM177" s="98" t="str">
        <f t="shared" si="111"/>
        <v>1+6.45332883058411i</v>
      </c>
      <c r="AN177" s="98">
        <f t="shared" si="127"/>
        <v>6.5303486121070184</v>
      </c>
      <c r="AO177" s="98">
        <f t="shared" si="128"/>
        <v>1.4170602741792904</v>
      </c>
      <c r="AP177" s="168" t="str">
        <f t="shared" si="129"/>
        <v>-0.251342254242473+0.0396397496669613i</v>
      </c>
      <c r="AQ177" s="98">
        <f t="shared" si="130"/>
        <v>-11.887988726477216</v>
      </c>
      <c r="AR177" s="169">
        <f t="shared" si="131"/>
        <v>171.03757568524969</v>
      </c>
      <c r="AS177" s="168" t="str">
        <f t="shared" si="132"/>
        <v>-1.70947028190256+3.44346708865377i</v>
      </c>
      <c r="AT177" s="190">
        <f t="shared" si="133"/>
        <v>11.696672124675427</v>
      </c>
      <c r="AU177" s="169">
        <f t="shared" si="134"/>
        <v>116.40158021040135</v>
      </c>
      <c r="AV177" s="225"/>
      <c r="AX177">
        <f t="shared" si="135"/>
        <v>0</v>
      </c>
      <c r="AY177">
        <f t="shared" si="136"/>
        <v>0</v>
      </c>
    </row>
    <row r="178" spans="14:51" x14ac:dyDescent="0.2">
      <c r="N178" s="170">
        <v>60</v>
      </c>
      <c r="O178" s="199">
        <f t="shared" si="102"/>
        <v>398.10717055349761</v>
      </c>
      <c r="P178" s="189" t="str">
        <f t="shared" si="103"/>
        <v>1757.57575757576</v>
      </c>
      <c r="Q178" s="160" t="str">
        <f t="shared" si="104"/>
        <v>1+144.246311524631i</v>
      </c>
      <c r="R178" s="160">
        <f t="shared" si="112"/>
        <v>144.2497777761231</v>
      </c>
      <c r="S178" s="160">
        <f t="shared" si="113"/>
        <v>1.5638638515749645</v>
      </c>
      <c r="T178" s="160" t="str">
        <f t="shared" si="105"/>
        <v>1+0.70038671491728i</v>
      </c>
      <c r="U178" s="160">
        <f t="shared" si="114"/>
        <v>1.2208773691213297</v>
      </c>
      <c r="V178" s="160">
        <f t="shared" si="115"/>
        <v>0.61098545745210331</v>
      </c>
      <c r="W178" s="98" t="str">
        <f t="shared" si="106"/>
        <v>1-0.000450769723514469i</v>
      </c>
      <c r="X178" s="160">
        <f t="shared" si="116"/>
        <v>1.0000001015966666</v>
      </c>
      <c r="Y178" s="160">
        <f t="shared" si="117"/>
        <v>-4.5076969298333695E-4</v>
      </c>
      <c r="Z178" s="98" t="str">
        <f t="shared" si="107"/>
        <v>0.999936604272302-0.01059662859329i</v>
      </c>
      <c r="AA178" s="160">
        <f t="shared" si="118"/>
        <v>0.99999275052430592</v>
      </c>
      <c r="AB178" s="160">
        <f t="shared" si="119"/>
        <v>-1.0596903741504449E-2</v>
      </c>
      <c r="AC178" s="171" t="str">
        <f t="shared" si="120"/>
        <v>8.7405884979019-12.036827922362i</v>
      </c>
      <c r="AD178" s="190">
        <f t="shared" si="121"/>
        <v>23.449482738591399</v>
      </c>
      <c r="AE178" s="169">
        <f t="shared" si="122"/>
        <v>-54.014579713089212</v>
      </c>
      <c r="AF178" s="98" t="str">
        <f t="shared" si="108"/>
        <v>-0.0000114342530449913</v>
      </c>
      <c r="AG178" s="98" t="str">
        <f t="shared" si="109"/>
        <v>0.000300290804020784i</v>
      </c>
      <c r="AH178" s="98">
        <f t="shared" si="123"/>
        <v>3.0029080402078402E-4</v>
      </c>
      <c r="AI178" s="98">
        <f t="shared" si="124"/>
        <v>1.5707963267948966</v>
      </c>
      <c r="AJ178" s="98" t="str">
        <f t="shared" si="110"/>
        <v>1+0.00275037324832156i</v>
      </c>
      <c r="AK178" s="98">
        <f t="shared" si="125"/>
        <v>1.0000037822693497</v>
      </c>
      <c r="AL178" s="98">
        <f t="shared" si="126"/>
        <v>2.7503663132382962E-3</v>
      </c>
      <c r="AM178" s="98" t="str">
        <f t="shared" si="111"/>
        <v>1+6.60364616922006i</v>
      </c>
      <c r="AN178" s="98">
        <f t="shared" si="127"/>
        <v>6.6789327536856344</v>
      </c>
      <c r="AO178" s="98">
        <f t="shared" si="128"/>
        <v>1.4205066806808013</v>
      </c>
      <c r="AP178" s="168" t="str">
        <f t="shared" si="129"/>
        <v>-0.251342168670892+0.0387685515192946i</v>
      </c>
      <c r="AQ178" s="98">
        <f t="shared" si="130"/>
        <v>-11.892576108597556</v>
      </c>
      <c r="AR178" s="169">
        <f t="shared" si="131"/>
        <v>171.23145319128412</v>
      </c>
      <c r="AS178" s="168" t="str">
        <f t="shared" si="132"/>
        <v>-1.73022808508554+3.36422238941468i</v>
      </c>
      <c r="AT178" s="190">
        <f t="shared" si="133"/>
        <v>11.556906629993849</v>
      </c>
      <c r="AU178" s="169">
        <f t="shared" si="134"/>
        <v>117.21687347819483</v>
      </c>
      <c r="AV178" s="225"/>
      <c r="AX178">
        <f t="shared" si="135"/>
        <v>0</v>
      </c>
      <c r="AY178">
        <f t="shared" si="136"/>
        <v>0</v>
      </c>
    </row>
    <row r="179" spans="14:51" x14ac:dyDescent="0.2">
      <c r="N179" s="170">
        <v>61</v>
      </c>
      <c r="O179" s="199">
        <f t="shared" si="102"/>
        <v>407.38027780411272</v>
      </c>
      <c r="P179" s="189" t="str">
        <f t="shared" si="103"/>
        <v>1757.57575757576</v>
      </c>
      <c r="Q179" s="160" t="str">
        <f t="shared" si="104"/>
        <v>1+147.606239745501i</v>
      </c>
      <c r="R179" s="160">
        <f t="shared" si="112"/>
        <v>147.60962709730796</v>
      </c>
      <c r="S179" s="160">
        <f t="shared" si="113"/>
        <v>1.5640216490920795</v>
      </c>
      <c r="T179" s="160" t="str">
        <f t="shared" si="105"/>
        <v>1+0.716700817261391i</v>
      </c>
      <c r="U179" s="160">
        <f t="shared" si="114"/>
        <v>1.2303089292787994</v>
      </c>
      <c r="V179" s="160">
        <f t="shared" si="115"/>
        <v>0.62184684979665428</v>
      </c>
      <c r="W179" s="98" t="str">
        <f t="shared" si="106"/>
        <v>1-0.00046126949920469i</v>
      </c>
      <c r="X179" s="160">
        <f t="shared" si="116"/>
        <v>1.0000001063847699</v>
      </c>
      <c r="Y179" s="160">
        <f t="shared" si="117"/>
        <v>-4.6126946648999278E-4</v>
      </c>
      <c r="Z179" s="98" t="str">
        <f t="shared" si="107"/>
        <v>0.999933616523702-0.0108434557813155i</v>
      </c>
      <c r="AA179" s="160">
        <f t="shared" si="118"/>
        <v>0.99999240896491381</v>
      </c>
      <c r="AB179" s="160">
        <f t="shared" si="119"/>
        <v>-1.0843750607629819E-2</v>
      </c>
      <c r="AC179" s="171" t="str">
        <f t="shared" si="120"/>
        <v>8.73678813757502-11.7588494329945i</v>
      </c>
      <c r="AD179" s="190">
        <f t="shared" si="121"/>
        <v>23.316337791521743</v>
      </c>
      <c r="AE179" s="169">
        <f t="shared" si="122"/>
        <v>-53.387767212951935</v>
      </c>
      <c r="AF179" s="98" t="str">
        <f t="shared" si="108"/>
        <v>-0.0000114342530449913</v>
      </c>
      <c r="AG179" s="98" t="str">
        <f t="shared" si="109"/>
        <v>0.000307285475400821i</v>
      </c>
      <c r="AH179" s="98">
        <f t="shared" si="123"/>
        <v>3.07285475400821E-4</v>
      </c>
      <c r="AI179" s="98">
        <f t="shared" si="124"/>
        <v>1.5707963267948966</v>
      </c>
      <c r="AJ179" s="98" t="str">
        <f t="shared" si="110"/>
        <v>1+0.00281443767116391i</v>
      </c>
      <c r="AK179" s="98">
        <f t="shared" si="125"/>
        <v>1.0000039605218596</v>
      </c>
      <c r="AL179" s="98">
        <f t="shared" si="126"/>
        <v>2.8144302400898991E-3</v>
      </c>
      <c r="AM179" s="98" t="str">
        <f t="shared" si="111"/>
        <v>1+6.75746484846454i</v>
      </c>
      <c r="AN179" s="98">
        <f t="shared" si="127"/>
        <v>6.8310563735218794</v>
      </c>
      <c r="AO179" s="98">
        <f t="shared" si="128"/>
        <v>1.4238781169963666</v>
      </c>
      <c r="AP179" s="168" t="str">
        <f t="shared" si="129"/>
        <v>-0.251342079066511+0.0379179089486166i</v>
      </c>
      <c r="AQ179" s="98">
        <f t="shared" si="130"/>
        <v>-11.896961685817127</v>
      </c>
      <c r="AR179" s="169">
        <f t="shared" si="131"/>
        <v>171.4209516704355</v>
      </c>
      <c r="AS179" s="168" t="str">
        <f t="shared" si="132"/>
        <v>-1.75005151272096+3.28677440102283i</v>
      </c>
      <c r="AT179" s="190">
        <f t="shared" si="133"/>
        <v>11.419376105704625</v>
      </c>
      <c r="AU179" s="169">
        <f t="shared" si="134"/>
        <v>118.03318445748356</v>
      </c>
      <c r="AV179" s="225"/>
      <c r="AX179">
        <f t="shared" si="135"/>
        <v>0</v>
      </c>
      <c r="AY179">
        <f t="shared" si="136"/>
        <v>0</v>
      </c>
    </row>
    <row r="180" spans="14:51" x14ac:dyDescent="0.2">
      <c r="N180" s="170">
        <v>62</v>
      </c>
      <c r="O180" s="199">
        <f t="shared" si="102"/>
        <v>416.86938347033572</v>
      </c>
      <c r="P180" s="189" t="str">
        <f t="shared" si="103"/>
        <v>1757.57575757576</v>
      </c>
      <c r="Q180" s="160" t="str">
        <f t="shared" si="104"/>
        <v>1+151.044430748485i</v>
      </c>
      <c r="R180" s="160">
        <f t="shared" si="112"/>
        <v>151.04774099646073</v>
      </c>
      <c r="S180" s="160">
        <f t="shared" si="113"/>
        <v>1.5641758550251896</v>
      </c>
      <c r="T180" s="160" t="str">
        <f t="shared" si="105"/>
        <v>1+0.733394923865473i</v>
      </c>
      <c r="U180" s="160">
        <f t="shared" si="114"/>
        <v>1.2401081059132073</v>
      </c>
      <c r="V180" s="160">
        <f t="shared" si="115"/>
        <v>0.63278888547245371</v>
      </c>
      <c r="W180" s="98" t="str">
        <f t="shared" si="106"/>
        <v>1-0.000472013846089013i</v>
      </c>
      <c r="X180" s="160">
        <f t="shared" si="116"/>
        <v>1.0000001113985293</v>
      </c>
      <c r="Y180" s="160">
        <f t="shared" si="117"/>
        <v>-4.7201381103458359E-4</v>
      </c>
      <c r="Z180" s="98" t="str">
        <f t="shared" si="107"/>
        <v>0.99993048796685-0.0110960323131264i</v>
      </c>
      <c r="AA180" s="160">
        <f t="shared" si="118"/>
        <v>0.99999205131776769</v>
      </c>
      <c r="AB180" s="160">
        <f t="shared" si="119"/>
        <v>-1.1096348224866862E-2</v>
      </c>
      <c r="AC180" s="171" t="str">
        <f t="shared" si="120"/>
        <v>8.73315718028795-11.4871033268467i</v>
      </c>
      <c r="AD180" s="190">
        <f t="shared" si="121"/>
        <v>23.18525731723382</v>
      </c>
      <c r="AE180" s="169">
        <f t="shared" si="122"/>
        <v>-52.755812926803344</v>
      </c>
      <c r="AF180" s="98" t="str">
        <f t="shared" si="108"/>
        <v>-0.0000114342530449913</v>
      </c>
      <c r="AG180" s="98" t="str">
        <f t="shared" si="109"/>
        <v>0.000314443073607321i</v>
      </c>
      <c r="AH180" s="98">
        <f t="shared" si="123"/>
        <v>3.14443073607321E-4</v>
      </c>
      <c r="AI180" s="98">
        <f t="shared" si="124"/>
        <v>1.5707963267948966</v>
      </c>
      <c r="AJ180" s="98" t="str">
        <f t="shared" si="110"/>
        <v>1+0.002879994346113i</v>
      </c>
      <c r="AK180" s="98">
        <f t="shared" si="125"/>
        <v>1.0000041471751173</v>
      </c>
      <c r="AL180" s="98">
        <f t="shared" si="126"/>
        <v>2.8799863835755222E-3</v>
      </c>
      <c r="AM180" s="98" t="str">
        <f t="shared" si="111"/>
        <v>1+6.91486642501731i</v>
      </c>
      <c r="AN180" s="98">
        <f t="shared" si="127"/>
        <v>6.9868002458802039</v>
      </c>
      <c r="AO180" s="98">
        <f t="shared" si="128"/>
        <v>1.4271760639737772</v>
      </c>
      <c r="AP180" s="168" t="str">
        <f t="shared" si="129"/>
        <v>-0.251341985239273+0.0370873709313893i</v>
      </c>
      <c r="AQ180" s="98">
        <f t="shared" si="130"/>
        <v>-11.901154157461441</v>
      </c>
      <c r="AR180" s="169">
        <f t="shared" si="131"/>
        <v>171.60615402295616</v>
      </c>
      <c r="AS180" s="168" t="str">
        <f t="shared" si="132"/>
        <v>-1.76898260109023+3.21108119456577i</v>
      </c>
      <c r="AT180" s="190">
        <f t="shared" si="133"/>
        <v>11.284103159772375</v>
      </c>
      <c r="AU180" s="169">
        <f t="shared" si="134"/>
        <v>118.85034109615289</v>
      </c>
      <c r="AV180" s="225"/>
      <c r="AX180">
        <f t="shared" si="135"/>
        <v>0</v>
      </c>
      <c r="AY180">
        <f t="shared" si="136"/>
        <v>0</v>
      </c>
    </row>
    <row r="181" spans="14:51" x14ac:dyDescent="0.2">
      <c r="N181" s="170">
        <v>63</v>
      </c>
      <c r="O181" s="199">
        <f t="shared" si="102"/>
        <v>426.57951880159294</v>
      </c>
      <c r="P181" s="189" t="str">
        <f t="shared" si="103"/>
        <v>1757.57575757576</v>
      </c>
      <c r="Q181" s="160" t="str">
        <f t="shared" si="104"/>
        <v>1+154.56270750796i</v>
      </c>
      <c r="R181" s="160">
        <f t="shared" si="112"/>
        <v>154.56594240708785</v>
      </c>
      <c r="S181" s="160">
        <f t="shared" si="113"/>
        <v>1.5643265511069691</v>
      </c>
      <c r="T181" s="160" t="str">
        <f t="shared" si="105"/>
        <v>1+0.750477886165815i</v>
      </c>
      <c r="U181" s="160">
        <f t="shared" si="114"/>
        <v>1.250286790150128</v>
      </c>
      <c r="V181" s="160">
        <f t="shared" si="115"/>
        <v>0.64380688578910761</v>
      </c>
      <c r="W181" s="98" t="str">
        <f t="shared" si="106"/>
        <v>1-0.000483008460962373i</v>
      </c>
      <c r="X181" s="160">
        <f t="shared" si="116"/>
        <v>1.0000001166485799</v>
      </c>
      <c r="Y181" s="160">
        <f t="shared" si="117"/>
        <v>-4.8300842340087534E-4</v>
      </c>
      <c r="Z181" s="98" t="str">
        <f t="shared" si="107"/>
        <v>0.999927211965656-0.0113544921081431i</v>
      </c>
      <c r="AA181" s="160">
        <f t="shared" si="118"/>
        <v>0.99999167682558432</v>
      </c>
      <c r="AB181" s="160">
        <f t="shared" si="119"/>
        <v>-1.1354830613282388E-2</v>
      </c>
      <c r="AC181" s="171" t="str">
        <f t="shared" si="120"/>
        <v>8.72968792633047-11.2214456740217i</v>
      </c>
      <c r="AD181" s="190">
        <f t="shared" si="121"/>
        <v>23.056271111448574</v>
      </c>
      <c r="AE181" s="169">
        <f t="shared" si="122"/>
        <v>-52.118982254411513</v>
      </c>
      <c r="AF181" s="98" t="str">
        <f t="shared" si="108"/>
        <v>-0.0000114342530449913</v>
      </c>
      <c r="AG181" s="98" t="str">
        <f t="shared" si="109"/>
        <v>0.000321767393693593i</v>
      </c>
      <c r="AH181" s="98">
        <f t="shared" si="123"/>
        <v>3.2176739369359301E-4</v>
      </c>
      <c r="AI181" s="98">
        <f t="shared" si="124"/>
        <v>1.5707963267948966</v>
      </c>
      <c r="AJ181" s="98" t="str">
        <f t="shared" si="110"/>
        <v>1+0.00294707803218562i</v>
      </c>
      <c r="AK181" s="98">
        <f t="shared" si="125"/>
        <v>1.0000043426250347</v>
      </c>
      <c r="AL181" s="98">
        <f t="shared" si="126"/>
        <v>2.9470695001749948E-3</v>
      </c>
      <c r="AM181" s="98" t="str">
        <f t="shared" si="111"/>
        <v>1+7.07593435527768i</v>
      </c>
      <c r="AN181" s="98">
        <f t="shared" si="127"/>
        <v>7.146247057036228</v>
      </c>
      <c r="AO181" s="98">
        <f t="shared" si="128"/>
        <v>1.4304019831191772</v>
      </c>
      <c r="AP181" s="168" t="str">
        <f t="shared" si="129"/>
        <v>-0.251341886990169+0.0362764971036625i</v>
      </c>
      <c r="AQ181" s="98">
        <f t="shared" si="130"/>
        <v>-11.905161864868138</v>
      </c>
      <c r="AR181" s="169">
        <f t="shared" si="131"/>
        <v>171.78714199558033</v>
      </c>
      <c r="AS181" s="168" t="str">
        <f t="shared" si="132"/>
        <v>-1.78706149474664+3.13710182924169i</v>
      </c>
      <c r="AT181" s="190">
        <f t="shared" si="133"/>
        <v>11.151109246580436</v>
      </c>
      <c r="AU181" s="169">
        <f t="shared" si="134"/>
        <v>119.66815974116876</v>
      </c>
      <c r="AV181" s="225"/>
      <c r="AX181">
        <f t="shared" si="135"/>
        <v>0</v>
      </c>
      <c r="AY181">
        <f t="shared" si="136"/>
        <v>0</v>
      </c>
    </row>
    <row r="182" spans="14:51" x14ac:dyDescent="0.2">
      <c r="N182" s="170">
        <v>64</v>
      </c>
      <c r="O182" s="199">
        <f t="shared" si="102"/>
        <v>436.51583224016622</v>
      </c>
      <c r="P182" s="189" t="str">
        <f t="shared" si="103"/>
        <v>1757.57575757576</v>
      </c>
      <c r="Q182" s="160" t="str">
        <f t="shared" si="104"/>
        <v>1+158.162935460835i</v>
      </c>
      <c r="R182" s="160">
        <f t="shared" si="112"/>
        <v>158.16609672615766</v>
      </c>
      <c r="S182" s="160">
        <f t="shared" si="113"/>
        <v>1.5644738172110821</v>
      </c>
      <c r="T182" s="160" t="str">
        <f t="shared" si="105"/>
        <v>1+0.767958761775151i</v>
      </c>
      <c r="U182" s="160">
        <f t="shared" si="114"/>
        <v>1.2608571131524868</v>
      </c>
      <c r="V182" s="160">
        <f t="shared" si="115"/>
        <v>0.65489599262677434</v>
      </c>
      <c r="W182" s="98" t="str">
        <f t="shared" si="106"/>
        <v>1-0.000494259173315108i</v>
      </c>
      <c r="X182" s="160">
        <f t="shared" si="116"/>
        <v>1.0000001221460577</v>
      </c>
      <c r="Y182" s="160">
        <f t="shared" si="117"/>
        <v>-4.9425913306723837E-4</v>
      </c>
      <c r="Z182" s="98" t="str">
        <f t="shared" si="107"/>
        <v>0.999923781571281-0.0116189722051699i</v>
      </c>
      <c r="AA182" s="160">
        <f t="shared" si="118"/>
        <v>0.99999128469547949</v>
      </c>
      <c r="AB182" s="160">
        <f t="shared" si="119"/>
        <v>-1.1619334919524703E-2</v>
      </c>
      <c r="AC182" s="171" t="str">
        <f t="shared" si="120"/>
        <v>8.72637301880228-10.9617357624878i</v>
      </c>
      <c r="AD182" s="190">
        <f t="shared" si="121"/>
        <v>22.929407350526599</v>
      </c>
      <c r="AE182" s="169">
        <f t="shared" si="122"/>
        <v>-51.477550598044232</v>
      </c>
      <c r="AF182" s="98" t="str">
        <f t="shared" si="108"/>
        <v>-0.0000114342530449913</v>
      </c>
      <c r="AG182" s="98" t="str">
        <f t="shared" si="109"/>
        <v>0.000329262319111096i</v>
      </c>
      <c r="AH182" s="98">
        <f t="shared" si="123"/>
        <v>3.2926231911109598E-4</v>
      </c>
      <c r="AI182" s="98">
        <f t="shared" si="124"/>
        <v>1.5707963267948966</v>
      </c>
      <c r="AJ182" s="98" t="str">
        <f t="shared" si="110"/>
        <v>1+0.0030157242980401i</v>
      </c>
      <c r="AK182" s="98">
        <f t="shared" si="125"/>
        <v>1.000004547286182</v>
      </c>
      <c r="AL182" s="98">
        <f t="shared" si="126"/>
        <v>3.0157151558282479E-3</v>
      </c>
      <c r="AM182" s="98" t="str">
        <f t="shared" si="111"/>
        <v>1+7.24075403959427i</v>
      </c>
      <c r="AN182" s="98">
        <f t="shared" si="127"/>
        <v>7.3094814495900282</v>
      </c>
      <c r="AO182" s="98">
        <f t="shared" si="128"/>
        <v>1.4335573161516704</v>
      </c>
      <c r="AP182" s="168" t="str">
        <f t="shared" si="129"/>
        <v>-0.251341784110809+0.0354848575275773i</v>
      </c>
      <c r="AQ182" s="98">
        <f t="shared" si="130"/>
        <v>-11.908992804721109</v>
      </c>
      <c r="AR182" s="169">
        <f t="shared" si="131"/>
        <v>171.96399615494957</v>
      </c>
      <c r="AS182" s="168" t="str">
        <f t="shared" si="132"/>
        <v>-1.80432653157536+3.06479632679964i</v>
      </c>
      <c r="AT182" s="190">
        <f t="shared" si="133"/>
        <v>11.020414545805494</v>
      </c>
      <c r="AU182" s="169">
        <f t="shared" si="134"/>
        <v>120.48644555690525</v>
      </c>
      <c r="AV182" s="225"/>
      <c r="AX182">
        <f t="shared" si="135"/>
        <v>0</v>
      </c>
      <c r="AY182">
        <f t="shared" si="136"/>
        <v>0</v>
      </c>
    </row>
    <row r="183" spans="14:51" x14ac:dyDescent="0.2">
      <c r="N183" s="170">
        <v>65</v>
      </c>
      <c r="O183" s="199">
        <f t="shared" si="102"/>
        <v>446.68359215096331</v>
      </c>
      <c r="P183" s="189" t="str">
        <f t="shared" si="103"/>
        <v>1757.57575757576</v>
      </c>
      <c r="Q183" s="160" t="str">
        <f t="shared" si="104"/>
        <v>1+161.847023495626i</v>
      </c>
      <c r="R183" s="160">
        <f t="shared" si="112"/>
        <v>161.85011280315413</v>
      </c>
      <c r="S183" s="160">
        <f t="shared" si="113"/>
        <v>1.5646177313944014</v>
      </c>
      <c r="T183" s="160" t="str">
        <f t="shared" si="105"/>
        <v>1+0.785846819285117i</v>
      </c>
      <c r="U183" s="160">
        <f t="shared" si="114"/>
        <v>1.2718314445635222</v>
      </c>
      <c r="V183" s="160">
        <f t="shared" si="115"/>
        <v>0.66605117715015139</v>
      </c>
      <c r="W183" s="98" t="str">
        <f t="shared" si="106"/>
        <v>1-0.000505771948423829i</v>
      </c>
      <c r="X183" s="160">
        <f t="shared" si="116"/>
        <v>1.0000001279026238</v>
      </c>
      <c r="Y183" s="160">
        <f t="shared" si="117"/>
        <v>-5.0577190529746006E-4</v>
      </c>
      <c r="Z183" s="98" t="str">
        <f t="shared" si="107"/>
        <v>0.999920189507401-0.0118896128350552i</v>
      </c>
      <c r="AA183" s="160">
        <f t="shared" si="118"/>
        <v>0.99999087409730103</v>
      </c>
      <c r="AB183" s="160">
        <f t="shared" si="119"/>
        <v>-1.1890001489998468E-2</v>
      </c>
      <c r="AC183" s="171" t="str">
        <f t="shared" si="120"/>
        <v>8.72320542802423-10.7078360241549i</v>
      </c>
      <c r="AD183" s="190">
        <f t="shared" si="121"/>
        <v>22.804692487293359</v>
      </c>
      <c r="AE183" s="169">
        <f t="shared" si="122"/>
        <v>-50.831802861597389</v>
      </c>
      <c r="AF183" s="98" t="str">
        <f t="shared" si="108"/>
        <v>-0.0000114342530449913</v>
      </c>
      <c r="AG183" s="98" t="str">
        <f t="shared" si="109"/>
        <v>0.000336931823768494i</v>
      </c>
      <c r="AH183" s="98">
        <f t="shared" si="123"/>
        <v>3.3693182376849401E-4</v>
      </c>
      <c r="AI183" s="98">
        <f t="shared" si="124"/>
        <v>1.5707963267948966</v>
      </c>
      <c r="AJ183" s="98" t="str">
        <f t="shared" si="110"/>
        <v>1+0.00308596954083523i</v>
      </c>
      <c r="AK183" s="98">
        <f t="shared" si="125"/>
        <v>1.000004761592667</v>
      </c>
      <c r="AL183" s="98">
        <f t="shared" si="126"/>
        <v>3.0859597447812572E-3</v>
      </c>
      <c r="AM183" s="98" t="str">
        <f t="shared" si="111"/>
        <v>1+7.40941286754538i</v>
      </c>
      <c r="AN183" s="98">
        <f t="shared" si="127"/>
        <v>7.4765900677880577</v>
      </c>
      <c r="AO183" s="98">
        <f t="shared" si="128"/>
        <v>1.4366434846195755</v>
      </c>
      <c r="AP183" s="168" t="str">
        <f t="shared" si="129"/>
        <v>-0.251341676382985+0.0347120324633996i</v>
      </c>
      <c r="AQ183" s="98">
        <f t="shared" si="130"/>
        <v>-11.912654642013925</v>
      </c>
      <c r="AR183" s="169">
        <f t="shared" si="131"/>
        <v>172.13679586454623</v>
      </c>
      <c r="AS183" s="168" t="str">
        <f t="shared" si="132"/>
        <v>-1.82081432402954+2.99412564674769i</v>
      </c>
      <c r="AT183" s="190">
        <f t="shared" si="133"/>
        <v>10.89203784527944</v>
      </c>
      <c r="AU183" s="169">
        <f t="shared" si="134"/>
        <v>121.30499300294886</v>
      </c>
      <c r="AV183" s="225"/>
      <c r="AX183">
        <f t="shared" si="135"/>
        <v>0</v>
      </c>
      <c r="AY183">
        <f t="shared" si="136"/>
        <v>0</v>
      </c>
    </row>
    <row r="184" spans="14:51" x14ac:dyDescent="0.2">
      <c r="N184" s="170">
        <v>66</v>
      </c>
      <c r="O184" s="199">
        <f t="shared" ref="O184:O218" si="137">10^(2+(N184/100))</f>
        <v>457.0881896148756</v>
      </c>
      <c r="P184" s="189" t="str">
        <f t="shared" si="103"/>
        <v>1757.57575757576</v>
      </c>
      <c r="Q184" s="160" t="str">
        <f t="shared" si="104"/>
        <v>1+165.616924964572i</v>
      </c>
      <c r="R184" s="160">
        <f t="shared" si="112"/>
        <v>165.61994395217226</v>
      </c>
      <c r="S184" s="160">
        <f t="shared" si="113"/>
        <v>1.5647583699382728</v>
      </c>
      <c r="T184" s="160" t="str">
        <f t="shared" si="105"/>
        <v>1+0.80415154318058i</v>
      </c>
      <c r="U184" s="160">
        <f t="shared" si="114"/>
        <v>1.2832223908581506</v>
      </c>
      <c r="V184" s="160">
        <f t="shared" si="115"/>
        <v>0.67726724947333083</v>
      </c>
      <c r="W184" s="98" t="str">
        <f t="shared" si="106"/>
        <v>1-0.000517552890514287i</v>
      </c>
      <c r="X184" s="160">
        <f t="shared" si="116"/>
        <v>1.0000001339304883</v>
      </c>
      <c r="Y184" s="160">
        <f t="shared" si="117"/>
        <v>-5.1755284430355048E-4</v>
      </c>
      <c r="Z184" s="98" t="str">
        <f t="shared" si="107"/>
        <v>0.999916428154766-0.0121665574950433i</v>
      </c>
      <c r="AA184" s="160">
        <f t="shared" si="118"/>
        <v>0.99999044416187566</v>
      </c>
      <c r="AB184" s="160">
        <f t="shared" si="119"/>
        <v>-1.216697394576808E-2</v>
      </c>
      <c r="AC184" s="171" t="str">
        <f t="shared" si="120"/>
        <v>8.72017843664171-10.4596119625713i</v>
      </c>
      <c r="AD184" s="190">
        <f t="shared" si="121"/>
        <v>22.682151151253972</v>
      </c>
      <c r="AE184" s="169">
        <f t="shared" si="122"/>
        <v>-50.182032895093315</v>
      </c>
      <c r="AF184" s="98" t="str">
        <f t="shared" si="108"/>
        <v>-0.0000114342530449913</v>
      </c>
      <c r="AG184" s="98" t="str">
        <f t="shared" si="109"/>
        <v>0.000344779974138674i</v>
      </c>
      <c r="AH184" s="98">
        <f t="shared" si="123"/>
        <v>3.44779974138674E-4</v>
      </c>
      <c r="AI184" s="98">
        <f t="shared" si="124"/>
        <v>1.5707963267948966</v>
      </c>
      <c r="AJ184" s="98" t="str">
        <f t="shared" si="110"/>
        <v>1+0.00315785100552855i</v>
      </c>
      <c r="AK184" s="98">
        <f t="shared" si="125"/>
        <v>1.0000049859990565</v>
      </c>
      <c r="AL184" s="98">
        <f t="shared" si="126"/>
        <v>3.1578405088704296E-3</v>
      </c>
      <c r="AM184" s="98" t="str">
        <f t="shared" si="111"/>
        <v>1+7.58200026427404i</v>
      </c>
      <c r="AN184" s="98">
        <f t="shared" si="127"/>
        <v>7.647661603879425</v>
      </c>
      <c r="AO184" s="98">
        <f t="shared" si="128"/>
        <v>1.439661889574269</v>
      </c>
      <c r="AP184" s="168" t="str">
        <f t="shared" si="129"/>
        <v>-0.251341563578204+0.0339576121469588i</v>
      </c>
      <c r="AQ184" s="98">
        <f t="shared" si="130"/>
        <v>-11.916154722641906</v>
      </c>
      <c r="AR184" s="169">
        <f t="shared" si="131"/>
        <v>172.30561926490105</v>
      </c>
      <c r="AS184" s="168" t="str">
        <f t="shared" si="132"/>
        <v>-1.83655983671378+2.92505166229771i</v>
      </c>
      <c r="AT184" s="190">
        <f t="shared" si="133"/>
        <v>10.765996428612073</v>
      </c>
      <c r="AU184" s="169">
        <f t="shared" si="134"/>
        <v>122.12358636980774</v>
      </c>
      <c r="AV184" s="225"/>
      <c r="AX184">
        <f t="shared" si="135"/>
        <v>0</v>
      </c>
      <c r="AY184">
        <f t="shared" si="136"/>
        <v>0</v>
      </c>
    </row>
    <row r="185" spans="14:51" x14ac:dyDescent="0.2">
      <c r="N185" s="170">
        <v>67</v>
      </c>
      <c r="O185" s="199">
        <f t="shared" si="137"/>
        <v>467.7351412871983</v>
      </c>
      <c r="P185" s="189" t="str">
        <f t="shared" si="103"/>
        <v>1757.57575757576</v>
      </c>
      <c r="Q185" s="160" t="str">
        <f t="shared" si="104"/>
        <v>1+169.474638719334i</v>
      </c>
      <c r="R185" s="160">
        <f t="shared" si="112"/>
        <v>169.47758898759676</v>
      </c>
      <c r="S185" s="160">
        <f t="shared" si="113"/>
        <v>1.5648958073888473</v>
      </c>
      <c r="T185" s="160" t="str">
        <f t="shared" si="105"/>
        <v>1+0.822882638868441i</v>
      </c>
      <c r="U185" s="160">
        <f t="shared" si="114"/>
        <v>1.2950427936369859</v>
      </c>
      <c r="V185" s="160">
        <f t="shared" si="115"/>
        <v>0.68853886924280527</v>
      </c>
      <c r="W185" s="98" t="str">
        <f t="shared" si="106"/>
        <v>1-0.000529608245997918i</v>
      </c>
      <c r="X185" s="160">
        <f t="shared" si="116"/>
        <v>1.0000001402424372</v>
      </c>
      <c r="Y185" s="160">
        <f t="shared" si="117"/>
        <v>-5.2960819648222208E-4</v>
      </c>
      <c r="Z185" s="98" t="str">
        <f t="shared" si="107"/>
        <v>0.999912489535042-0.0124499530248587i</v>
      </c>
      <c r="AA185" s="160">
        <f t="shared" si="118"/>
        <v>0.99998999397918309</v>
      </c>
      <c r="AB185" s="160">
        <f t="shared" si="119"/>
        <v>-1.245039925923286E-2</v>
      </c>
      <c r="AC185" s="171" t="str">
        <f t="shared" si="120"/>
        <v>8.71728562538894-10.216932082206i</v>
      </c>
      <c r="AD185" s="190">
        <f t="shared" si="121"/>
        <v>22.56180605396214</v>
      </c>
      <c r="AE185" s="169">
        <f t="shared" si="122"/>
        <v>-49.528542886422784</v>
      </c>
      <c r="AF185" s="98" t="str">
        <f t="shared" si="108"/>
        <v>-0.0000114342530449913</v>
      </c>
      <c r="AG185" s="98" t="str">
        <f t="shared" si="109"/>
        <v>0.000352810931414845i</v>
      </c>
      <c r="AH185" s="98">
        <f t="shared" si="123"/>
        <v>3.52810931414845E-4</v>
      </c>
      <c r="AI185" s="98">
        <f t="shared" si="124"/>
        <v>1.5707963267948966</v>
      </c>
      <c r="AJ185" s="98" t="str">
        <f t="shared" si="110"/>
        <v>1+0.00323140680462409i</v>
      </c>
      <c r="AK185" s="98">
        <f t="shared" si="125"/>
        <v>1.000005220981339</v>
      </c>
      <c r="AL185" s="98">
        <f t="shared" si="126"/>
        <v>3.2313955572554447E-3</v>
      </c>
      <c r="AM185" s="98" t="str">
        <f t="shared" si="111"/>
        <v>1+7.75860773790244i</v>
      </c>
      <c r="AN185" s="98">
        <f t="shared" si="127"/>
        <v>7.8227868455327112</v>
      </c>
      <c r="AO185" s="98">
        <f t="shared" si="128"/>
        <v>1.4426139112977421</v>
      </c>
      <c r="AP185" s="168" t="str">
        <f t="shared" si="129"/>
        <v>-0.251341445457205+0.0332211965723755i</v>
      </c>
      <c r="AQ185" s="98">
        <f t="shared" si="130"/>
        <v>-11.91950008562223</v>
      </c>
      <c r="AR185" s="169">
        <f t="shared" si="131"/>
        <v>172.47054325685264</v>
      </c>
      <c r="AS185" s="168" t="str">
        <f t="shared" si="132"/>
        <v>-1.851596460479+2.85753713701834i</v>
      </c>
      <c r="AT185" s="190">
        <f t="shared" si="133"/>
        <v>10.642305968339926</v>
      </c>
      <c r="AU185" s="169">
        <f t="shared" si="134"/>
        <v>122.94200037042989</v>
      </c>
      <c r="AV185" s="225"/>
      <c r="AX185">
        <f t="shared" si="135"/>
        <v>0</v>
      </c>
      <c r="AY185">
        <f t="shared" si="136"/>
        <v>0</v>
      </c>
    </row>
    <row r="186" spans="14:51" x14ac:dyDescent="0.2">
      <c r="N186" s="170">
        <v>68</v>
      </c>
      <c r="O186" s="199">
        <f t="shared" si="137"/>
        <v>478.63009232263886</v>
      </c>
      <c r="P186" s="189" t="str">
        <f t="shared" si="103"/>
        <v>1757.57575757576</v>
      </c>
      <c r="Q186" s="160" t="str">
        <f t="shared" si="104"/>
        <v>1+173.422210170807i</v>
      </c>
      <c r="R186" s="160">
        <f t="shared" si="112"/>
        <v>173.42509328389463</v>
      </c>
      <c r="S186" s="160">
        <f t="shared" si="113"/>
        <v>1.5650301165964999</v>
      </c>
      <c r="T186" s="160" t="str">
        <f t="shared" si="105"/>
        <v>1+0.842050037823571i</v>
      </c>
      <c r="U186" s="160">
        <f t="shared" si="114"/>
        <v>1.3073057278994373</v>
      </c>
      <c r="V186" s="160">
        <f t="shared" si="115"/>
        <v>0.69986055709661088</v>
      </c>
      <c r="W186" s="98" t="str">
        <f t="shared" si="106"/>
        <v>1-0.000541944406783771i</v>
      </c>
      <c r="X186" s="160">
        <f t="shared" si="116"/>
        <v>1.0000001468518591</v>
      </c>
      <c r="Y186" s="160">
        <f t="shared" si="117"/>
        <v>-5.4194435372674726E-4</v>
      </c>
      <c r="Z186" s="98" t="str">
        <f t="shared" si="107"/>
        <v>0.999908365293889-0.0127399496845625i</v>
      </c>
      <c r="AA186" s="160">
        <f t="shared" si="118"/>
        <v>0.99998952259644336</v>
      </c>
      <c r="AB186" s="160">
        <f t="shared" si="119"/>
        <v>-1.2740427832616648E-2</v>
      </c>
      <c r="AC186" s="171" t="str">
        <f t="shared" si="120"/>
        <v>8.71452085948473-9.97966781928252i</v>
      </c>
      <c r="AD186" s="190">
        <f t="shared" si="121"/>
        <v>22.443677900288506</v>
      </c>
      <c r="AE186" s="169">
        <f t="shared" si="122"/>
        <v>-48.871642702735762</v>
      </c>
      <c r="AF186" s="98" t="str">
        <f t="shared" si="108"/>
        <v>-0.0000114342530449913</v>
      </c>
      <c r="AG186" s="98" t="str">
        <f t="shared" si="109"/>
        <v>0.000361028953716856i</v>
      </c>
      <c r="AH186" s="98">
        <f t="shared" si="123"/>
        <v>3.6102895371685598E-4</v>
      </c>
      <c r="AI186" s="98">
        <f t="shared" si="124"/>
        <v>1.5707963267948966</v>
      </c>
      <c r="AJ186" s="98" t="str">
        <f t="shared" si="110"/>
        <v>1+0.00330667593838018i</v>
      </c>
      <c r="AK186" s="98">
        <f t="shared" si="125"/>
        <v>1.0000054670379366</v>
      </c>
      <c r="AL186" s="98">
        <f t="shared" si="126"/>
        <v>3.3066638866111019E-3</v>
      </c>
      <c r="AM186" s="98" t="str">
        <f t="shared" si="111"/>
        <v>1+7.93932892805081i</v>
      </c>
      <c r="AN186" s="98">
        <f t="shared" si="127"/>
        <v>8.0020587243399071</v>
      </c>
      <c r="AO186" s="98">
        <f t="shared" si="128"/>
        <v>1.4455009090801825</v>
      </c>
      <c r="AP186" s="168" t="str">
        <f t="shared" si="129"/>
        <v>-0.251341321769456+0.0325023952799626i</v>
      </c>
      <c r="AQ186" s="98">
        <f t="shared" si="130"/>
        <v>-11.922697474943513</v>
      </c>
      <c r="AR186" s="169">
        <f t="shared" si="131"/>
        <v>172.63164348764704</v>
      </c>
      <c r="AS186" s="168" t="str">
        <f t="shared" si="132"/>
        <v>-1.86595608318535+2.79154570216903i</v>
      </c>
      <c r="AT186" s="190">
        <f t="shared" si="133"/>
        <v>10.520980425345012</v>
      </c>
      <c r="AU186" s="169">
        <f t="shared" si="134"/>
        <v>123.76000078491131</v>
      </c>
      <c r="AV186" s="225"/>
      <c r="AX186">
        <f t="shared" si="135"/>
        <v>0</v>
      </c>
      <c r="AY186">
        <f t="shared" si="136"/>
        <v>0</v>
      </c>
    </row>
    <row r="187" spans="14:51" x14ac:dyDescent="0.2">
      <c r="N187" s="170">
        <v>69</v>
      </c>
      <c r="O187" s="199">
        <f t="shared" si="137"/>
        <v>489.77881936844625</v>
      </c>
      <c r="P187" s="189" t="str">
        <f t="shared" si="103"/>
        <v>1757.57575757576</v>
      </c>
      <c r="Q187" s="160" t="str">
        <f t="shared" si="104"/>
        <v>1+177.461732373627i</v>
      </c>
      <c r="R187" s="160">
        <f t="shared" si="112"/>
        <v>177.46454986010249</v>
      </c>
      <c r="S187" s="160">
        <f t="shared" si="113"/>
        <v>1.5651613687543569</v>
      </c>
      <c r="T187" s="160" t="str">
        <f t="shared" si="105"/>
        <v>1+0.861663902854605i</v>
      </c>
      <c r="U187" s="160">
        <f t="shared" si="114"/>
        <v>1.3200245003342288</v>
      </c>
      <c r="V187" s="160">
        <f t="shared" si="115"/>
        <v>0.71122670694846457</v>
      </c>
      <c r="W187" s="98" t="str">
        <f t="shared" si="106"/>
        <v>1-0.000554567913667584i</v>
      </c>
      <c r="X187" s="160">
        <f t="shared" si="116"/>
        <v>1.0000001537727736</v>
      </c>
      <c r="Y187" s="160">
        <f t="shared" si="117"/>
        <v>-5.5456785681595928E-4</v>
      </c>
      <c r="Z187" s="98" t="str">
        <f t="shared" si="107"/>
        <v>0.999904046683239-0.0130367012342222i</v>
      </c>
      <c r="AA187" s="160">
        <f t="shared" si="118"/>
        <v>0.99998902901611242</v>
      </c>
      <c r="AB187" s="160">
        <f t="shared" si="119"/>
        <v>-1.303721357831605E-2</v>
      </c>
      <c r="AC187" s="171" t="str">
        <f t="shared" si="120"/>
        <v>8.71187827563061-9.74769347412962i</v>
      </c>
      <c r="AD187" s="190">
        <f t="shared" si="121"/>
        <v>22.32778530630322</v>
      </c>
      <c r="AE187" s="169">
        <f t="shared" si="122"/>
        <v>-48.211649184409929</v>
      </c>
      <c r="AF187" s="98" t="str">
        <f t="shared" si="108"/>
        <v>-0.0000114342530449913</v>
      </c>
      <c r="AG187" s="98" t="str">
        <f t="shared" si="109"/>
        <v>0.000369438398348912i</v>
      </c>
      <c r="AH187" s="98">
        <f t="shared" si="123"/>
        <v>3.69438398348912E-4</v>
      </c>
      <c r="AI187" s="98">
        <f t="shared" si="124"/>
        <v>1.5707963267948966</v>
      </c>
      <c r="AJ187" s="98" t="str">
        <f t="shared" si="110"/>
        <v>1+0.00338369831548783i</v>
      </c>
      <c r="AK187" s="98">
        <f t="shared" si="125"/>
        <v>1.000005724690759</v>
      </c>
      <c r="AL187" s="98">
        <f t="shared" si="126"/>
        <v>3.3836854017885933E-3</v>
      </c>
      <c r="AM187" s="98" t="str">
        <f t="shared" si="111"/>
        <v>1+8.12425965548627i</v>
      </c>
      <c r="AN187" s="98">
        <f t="shared" si="127"/>
        <v>8.1855723654343127</v>
      </c>
      <c r="AO187" s="98">
        <f t="shared" si="128"/>
        <v>1.4483242210440848</v>
      </c>
      <c r="AP187" s="168" t="str">
        <f t="shared" si="129"/>
        <v>-0.251341192252612+0.0318008271491868i</v>
      </c>
      <c r="AQ187" s="98">
        <f t="shared" si="130"/>
        <v>-11.925753351047758</v>
      </c>
      <c r="AR187" s="169">
        <f t="shared" si="131"/>
        <v>172.78899433967604</v>
      </c>
      <c r="AS187" s="168" t="str">
        <f t="shared" si="132"/>
        <v>-1.87966915728257+2.72704183468883i</v>
      </c>
      <c r="AT187" s="190">
        <f t="shared" si="133"/>
        <v>10.402031955255456</v>
      </c>
      <c r="AU187" s="169">
        <f t="shared" si="134"/>
        <v>124.57734515526604</v>
      </c>
      <c r="AV187" s="225"/>
      <c r="AX187">
        <f t="shared" si="135"/>
        <v>0</v>
      </c>
      <c r="AY187">
        <f t="shared" si="136"/>
        <v>0</v>
      </c>
    </row>
    <row r="188" spans="14:51" x14ac:dyDescent="0.2">
      <c r="N188" s="170">
        <v>70</v>
      </c>
      <c r="O188" s="199">
        <f t="shared" si="137"/>
        <v>501.18723362727269</v>
      </c>
      <c r="P188" s="189" t="str">
        <f t="shared" si="103"/>
        <v>1757.57575757576</v>
      </c>
      <c r="Q188" s="160" t="str">
        <f t="shared" si="104"/>
        <v>1+181.595347135935i</v>
      </c>
      <c r="R188" s="160">
        <f t="shared" si="112"/>
        <v>181.59810048957212</v>
      </c>
      <c r="S188" s="160">
        <f t="shared" si="113"/>
        <v>1.5652896334359505</v>
      </c>
      <c r="T188" s="160" t="str">
        <f t="shared" si="105"/>
        <v>1+0.881734633492401i</v>
      </c>
      <c r="U188" s="160">
        <f t="shared" si="114"/>
        <v>1.3332126476672725</v>
      </c>
      <c r="V188" s="160">
        <f t="shared" si="115"/>
        <v>0.7226315990369232</v>
      </c>
      <c r="W188" s="98" t="str">
        <f t="shared" si="106"/>
        <v>1-0.000567485459799796i</v>
      </c>
      <c r="X188" s="160">
        <f t="shared" si="116"/>
        <v>1.0000001610198606</v>
      </c>
      <c r="Y188" s="160">
        <f t="shared" si="117"/>
        <v>-5.6748539888218309E-4</v>
      </c>
      <c r="Z188" s="98" t="str">
        <f t="shared" si="107"/>
        <v>0.99989952454274-0.0133403650154375i</v>
      </c>
      <c r="AA188" s="160">
        <f t="shared" si="118"/>
        <v>0.99998851219378637</v>
      </c>
      <c r="AB188" s="160">
        <f t="shared" si="119"/>
        <v>-1.3340914001153238E-2</v>
      </c>
      <c r="AC188" s="171" t="str">
        <f t="shared" si="120"/>
        <v>8.7093522695834-9.52088614501521i</v>
      </c>
      <c r="AD188" s="190">
        <f t="shared" si="121"/>
        <v>22.214144724448683</v>
      </c>
      <c r="AE188" s="169">
        <f t="shared" si="122"/>
        <v>-47.548885395032222</v>
      </c>
      <c r="AF188" s="98" t="str">
        <f t="shared" si="108"/>
        <v>-0.0000114342530449913</v>
      </c>
      <c r="AG188" s="98" t="str">
        <f t="shared" si="109"/>
        <v>0.000378043724109867i</v>
      </c>
      <c r="AH188" s="98">
        <f t="shared" si="123"/>
        <v>3.7804372410986701E-4</v>
      </c>
      <c r="AI188" s="98">
        <f t="shared" si="124"/>
        <v>1.5707963267948966</v>
      </c>
      <c r="AJ188" s="98" t="str">
        <f t="shared" si="110"/>
        <v>1+0.00346251477423088i</v>
      </c>
      <c r="AK188" s="98">
        <f t="shared" si="125"/>
        <v>1.000005994486314</v>
      </c>
      <c r="AL188" s="98">
        <f t="shared" si="126"/>
        <v>3.4625009369573254E-3</v>
      </c>
      <c r="AM188" s="98" t="str">
        <f t="shared" si="111"/>
        <v>1+8.31349797292835i</v>
      </c>
      <c r="AN188" s="98">
        <f t="shared" si="127"/>
        <v>8.3734251382504024</v>
      </c>
      <c r="AO188" s="98">
        <f t="shared" si="128"/>
        <v>1.4510851640115721</v>
      </c>
      <c r="AP188" s="168" t="str">
        <f t="shared" si="129"/>
        <v>-0.25134105663197+0.0311161201965809i</v>
      </c>
      <c r="AQ188" s="98">
        <f t="shared" si="130"/>
        <v>-11.92867390194678</v>
      </c>
      <c r="AR188" s="169">
        <f t="shared" si="131"/>
        <v>172.94266892166416</v>
      </c>
      <c r="AS188" s="168" t="str">
        <f t="shared" si="132"/>
        <v>-1.89276476435088+2.66399083581553i</v>
      </c>
      <c r="AT188" s="190">
        <f t="shared" si="133"/>
        <v>10.285470822501903</v>
      </c>
      <c r="AU188" s="169">
        <f t="shared" si="134"/>
        <v>125.39378352663188</v>
      </c>
      <c r="AV188" s="225"/>
      <c r="AX188">
        <f t="shared" si="135"/>
        <v>0</v>
      </c>
      <c r="AY188">
        <f t="shared" si="136"/>
        <v>0</v>
      </c>
    </row>
    <row r="189" spans="14:51" x14ac:dyDescent="0.2">
      <c r="N189" s="170">
        <v>71</v>
      </c>
      <c r="O189" s="199">
        <f t="shared" si="137"/>
        <v>512.86138399136519</v>
      </c>
      <c r="P189" s="189" t="str">
        <f t="shared" si="103"/>
        <v>1757.57575757576</v>
      </c>
      <c r="Q189" s="160" t="str">
        <f t="shared" si="104"/>
        <v>1+185.825246154994i</v>
      </c>
      <c r="R189" s="160">
        <f t="shared" si="112"/>
        <v>185.82793683556869</v>
      </c>
      <c r="S189" s="160">
        <f t="shared" si="113"/>
        <v>1.5654149786320213</v>
      </c>
      <c r="T189" s="160" t="str">
        <f t="shared" si="105"/>
        <v>1+0.902272871504013i</v>
      </c>
      <c r="U189" s="160">
        <f t="shared" si="114"/>
        <v>1.3468839351080319</v>
      </c>
      <c r="V189" s="160">
        <f t="shared" si="115"/>
        <v>0.73406941367119105</v>
      </c>
      <c r="W189" s="98" t="str">
        <f t="shared" si="106"/>
        <v>1-0.000580703894234353i</v>
      </c>
      <c r="X189" s="160">
        <f t="shared" si="116"/>
        <v>1.0000001686084921</v>
      </c>
      <c r="Y189" s="160">
        <f t="shared" si="117"/>
        <v>-5.8070382895995538E-4</v>
      </c>
      <c r="Z189" s="98" t="str">
        <f t="shared" si="107"/>
        <v>0.999894789280324-0.0136511020347645i</v>
      </c>
      <c r="AA189" s="160">
        <f t="shared" si="118"/>
        <v>0.99998797103600567</v>
      </c>
      <c r="AB189" s="160">
        <f t="shared" si="119"/>
        <v>-1.36516902825791E-2</v>
      </c>
      <c r="AC189" s="171" t="str">
        <f t="shared" si="120"/>
        <v>8.7069374842771-9.29912566343197i</v>
      </c>
      <c r="AD189" s="190">
        <f t="shared" si="121"/>
        <v>22.102770376631781</v>
      </c>
      <c r="AE189" s="169">
        <f t="shared" si="122"/>
        <v>-46.88367983130955</v>
      </c>
      <c r="AF189" s="98" t="str">
        <f t="shared" si="108"/>
        <v>-0.0000114342530449913</v>
      </c>
      <c r="AG189" s="98" t="str">
        <f t="shared" si="109"/>
        <v>0.000386849493657346i</v>
      </c>
      <c r="AH189" s="98">
        <f t="shared" si="123"/>
        <v>3.8684949365734599E-4</v>
      </c>
      <c r="AI189" s="98">
        <f t="shared" si="124"/>
        <v>1.5707963267948966</v>
      </c>
      <c r="AJ189" s="98" t="str">
        <f t="shared" si="110"/>
        <v>1+0.00354316710413904i</v>
      </c>
      <c r="AK189" s="98">
        <f t="shared" si="125"/>
        <v>1.0000062769968636</v>
      </c>
      <c r="AL189" s="98">
        <f t="shared" si="126"/>
        <v>3.5431522772383216E-3</v>
      </c>
      <c r="AM189" s="98" t="str">
        <f t="shared" si="111"/>
        <v>1+8.50714421703783i</v>
      </c>
      <c r="AN189" s="98">
        <f t="shared" si="127"/>
        <v>8.565716708453543</v>
      </c>
      <c r="AO189" s="98">
        <f t="shared" si="128"/>
        <v>1.4537850334117832</v>
      </c>
      <c r="AP189" s="168" t="str">
        <f t="shared" si="129"/>
        <v>-0.251340914619882+0.0304479113785004i</v>
      </c>
      <c r="AQ189" s="98">
        <f t="shared" si="130"/>
        <v>-11.931465053978673</v>
      </c>
      <c r="AR189" s="169">
        <f t="shared" si="131"/>
        <v>173.09273906212266</v>
      </c>
      <c r="AS189" s="168" t="str">
        <f t="shared" si="132"/>
        <v>-1.90527067673863+2.60235881031162i</v>
      </c>
      <c r="AT189" s="190">
        <f t="shared" si="133"/>
        <v>10.171305322653115</v>
      </c>
      <c r="AU189" s="169">
        <f t="shared" si="134"/>
        <v>126.2090592308132</v>
      </c>
      <c r="AV189" s="225"/>
      <c r="AX189">
        <f t="shared" si="135"/>
        <v>0</v>
      </c>
      <c r="AY189">
        <f t="shared" si="136"/>
        <v>0</v>
      </c>
    </row>
    <row r="190" spans="14:51" x14ac:dyDescent="0.2">
      <c r="N190" s="170">
        <v>72</v>
      </c>
      <c r="O190" s="199">
        <f t="shared" si="137"/>
        <v>524.80746024977248</v>
      </c>
      <c r="P190" s="189" t="str">
        <f t="shared" si="103"/>
        <v>1757.57575757576</v>
      </c>
      <c r="Q190" s="160" t="str">
        <f t="shared" si="104"/>
        <v>1+190.153672179251i</v>
      </c>
      <c r="R190" s="160">
        <f t="shared" si="112"/>
        <v>190.15630161331509</v>
      </c>
      <c r="S190" s="160">
        <f t="shared" si="113"/>
        <v>1.565537470786488</v>
      </c>
      <c r="T190" s="160" t="str">
        <f t="shared" si="105"/>
        <v>1+0.923289506535091i</v>
      </c>
      <c r="U190" s="160">
        <f t="shared" si="114"/>
        <v>1.3610523549363602</v>
      </c>
      <c r="V190" s="160">
        <f t="shared" si="115"/>
        <v>0.74553424559740211</v>
      </c>
      <c r="W190" s="98" t="str">
        <f t="shared" si="106"/>
        <v>1-0.000594230225560159i</v>
      </c>
      <c r="X190" s="160">
        <f t="shared" si="116"/>
        <v>1.0000001765547648</v>
      </c>
      <c r="Y190" s="160">
        <f t="shared" si="117"/>
        <v>-5.9423015561738254E-4</v>
      </c>
      <c r="Z190" s="98" t="str">
        <f t="shared" si="107"/>
        <v>0.999889830851866-0.0139690770490841i</v>
      </c>
      <c r="AA190" s="160">
        <f t="shared" si="118"/>
        <v>0.99998740439796363</v>
      </c>
      <c r="AB190" s="160">
        <f t="shared" si="119"/>
        <v>-1.3969707366876227E-2</v>
      </c>
      <c r="AC190" s="171" t="str">
        <f t="shared" si="120"/>
        <v>8.7046287984672-9.08229453080075i</v>
      </c>
      <c r="AD190" s="190">
        <f t="shared" si="121"/>
        <v>21.993674195804957</v>
      </c>
      <c r="AE190" s="169">
        <f t="shared" si="122"/>
        <v>-46.216365597271697</v>
      </c>
      <c r="AF190" s="98" t="str">
        <f t="shared" si="108"/>
        <v>-0.0000114342530449913</v>
      </c>
      <c r="AG190" s="98" t="str">
        <f t="shared" si="109"/>
        <v>0.00039586037592692i</v>
      </c>
      <c r="AH190" s="98">
        <f t="shared" si="123"/>
        <v>3.9586037592692001E-4</v>
      </c>
      <c r="AI190" s="98">
        <f t="shared" si="124"/>
        <v>1.5707963267948966</v>
      </c>
      <c r="AJ190" s="98" t="str">
        <f t="shared" si="110"/>
        <v>1+0.00362569806814518i</v>
      </c>
      <c r="AK190" s="98">
        <f t="shared" si="125"/>
        <v>1.0000065728216396</v>
      </c>
      <c r="AL190" s="98">
        <f t="shared" si="126"/>
        <v>3.6256821808404631E-3</v>
      </c>
      <c r="AM190" s="98" t="str">
        <f t="shared" si="111"/>
        <v>1+8.70530106161657i</v>
      </c>
      <c r="AN190" s="98">
        <f t="shared" si="127"/>
        <v>8.7625490910683386</v>
      </c>
      <c r="AO190" s="98">
        <f t="shared" si="128"/>
        <v>1.4564251032253532</v>
      </c>
      <c r="AP190" s="168" t="str">
        <f t="shared" si="129"/>
        <v>-0.251340765915142+0.0297958463986193i</v>
      </c>
      <c r="AQ190" s="98">
        <f t="shared" si="130"/>
        <v>-11.934132482208613</v>
      </c>
      <c r="AR190" s="169">
        <f t="shared" si="131"/>
        <v>173.23927530490005</v>
      </c>
      <c r="AS190" s="168" t="str">
        <f t="shared" si="132"/>
        <v>-1.91721341642699+2.54211264627449i</v>
      </c>
      <c r="AT190" s="190">
        <f t="shared" si="133"/>
        <v>10.059541713596341</v>
      </c>
      <c r="AU190" s="169">
        <f t="shared" si="134"/>
        <v>127.0229097076284</v>
      </c>
      <c r="AV190" s="225"/>
      <c r="AX190">
        <f t="shared" si="135"/>
        <v>0</v>
      </c>
      <c r="AY190">
        <f t="shared" si="136"/>
        <v>0</v>
      </c>
    </row>
    <row r="191" spans="14:51" x14ac:dyDescent="0.2">
      <c r="N191" s="170">
        <v>73</v>
      </c>
      <c r="O191" s="199">
        <f t="shared" si="137"/>
        <v>537.03179637025301</v>
      </c>
      <c r="P191" s="189" t="str">
        <f t="shared" si="103"/>
        <v>1757.57575757576</v>
      </c>
      <c r="Q191" s="160" t="str">
        <f t="shared" si="104"/>
        <v>1+194.582920197479i</v>
      </c>
      <c r="R191" s="160">
        <f t="shared" si="112"/>
        <v>194.5854897791161</v>
      </c>
      <c r="S191" s="160">
        <f t="shared" si="113"/>
        <v>1.5656571748315999</v>
      </c>
      <c r="T191" s="160" t="str">
        <f t="shared" si="105"/>
        <v>1+0.944795681883713i</v>
      </c>
      <c r="U191" s="160">
        <f t="shared" si="114"/>
        <v>1.375732125272253</v>
      </c>
      <c r="V191" s="160">
        <f t="shared" si="115"/>
        <v>0.75702011890215215</v>
      </c>
      <c r="W191" s="98" t="str">
        <f t="shared" si="106"/>
        <v>1-0.000608071625617121i</v>
      </c>
      <c r="X191" s="160">
        <f t="shared" si="116"/>
        <v>1.000000184875534</v>
      </c>
      <c r="Y191" s="160">
        <f t="shared" si="117"/>
        <v>-6.0807155067208645E-4</v>
      </c>
      <c r="Z191" s="98" t="str">
        <f t="shared" si="107"/>
        <v>0.999884638739875-0.0142944586529576i</v>
      </c>
      <c r="AA191" s="160">
        <f t="shared" si="118"/>
        <v>0.99998681108110177</v>
      </c>
      <c r="AB191" s="160">
        <f t="shared" si="119"/>
        <v>-1.4295134049408879E-2</v>
      </c>
      <c r="AC191" s="171" t="str">
        <f t="shared" si="120"/>
        <v>8.70242131587519-8.87027785656163i</v>
      </c>
      <c r="AD191" s="190">
        <f t="shared" si="121"/>
        <v>21.88686577654348</v>
      </c>
      <c r="AE191" s="169">
        <f t="shared" si="122"/>
        <v>-45.547279547532192</v>
      </c>
      <c r="AF191" s="98" t="str">
        <f t="shared" si="108"/>
        <v>-0.0000114342530449913</v>
      </c>
      <c r="AG191" s="98" t="str">
        <f t="shared" si="109"/>
        <v>0.000405081148607642i</v>
      </c>
      <c r="AH191" s="98">
        <f t="shared" si="123"/>
        <v>4.0508114860764199E-4</v>
      </c>
      <c r="AI191" s="98">
        <f t="shared" si="124"/>
        <v>1.5707963267948966</v>
      </c>
      <c r="AJ191" s="98" t="str">
        <f t="shared" si="110"/>
        <v>1+0.00371015142525882i</v>
      </c>
      <c r="AK191" s="98">
        <f t="shared" si="125"/>
        <v>1.0000068825881141</v>
      </c>
      <c r="AL191" s="98">
        <f t="shared" si="126"/>
        <v>3.7101344017114353E-3</v>
      </c>
      <c r="AM191" s="98" t="str">
        <f t="shared" si="111"/>
        <v>1+8.90807357204643i</v>
      </c>
      <c r="AN191" s="98">
        <f t="shared" si="127"/>
        <v>8.9640267048348345</v>
      </c>
      <c r="AO191" s="98">
        <f t="shared" si="128"/>
        <v>1.4590066259631744</v>
      </c>
      <c r="AP191" s="168" t="str">
        <f t="shared" si="129"/>
        <v>-0.251340610202351+0.0291595795200609i</v>
      </c>
      <c r="AQ191" s="98">
        <f t="shared" si="130"/>
        <v>-11.936681620479522</v>
      </c>
      <c r="AR191" s="169">
        <f t="shared" si="131"/>
        <v>173.38234690666783</v>
      </c>
      <c r="AS191" s="168" t="str">
        <f t="shared" si="132"/>
        <v>-1.92861831124657+2.48321999550994i</v>
      </c>
      <c r="AT191" s="190">
        <f t="shared" si="133"/>
        <v>9.9501841560639619</v>
      </c>
      <c r="AU191" s="169">
        <f t="shared" si="134"/>
        <v>127.83506735913561</v>
      </c>
      <c r="AV191" s="225"/>
      <c r="AX191">
        <f t="shared" si="135"/>
        <v>0</v>
      </c>
      <c r="AY191">
        <f t="shared" si="136"/>
        <v>0</v>
      </c>
    </row>
    <row r="192" spans="14:51" x14ac:dyDescent="0.2">
      <c r="N192" s="170">
        <v>74</v>
      </c>
      <c r="O192" s="199">
        <f t="shared" si="137"/>
        <v>549.54087385762534</v>
      </c>
      <c r="P192" s="189" t="str">
        <f t="shared" si="103"/>
        <v>1757.57575757576</v>
      </c>
      <c r="Q192" s="160" t="str">
        <f t="shared" si="104"/>
        <v>1+199.115338655606i</v>
      </c>
      <c r="R192" s="160">
        <f t="shared" si="112"/>
        <v>199.11784974717025</v>
      </c>
      <c r="S192" s="160">
        <f t="shared" si="113"/>
        <v>1.5657741542222969</v>
      </c>
      <c r="T192" s="160" t="str">
        <f t="shared" si="105"/>
        <v>1+0.966802800408721i</v>
      </c>
      <c r="U192" s="160">
        <f t="shared" si="114"/>
        <v>1.3909376890709897</v>
      </c>
      <c r="V192" s="160">
        <f t="shared" si="115"/>
        <v>0.76852100236383247</v>
      </c>
      <c r="W192" s="98" t="str">
        <f t="shared" si="106"/>
        <v>1-0.000622235433298767i</v>
      </c>
      <c r="X192" s="160">
        <f t="shared" si="116"/>
        <v>1.0000001935884486</v>
      </c>
      <c r="Y192" s="160">
        <f t="shared" si="117"/>
        <v>-6.2223535299371646E-4</v>
      </c>
      <c r="Z192" s="98" t="str">
        <f t="shared" si="107"/>
        <v>0.999879201931184-0.0146274193680185i</v>
      </c>
      <c r="AA192" s="160">
        <f t="shared" si="118"/>
        <v>0.99998618983059429</v>
      </c>
      <c r="AB192" s="160">
        <f t="shared" si="119"/>
        <v>-1.4628143066973045E-2</v>
      </c>
      <c r="AC192" s="171" t="str">
        <f t="shared" si="120"/>
        <v>8.70031035480934-8.66296329762107i</v>
      </c>
      <c r="AD192" s="190">
        <f t="shared" si="121"/>
        <v>21.782352335051328</v>
      </c>
      <c r="AE192" s="169">
        <f t="shared" si="122"/>
        <v>-44.876761404731909</v>
      </c>
      <c r="AF192" s="98" t="str">
        <f t="shared" si="108"/>
        <v>-0.0000114342530449913</v>
      </c>
      <c r="AG192" s="98" t="str">
        <f t="shared" si="109"/>
        <v>0.000414516700675239i</v>
      </c>
      <c r="AH192" s="98">
        <f t="shared" si="123"/>
        <v>4.1451670067523899E-4</v>
      </c>
      <c r="AI192" s="98">
        <f t="shared" si="124"/>
        <v>1.5707963267948966</v>
      </c>
      <c r="AJ192" s="98" t="str">
        <f t="shared" si="110"/>
        <v>1+0.00379657195376781i</v>
      </c>
      <c r="AK192" s="98">
        <f t="shared" si="125"/>
        <v>1.0000072069533301</v>
      </c>
      <c r="AL192" s="98">
        <f t="shared" si="126"/>
        <v>3.7965537127152438E-3</v>
      </c>
      <c r="AM192" s="98" t="str">
        <f t="shared" si="111"/>
        <v>1+9.11556926099651i</v>
      </c>
      <c r="AN192" s="98">
        <f t="shared" si="127"/>
        <v>9.1702564278227499</v>
      </c>
      <c r="AO192" s="98">
        <f t="shared" si="128"/>
        <v>1.4615308326767917</v>
      </c>
      <c r="AP192" s="168" t="str">
        <f t="shared" si="129"/>
        <v>-0.25134044715125+0.0285387733820691i</v>
      </c>
      <c r="AQ192" s="98">
        <f t="shared" si="130"/>
        <v>-11.939117671119055</v>
      </c>
      <c r="AR192" s="169">
        <f t="shared" si="131"/>
        <v>173.52202183618775</v>
      </c>
      <c r="AS192" s="168" t="str">
        <f t="shared" si="132"/>
        <v>-1.93950954856444+2.42564925444852i</v>
      </c>
      <c r="AT192" s="190">
        <f t="shared" si="133"/>
        <v>9.8432346639322716</v>
      </c>
      <c r="AU192" s="169">
        <f t="shared" si="134"/>
        <v>128.64526043145585</v>
      </c>
      <c r="AV192" s="225"/>
      <c r="AX192">
        <f t="shared" si="135"/>
        <v>0</v>
      </c>
      <c r="AY192">
        <f t="shared" si="136"/>
        <v>0</v>
      </c>
    </row>
    <row r="193" spans="14:51" x14ac:dyDescent="0.2">
      <c r="N193" s="170">
        <v>75</v>
      </c>
      <c r="O193" s="199">
        <f t="shared" si="137"/>
        <v>562.34132519034927</v>
      </c>
      <c r="P193" s="189" t="str">
        <f t="shared" si="103"/>
        <v>1757.57575757576</v>
      </c>
      <c r="Q193" s="160" t="str">
        <f t="shared" si="104"/>
        <v>1+203.753330701891i</v>
      </c>
      <c r="R193" s="160">
        <f t="shared" si="112"/>
        <v>203.75578463472922</v>
      </c>
      <c r="S193" s="160">
        <f t="shared" si="113"/>
        <v>1.5658884709697867</v>
      </c>
      <c r="T193" s="160" t="str">
        <f t="shared" si="105"/>
        <v>1+0.989322530575652i</v>
      </c>
      <c r="U193" s="160">
        <f t="shared" si="114"/>
        <v>1.4066837133857106</v>
      </c>
      <c r="V193" s="160">
        <f t="shared" si="115"/>
        <v>0.7800308251570558</v>
      </c>
      <c r="W193" s="98" t="str">
        <f t="shared" si="106"/>
        <v>1-0.000636729158443407i</v>
      </c>
      <c r="X193" s="160">
        <f t="shared" si="116"/>
        <v>1.0000002027119901</v>
      </c>
      <c r="Y193" s="160">
        <f t="shared" si="117"/>
        <v>-6.3672907239499597E-4</v>
      </c>
      <c r="Z193" s="98" t="str">
        <f t="shared" si="107"/>
        <v>0.999873508893593-0.0149681357344451i</v>
      </c>
      <c r="AA193" s="160">
        <f t="shared" si="118"/>
        <v>0.99998553933271983</v>
      </c>
      <c r="AB193" s="160">
        <f t="shared" si="119"/>
        <v>-1.4968911190295775E-2</v>
      </c>
      <c r="AC193" s="171" t="str">
        <f t="shared" si="120"/>
        <v>8.69829143824001-8.46024099912461i</v>
      </c>
      <c r="AD193" s="190">
        <f t="shared" si="121"/>
        <v>21.680138678949671</v>
      </c>
      <c r="AE193" s="169">
        <f t="shared" si="122"/>
        <v>-44.205152856587546</v>
      </c>
      <c r="AF193" s="98" t="str">
        <f t="shared" si="108"/>
        <v>-0.0000114342530449913</v>
      </c>
      <c r="AG193" s="98" t="str">
        <f t="shared" si="109"/>
        <v>0.000424172034984311i</v>
      </c>
      <c r="AH193" s="98">
        <f t="shared" si="123"/>
        <v>4.2417203498431102E-4</v>
      </c>
      <c r="AI193" s="98">
        <f t="shared" si="124"/>
        <v>1.5707963267948966</v>
      </c>
      <c r="AJ193" s="98" t="str">
        <f t="shared" si="110"/>
        <v>1+0.00388500547498025i</v>
      </c>
      <c r="AK193" s="98">
        <f t="shared" si="125"/>
        <v>1.0000075466052947</v>
      </c>
      <c r="AL193" s="98">
        <f t="shared" si="126"/>
        <v>3.8849859293482438E-3</v>
      </c>
      <c r="AM193" s="98" t="str">
        <f t="shared" si="111"/>
        <v>1+9.32789814542757i</v>
      </c>
      <c r="AN193" s="98">
        <f t="shared" si="127"/>
        <v>9.3813476543336307</v>
      </c>
      <c r="AO193" s="98">
        <f t="shared" si="128"/>
        <v>1.4639989329979213</v>
      </c>
      <c r="AP193" s="168" t="str">
        <f t="shared" si="129"/>
        <v>-0.251340276416014+0.0279330988211167i</v>
      </c>
      <c r="AQ193" s="98">
        <f t="shared" si="130"/>
        <v>-11.941445614309815</v>
      </c>
      <c r="AR193" s="169">
        <f t="shared" si="131"/>
        <v>173.65836677521733</v>
      </c>
      <c r="AS193" s="168" t="str">
        <f t="shared" si="132"/>
        <v>-1.94991022655528+2.36936954558531i</v>
      </c>
      <c r="AT193" s="190">
        <f t="shared" si="133"/>
        <v>9.7386930646398611</v>
      </c>
      <c r="AU193" s="169">
        <f t="shared" si="134"/>
        <v>129.45321391862967</v>
      </c>
      <c r="AV193" s="225"/>
      <c r="AX193">
        <f t="shared" si="135"/>
        <v>0</v>
      </c>
      <c r="AY193">
        <f t="shared" si="136"/>
        <v>0</v>
      </c>
    </row>
    <row r="194" spans="14:51" x14ac:dyDescent="0.2">
      <c r="N194" s="170">
        <v>76</v>
      </c>
      <c r="O194" s="199">
        <f t="shared" si="137"/>
        <v>575.43993733715706</v>
      </c>
      <c r="P194" s="189" t="str">
        <f t="shared" si="103"/>
        <v>1757.57575757576</v>
      </c>
      <c r="Q194" s="160" t="str">
        <f t="shared" si="104"/>
        <v>1+208.499355461108i</v>
      </c>
      <c r="R194" s="160">
        <f t="shared" si="112"/>
        <v>208.50175353626517</v>
      </c>
      <c r="S194" s="160">
        <f t="shared" si="113"/>
        <v>1.5660001856743635</v>
      </c>
      <c r="T194" s="160" t="str">
        <f t="shared" si="105"/>
        <v>1+1.01236681264353i</v>
      </c>
      <c r="U194" s="160">
        <f t="shared" si="114"/>
        <v>1.4229850889387492</v>
      </c>
      <c r="V194" s="160">
        <f t="shared" si="115"/>
        <v>0.79154349281133851</v>
      </c>
      <c r="W194" s="98" t="str">
        <f t="shared" si="106"/>
        <v>1-0.000651560485815961i</v>
      </c>
      <c r="X194" s="160">
        <f t="shared" si="116"/>
        <v>1.0000002122655109</v>
      </c>
      <c r="Y194" s="160">
        <f t="shared" si="117"/>
        <v>-6.5156039361342845E-4</v>
      </c>
      <c r="Z194" s="98" t="str">
        <f t="shared" si="107"/>
        <v>0.999867547551407-0.0153167884045649i</v>
      </c>
      <c r="AA194" s="160">
        <f t="shared" si="118"/>
        <v>0.99998485821211092</v>
      </c>
      <c r="AB194" s="160">
        <f t="shared" si="119"/>
        <v>-1.5317619318739754E-2</v>
      </c>
      <c r="AC194" s="171" t="str">
        <f t="shared" si="120"/>
        <v>8.69636028430805-8.26200353652579i</v>
      </c>
      <c r="AD194" s="190">
        <f t="shared" si="121"/>
        <v>21.580227187117572</v>
      </c>
      <c r="AE194" s="169">
        <f t="shared" si="122"/>
        <v>-43.532796638210776</v>
      </c>
      <c r="AF194" s="98" t="str">
        <f t="shared" si="108"/>
        <v>-0.0000114342530449913</v>
      </c>
      <c r="AG194" s="98" t="str">
        <f t="shared" si="109"/>
        <v>0.000434052270920912i</v>
      </c>
      <c r="AH194" s="98">
        <f t="shared" si="123"/>
        <v>4.3405227092091199E-4</v>
      </c>
      <c r="AI194" s="98">
        <f t="shared" si="124"/>
        <v>1.5707963267948966</v>
      </c>
      <c r="AJ194" s="98" t="str">
        <f t="shared" si="110"/>
        <v>1+0.00397549887751965i</v>
      </c>
      <c r="AK194" s="98">
        <f t="shared" si="125"/>
        <v>1.0000079022644397</v>
      </c>
      <c r="AL194" s="98">
        <f t="shared" si="126"/>
        <v>3.9754779340065612E-3</v>
      </c>
      <c r="AM194" s="98" t="str">
        <f t="shared" si="111"/>
        <v>1+9.54517280492468i</v>
      </c>
      <c r="AN194" s="98">
        <f t="shared" si="127"/>
        <v>9.5974123531227775</v>
      </c>
      <c r="AO194" s="98">
        <f t="shared" si="128"/>
        <v>1.4664121152047469</v>
      </c>
      <c r="AP194" s="168" t="str">
        <f t="shared" si="129"/>
        <v>-0.251340097634524+0.0273422346963606i</v>
      </c>
      <c r="AQ194" s="98">
        <f t="shared" si="130"/>
        <v>-11.943670217129171</v>
      </c>
      <c r="AR194" s="169">
        <f t="shared" si="131"/>
        <v>173.79144712091789</v>
      </c>
      <c r="AS194" s="168" t="str">
        <f t="shared" si="132"/>
        <v>-1.95984240316513+2.31435069942483i</v>
      </c>
      <c r="AT194" s="190">
        <f t="shared" si="133"/>
        <v>9.6365569699883871</v>
      </c>
      <c r="AU194" s="169">
        <f t="shared" si="134"/>
        <v>130.25865048270714</v>
      </c>
      <c r="AV194" s="225"/>
      <c r="AX194">
        <f t="shared" si="135"/>
        <v>0</v>
      </c>
      <c r="AY194">
        <f t="shared" si="136"/>
        <v>0</v>
      </c>
    </row>
    <row r="195" spans="14:51" x14ac:dyDescent="0.2">
      <c r="N195" s="170">
        <v>77</v>
      </c>
      <c r="O195" s="199">
        <f t="shared" si="137"/>
        <v>588.84365535558959</v>
      </c>
      <c r="P195" s="189" t="str">
        <f t="shared" si="103"/>
        <v>1757.57575757576</v>
      </c>
      <c r="Q195" s="160" t="str">
        <f t="shared" si="104"/>
        <v>1+213.355929338406i</v>
      </c>
      <c r="R195" s="160">
        <f t="shared" si="112"/>
        <v>213.35827282731481</v>
      </c>
      <c r="S195" s="160">
        <f t="shared" si="113"/>
        <v>1.5661093575574823</v>
      </c>
      <c r="T195" s="160" t="str">
        <f t="shared" si="105"/>
        <v>1+1.03594786499573i</v>
      </c>
      <c r="U195" s="160">
        <f t="shared" si="114"/>
        <v>1.4398569300417356</v>
      </c>
      <c r="V195" s="160">
        <f t="shared" si="115"/>
        <v>0.80305290332210943</v>
      </c>
      <c r="W195" s="98" t="str">
        <f t="shared" si="106"/>
        <v>1-0.000666737279182516i</v>
      </c>
      <c r="X195" s="160">
        <f t="shared" si="116"/>
        <v>1.000000222269275</v>
      </c>
      <c r="Y195" s="160">
        <f t="shared" si="117"/>
        <v>-6.6673718038572365E-4</v>
      </c>
      <c r="Z195" s="98" t="str">
        <f t="shared" si="107"/>
        <v>0.999861305259819-0.0156735622386383i</v>
      </c>
      <c r="AA195" s="160">
        <f t="shared" si="118"/>
        <v>0.99998414502886868</v>
      </c>
      <c r="AB195" s="160">
        <f t="shared" si="119"/>
        <v>-1.5674452577265869E-2</v>
      </c>
      <c r="AC195" s="171" t="str">
        <f t="shared" si="120"/>
        <v>8.69451279724719-8.06814585892177i</v>
      </c>
      <c r="AD195" s="190">
        <f t="shared" si="121"/>
        <v>21.482617799766164</v>
      </c>
      <c r="AE195" s="169">
        <f t="shared" si="122"/>
        <v>-42.860035605529518</v>
      </c>
      <c r="AF195" s="98" t="str">
        <f t="shared" si="108"/>
        <v>-0.0000114342530449913</v>
      </c>
      <c r="AG195" s="98" t="str">
        <f t="shared" si="109"/>
        <v>0.000444162647116917i</v>
      </c>
      <c r="AH195" s="98">
        <f t="shared" si="123"/>
        <v>4.4416264711691703E-4</v>
      </c>
      <c r="AI195" s="98">
        <f t="shared" si="124"/>
        <v>1.5707963267948966</v>
      </c>
      <c r="AJ195" s="98" t="str">
        <f t="shared" si="110"/>
        <v>1+0.00406810014218587i</v>
      </c>
      <c r="AK195" s="98">
        <f t="shared" si="125"/>
        <v>1.0000082746851482</v>
      </c>
      <c r="AL195" s="98">
        <f t="shared" si="126"/>
        <v>4.0680777008173042E-3</v>
      </c>
      <c r="AM195" s="98" t="str">
        <f t="shared" si="111"/>
        <v>1+9.76750844138826i</v>
      </c>
      <c r="AN195" s="98">
        <f t="shared" si="127"/>
        <v>9.8185651269720111</v>
      </c>
      <c r="AO195" s="98">
        <f t="shared" si="128"/>
        <v>1.4687715463127693</v>
      </c>
      <c r="AP195" s="168" t="str">
        <f t="shared" si="129"/>
        <v>-0.251339910427593+0.0267658677193483i</v>
      </c>
      <c r="AQ195" s="98">
        <f t="shared" si="130"/>
        <v>-11.945796042266924</v>
      </c>
      <c r="AR195" s="169">
        <f t="shared" si="131"/>
        <v>173.92132698963727</v>
      </c>
      <c r="AS195" s="168" t="str">
        <f t="shared" si="132"/>
        <v>-1.96932714287136+2.26056323691345i</v>
      </c>
      <c r="AT195" s="190">
        <f t="shared" si="133"/>
        <v>9.5368217574992311</v>
      </c>
      <c r="AU195" s="169">
        <f t="shared" si="134"/>
        <v>131.06129138410776</v>
      </c>
      <c r="AV195" s="225"/>
      <c r="AX195">
        <f t="shared" si="135"/>
        <v>0</v>
      </c>
      <c r="AY195">
        <f t="shared" si="136"/>
        <v>0</v>
      </c>
    </row>
    <row r="196" spans="14:51" x14ac:dyDescent="0.2">
      <c r="N196" s="170">
        <v>78</v>
      </c>
      <c r="O196" s="199">
        <f t="shared" si="137"/>
        <v>602.55958607435832</v>
      </c>
      <c r="P196" s="189" t="str">
        <f t="shared" si="103"/>
        <v>1757.57575757576</v>
      </c>
      <c r="Q196" s="160" t="str">
        <f t="shared" si="104"/>
        <v>1+218.325627353538i</v>
      </c>
      <c r="R196" s="160">
        <f t="shared" si="112"/>
        <v>218.32791749869264</v>
      </c>
      <c r="S196" s="160">
        <f t="shared" si="113"/>
        <v>1.5662160444931053</v>
      </c>
      <c r="T196" s="160" t="str">
        <f t="shared" si="105"/>
        <v>1+1.06007819061833i</v>
      </c>
      <c r="U196" s="160">
        <f t="shared" si="114"/>
        <v>1.457314574902973</v>
      </c>
      <c r="V196" s="160">
        <f t="shared" si="115"/>
        <v>0.81455296331035909</v>
      </c>
      <c r="W196" s="98" t="str">
        <f t="shared" si="106"/>
        <v>1-0.000682267585479805i</v>
      </c>
      <c r="X196" s="160">
        <f t="shared" si="116"/>
        <v>1.0000002327445021</v>
      </c>
      <c r="Y196" s="160">
        <f t="shared" si="117"/>
        <v>-6.8226747961713601E-4</v>
      </c>
      <c r="Z196" s="98" t="str">
        <f t="shared" si="107"/>
        <v>0.999854768778092-0.0160386464028748i</v>
      </c>
      <c r="AA196" s="160">
        <f t="shared" si="118"/>
        <v>0.99998339827555538</v>
      </c>
      <c r="AB196" s="160">
        <f t="shared" si="119"/>
        <v>-1.6039600415712466E-2</v>
      </c>
      <c r="AC196" s="171" t="str">
        <f t="shared" si="120"/>
        <v>8.69274505870025-7.87856523362705i</v>
      </c>
      <c r="AD196" s="190">
        <f t="shared" si="121"/>
        <v>21.387308018835604</v>
      </c>
      <c r="AE196" s="169">
        <f t="shared" si="122"/>
        <v>-42.187211805755354</v>
      </c>
      <c r="AF196" s="98" t="str">
        <f t="shared" si="108"/>
        <v>-0.0000114342530449913</v>
      </c>
      <c r="AG196" s="98" t="str">
        <f t="shared" si="109"/>
        <v>0.000454508524227611i</v>
      </c>
      <c r="AH196" s="98">
        <f t="shared" si="123"/>
        <v>4.5450852422761098E-4</v>
      </c>
      <c r="AI196" s="98">
        <f t="shared" si="124"/>
        <v>1.5707963267948966</v>
      </c>
      <c r="AJ196" s="98" t="str">
        <f t="shared" si="110"/>
        <v>1+0.00416285836739513i</v>
      </c>
      <c r="AK196" s="98">
        <f t="shared" si="125"/>
        <v>1.0000086646573554</v>
      </c>
      <c r="AL196" s="98">
        <f t="shared" si="126"/>
        <v>4.1628343210467289E-3</v>
      </c>
      <c r="AM196" s="98" t="str">
        <f t="shared" si="111"/>
        <v>1+9.99502294011571i</v>
      </c>
      <c r="AN196" s="98">
        <f t="shared" si="127"/>
        <v>10.04492327364621</v>
      </c>
      <c r="AO196" s="98">
        <f t="shared" si="128"/>
        <v>1.47107837218813</v>
      </c>
      <c r="AP196" s="168" t="str">
        <f t="shared" si="129"/>
        <v>-0.25133971439817+0.0262036922878871i</v>
      </c>
      <c r="AQ196" s="98">
        <f t="shared" si="130"/>
        <v>-11.947827456427634</v>
      </c>
      <c r="AR196" s="169">
        <f t="shared" si="131"/>
        <v>174.04806922194692</v>
      </c>
      <c r="AS196" s="168" t="str">
        <f t="shared" si="132"/>
        <v>-1.97838456133782+2.20797835234241i</v>
      </c>
      <c r="AT196" s="190">
        <f t="shared" si="133"/>
        <v>9.4394805624079829</v>
      </c>
      <c r="AU196" s="169">
        <f t="shared" si="134"/>
        <v>131.86085741619161</v>
      </c>
      <c r="AV196" s="225"/>
      <c r="AX196">
        <f t="shared" si="135"/>
        <v>0</v>
      </c>
      <c r="AY196">
        <f t="shared" si="136"/>
        <v>0</v>
      </c>
    </row>
    <row r="197" spans="14:51" x14ac:dyDescent="0.2">
      <c r="N197" s="170">
        <v>79</v>
      </c>
      <c r="O197" s="199">
        <f t="shared" si="137"/>
        <v>616.59500186148273</v>
      </c>
      <c r="P197" s="189" t="str">
        <f t="shared" si="103"/>
        <v>1757.57575757576</v>
      </c>
      <c r="Q197" s="160" t="str">
        <f t="shared" si="104"/>
        <v>1+223.411084506175i</v>
      </c>
      <c r="R197" s="160">
        <f t="shared" si="112"/>
        <v>223.41332252178981</v>
      </c>
      <c r="S197" s="160">
        <f t="shared" si="113"/>
        <v>1.5663203030383379</v>
      </c>
      <c r="T197" s="160" t="str">
        <f t="shared" si="105"/>
        <v>1+1.0847705837294i</v>
      </c>
      <c r="U197" s="160">
        <f t="shared" si="114"/>
        <v>1.4753735863585951</v>
      </c>
      <c r="V197" s="160">
        <f t="shared" si="115"/>
        <v>0.82603760412663674</v>
      </c>
      <c r="W197" s="98" t="str">
        <f t="shared" si="106"/>
        <v>1-0.000698159639081796i</v>
      </c>
      <c r="X197" s="160">
        <f t="shared" si="116"/>
        <v>1.0000002437134112</v>
      </c>
      <c r="Y197" s="160">
        <f t="shared" si="117"/>
        <v>-6.9815952564790396E-4</v>
      </c>
      <c r="Z197" s="98" t="str">
        <f t="shared" si="107"/>
        <v>0.999847924241472-0.0164122344697308i</v>
      </c>
      <c r="AA197" s="160">
        <f t="shared" si="118"/>
        <v>0.99998261637403962</v>
      </c>
      <c r="AB197" s="160">
        <f t="shared" si="119"/>
        <v>-1.641325671044656E-2</v>
      </c>
      <c r="AC197" s="171" t="str">
        <f t="shared" si="120"/>
        <v>8.69105331941157-7.69316119195712i</v>
      </c>
      <c r="AD197" s="190">
        <f t="shared" si="121"/>
        <v>21.294292918712038</v>
      </c>
      <c r="AE197" s="169">
        <f t="shared" si="122"/>
        <v>-41.514665550867541</v>
      </c>
      <c r="AF197" s="98" t="str">
        <f t="shared" si="108"/>
        <v>-0.0000114342530449913</v>
      </c>
      <c r="AG197" s="98" t="str">
        <f t="shared" si="109"/>
        <v>0.000465095387773981i</v>
      </c>
      <c r="AH197" s="98">
        <f t="shared" si="123"/>
        <v>4.6509538777398101E-4</v>
      </c>
      <c r="AI197" s="98">
        <f t="shared" si="124"/>
        <v>1.5707963267948966</v>
      </c>
      <c r="AJ197" s="98" t="str">
        <f t="shared" si="110"/>
        <v>1+0.00425982379521274i</v>
      </c>
      <c r="AK197" s="98">
        <f t="shared" si="125"/>
        <v>1.0000090730082234</v>
      </c>
      <c r="AL197" s="98">
        <f t="shared" si="126"/>
        <v>4.2597980290988331E-3</v>
      </c>
      <c r="AM197" s="98" t="str">
        <f t="shared" si="111"/>
        <v>1+10.2278369323058i</v>
      </c>
      <c r="AN197" s="98">
        <f t="shared" si="127"/>
        <v>10.276606848266528</v>
      </c>
      <c r="AO197" s="98">
        <f t="shared" si="128"/>
        <v>1.4733337176814514</v>
      </c>
      <c r="AP197" s="168" t="str">
        <f t="shared" si="129"/>
        <v>-0.251339509130494+0.025655410323987i</v>
      </c>
      <c r="AQ197" s="98">
        <f t="shared" si="130"/>
        <v>-11.949768638426301</v>
      </c>
      <c r="AR197" s="169">
        <f t="shared" si="131"/>
        <v>174.17173538882079</v>
      </c>
      <c r="AS197" s="168" t="str">
        <f t="shared" si="132"/>
        <v>-1.98703386805962+2.15656789670542i</v>
      </c>
      <c r="AT197" s="190">
        <f t="shared" si="133"/>
        <v>9.3445242802857305</v>
      </c>
      <c r="AU197" s="169">
        <f t="shared" si="134"/>
        <v>132.65706983795326</v>
      </c>
      <c r="AV197" s="225"/>
      <c r="AX197">
        <f t="shared" si="135"/>
        <v>0</v>
      </c>
      <c r="AY197">
        <f t="shared" si="136"/>
        <v>0</v>
      </c>
    </row>
    <row r="198" spans="14:51" x14ac:dyDescent="0.2">
      <c r="N198" s="170">
        <v>80</v>
      </c>
      <c r="O198" s="199">
        <f t="shared" si="137"/>
        <v>630.95734448019323</v>
      </c>
      <c r="P198" s="189" t="str">
        <f t="shared" si="103"/>
        <v>1757.57575757576</v>
      </c>
      <c r="Q198" s="160" t="str">
        <f t="shared" si="104"/>
        <v>1+228.614997173012i</v>
      </c>
      <c r="R198" s="160">
        <f t="shared" si="112"/>
        <v>228.61718424566487</v>
      </c>
      <c r="S198" s="160">
        <f t="shared" si="113"/>
        <v>1.5664221884633693</v>
      </c>
      <c r="T198" s="160" t="str">
        <f t="shared" si="105"/>
        <v>1+1.1100381365626i</v>
      </c>
      <c r="U198" s="160">
        <f t="shared" si="114"/>
        <v>1.4940497530615802</v>
      </c>
      <c r="V198" s="160">
        <f t="shared" si="115"/>
        <v>0.83750079779569275</v>
      </c>
      <c r="W198" s="98" t="str">
        <f t="shared" si="106"/>
        <v>1-0.000714421866165661i</v>
      </c>
      <c r="X198" s="160">
        <f t="shared" si="116"/>
        <v>1.0000002551992688</v>
      </c>
      <c r="Y198" s="160">
        <f t="shared" si="117"/>
        <v>-7.1442174461905752E-4</v>
      </c>
      <c r="Z198" s="98" t="str">
        <f t="shared" si="107"/>
        <v>0.999840757131779-0.0167945245205441i</v>
      </c>
      <c r="AA198" s="160">
        <f t="shared" si="118"/>
        <v>0.99998179767219764</v>
      </c>
      <c r="AB198" s="160">
        <f t="shared" si="119"/>
        <v>-1.6795619868448512E-2</v>
      </c>
      <c r="AC198" s="171" t="str">
        <f t="shared" si="120"/>
        <v>8.68943399127679-7.51183547619509i</v>
      </c>
      <c r="AD198" s="190">
        <f t="shared" si="121"/>
        <v>21.203565167168552</v>
      </c>
      <c r="AE198" s="169">
        <f t="shared" si="122"/>
        <v>-40.8427345000554</v>
      </c>
      <c r="AF198" s="98" t="str">
        <f t="shared" si="108"/>
        <v>-0.0000114342530449913</v>
      </c>
      <c r="AG198" s="98" t="str">
        <f t="shared" si="109"/>
        <v>0.000475928851051215i</v>
      </c>
      <c r="AH198" s="98">
        <f t="shared" si="123"/>
        <v>4.7592885105121499E-4</v>
      </c>
      <c r="AI198" s="98">
        <f t="shared" si="124"/>
        <v>1.5707963267948966</v>
      </c>
      <c r="AJ198" s="98" t="str">
        <f t="shared" si="110"/>
        <v>1+0.004359047837992i</v>
      </c>
      <c r="AK198" s="98">
        <f t="shared" si="125"/>
        <v>1.0000095006038963</v>
      </c>
      <c r="AL198" s="98">
        <f t="shared" si="126"/>
        <v>4.3590202291176952E-3</v>
      </c>
      <c r="AM198" s="98" t="str">
        <f t="shared" si="111"/>
        <v>1+10.4660738590188i</v>
      </c>
      <c r="AN198" s="98">
        <f t="shared" si="127"/>
        <v>10.513738727133973</v>
      </c>
      <c r="AO198" s="98">
        <f t="shared" si="128"/>
        <v>1.4755386867803562</v>
      </c>
      <c r="AP198" s="168" t="str">
        <f t="shared" si="129"/>
        <v>-0.251339294189208+0.025120731115791i</v>
      </c>
      <c r="AQ198" s="98">
        <f t="shared" si="130"/>
        <v>-11.951623586985159</v>
      </c>
      <c r="AR198" s="169">
        <f t="shared" si="131"/>
        <v>174.29238579884972</v>
      </c>
      <c r="AS198" s="168" t="str">
        <f t="shared" si="132"/>
        <v>-1.99529340708766+2.10630436149561i</v>
      </c>
      <c r="AT198" s="190">
        <f t="shared" si="133"/>
        <v>9.2519415801833969</v>
      </c>
      <c r="AU198" s="169">
        <f t="shared" si="134"/>
        <v>133.44965129879421</v>
      </c>
      <c r="AV198" s="225"/>
      <c r="AX198">
        <f t="shared" si="135"/>
        <v>0</v>
      </c>
      <c r="AY198">
        <f t="shared" si="136"/>
        <v>0</v>
      </c>
    </row>
    <row r="199" spans="14:51" x14ac:dyDescent="0.2">
      <c r="N199" s="170">
        <v>81</v>
      </c>
      <c r="O199" s="199">
        <f t="shared" si="137"/>
        <v>645.65422903465594</v>
      </c>
      <c r="P199" s="189" t="str">
        <f t="shared" si="103"/>
        <v>1757.57575757576</v>
      </c>
      <c r="Q199" s="160" t="str">
        <f t="shared" si="104"/>
        <v>1+233.940124537428i</v>
      </c>
      <c r="R199" s="160">
        <f t="shared" si="112"/>
        <v>233.94226182668947</v>
      </c>
      <c r="S199" s="160">
        <f t="shared" si="113"/>
        <v>1.5665217547807346</v>
      </c>
      <c r="T199" s="160" t="str">
        <f t="shared" si="105"/>
        <v>1+1.1358942463089i</v>
      </c>
      <c r="U199" s="160">
        <f t="shared" si="114"/>
        <v>1.5133590911603443</v>
      </c>
      <c r="V199" s="160">
        <f t="shared" si="115"/>
        <v>0.84893657270014522</v>
      </c>
      <c r="W199" s="98" t="str">
        <f t="shared" si="106"/>
        <v>1-0.00073106288917946i</v>
      </c>
      <c r="X199" s="160">
        <f t="shared" si="116"/>
        <v>1.0000002672264383</v>
      </c>
      <c r="Y199" s="160">
        <f t="shared" si="117"/>
        <v>-7.3106275893992966E-4</v>
      </c>
      <c r="Z199" s="98" t="str">
        <f t="shared" si="107"/>
        <v>0.999833252246612-0.0171857192505601i</v>
      </c>
      <c r="AA199" s="160">
        <f t="shared" si="118"/>
        <v>0.99998094044046471</v>
      </c>
      <c r="AB199" s="160">
        <f t="shared" si="119"/>
        <v>-1.7186892933892032E-2</v>
      </c>
      <c r="AC199" s="171" t="str">
        <f t="shared" si="120"/>
        <v>8.687883639735-7.33449198771337i</v>
      </c>
      <c r="AD199" s="190">
        <f t="shared" si="121"/>
        <v>21.115115056343733</v>
      </c>
      <c r="AE199" s="169">
        <f t="shared" si="122"/>
        <v>-40.17175275693566</v>
      </c>
      <c r="AF199" s="98" t="str">
        <f t="shared" si="108"/>
        <v>-0.0000114342530449913</v>
      </c>
      <c r="AG199" s="98" t="str">
        <f t="shared" si="109"/>
        <v>0.000487014658104939i</v>
      </c>
      <c r="AH199" s="98">
        <f t="shared" si="123"/>
        <v>4.87014658104939E-4</v>
      </c>
      <c r="AI199" s="98">
        <f t="shared" si="124"/>
        <v>1.5707963267948966</v>
      </c>
      <c r="AJ199" s="98" t="str">
        <f t="shared" si="110"/>
        <v>1+0.00446058310563379i</v>
      </c>
      <c r="AK199" s="98">
        <f t="shared" si="125"/>
        <v>1.0000099483513363</v>
      </c>
      <c r="AL199" s="98">
        <f t="shared" si="126"/>
        <v>4.4605535222078706E-3</v>
      </c>
      <c r="AM199" s="98" t="str">
        <f t="shared" si="111"/>
        <v>1+10.7098600366267i</v>
      </c>
      <c r="AN199" s="98">
        <f t="shared" si="127"/>
        <v>10.756444673038285</v>
      </c>
      <c r="AO199" s="98">
        <f t="shared" si="128"/>
        <v>1.4776943627789469</v>
      </c>
      <c r="AP199" s="168" t="str">
        <f t="shared" si="129"/>
        <v>-0.251339069118446+0.0245993711634102i</v>
      </c>
      <c r="AQ199" s="98">
        <f t="shared" si="130"/>
        <v>-11.953396128239183</v>
      </c>
      <c r="AR199" s="169">
        <f t="shared" si="131"/>
        <v>174.41007950639246</v>
      </c>
      <c r="AS199" s="168" t="str">
        <f t="shared" si="132"/>
        <v>-2.00318069591955+2.05716086292694i</v>
      </c>
      <c r="AT199" s="190">
        <f t="shared" si="133"/>
        <v>9.1617189281045466</v>
      </c>
      <c r="AU199" s="169">
        <f t="shared" si="134"/>
        <v>134.23832674945677</v>
      </c>
      <c r="AV199" s="225"/>
      <c r="AX199">
        <f t="shared" si="135"/>
        <v>0</v>
      </c>
      <c r="AY199">
        <f t="shared" si="136"/>
        <v>0</v>
      </c>
    </row>
    <row r="200" spans="14:51" x14ac:dyDescent="0.2">
      <c r="N200" s="170">
        <v>82</v>
      </c>
      <c r="O200" s="199">
        <f t="shared" si="137"/>
        <v>660.69344800759643</v>
      </c>
      <c r="P200" s="189" t="str">
        <f t="shared" si="103"/>
        <v>1757.57575757576</v>
      </c>
      <c r="Q200" s="160" t="str">
        <f t="shared" si="104"/>
        <v>1+239.389290052437i</v>
      </c>
      <c r="R200" s="160">
        <f t="shared" si="112"/>
        <v>239.39137869148465</v>
      </c>
      <c r="S200" s="160">
        <f t="shared" si="113"/>
        <v>1.5666190547739121</v>
      </c>
      <c r="T200" s="160" t="str">
        <f t="shared" si="105"/>
        <v>1+1.16235262221992i</v>
      </c>
      <c r="U200" s="160">
        <f t="shared" si="114"/>
        <v>1.5333178464954762</v>
      </c>
      <c r="V200" s="160">
        <f t="shared" si="115"/>
        <v>0.86033902890446423</v>
      </c>
      <c r="W200" s="98" t="str">
        <f t="shared" si="106"/>
        <v>1-0.000748091531413863i</v>
      </c>
      <c r="X200" s="160">
        <f t="shared" si="116"/>
        <v>1.0000002798204306</v>
      </c>
      <c r="Y200" s="160">
        <f t="shared" si="117"/>
        <v>-7.480913918596941E-4</v>
      </c>
      <c r="Z200" s="98" t="str">
        <f t="shared" si="107"/>
        <v>0.999825393667104-0.0175860260764026i</v>
      </c>
      <c r="AA200" s="160">
        <f t="shared" si="118"/>
        <v>0.99998004286822617</v>
      </c>
      <c r="AB200" s="160">
        <f t="shared" si="119"/>
        <v>-1.7587283697279858E-2</v>
      </c>
      <c r="AC200" s="171" t="str">
        <f t="shared" si="120"/>
        <v>8.68639897648551-7.16103673622461i</v>
      </c>
      <c r="AD200" s="190">
        <f t="shared" si="121"/>
        <v>21.028930543482026</v>
      </c>
      <c r="AE200" s="169">
        <f t="shared" si="122"/>
        <v>-39.502049987200245</v>
      </c>
      <c r="AF200" s="98" t="str">
        <f t="shared" si="108"/>
        <v>-0.0000114342530449913</v>
      </c>
      <c r="AG200" s="98" t="str">
        <f t="shared" si="109"/>
        <v>0.000498358686776792i</v>
      </c>
      <c r="AH200" s="98">
        <f t="shared" si="123"/>
        <v>4.9835868677679197E-4</v>
      </c>
      <c r="AI200" s="98">
        <f t="shared" si="124"/>
        <v>1.5707963267948966</v>
      </c>
      <c r="AJ200" s="98" t="str">
        <f t="shared" si="110"/>
        <v>1+0.00456448343348098i</v>
      </c>
      <c r="AK200" s="98">
        <f t="shared" si="125"/>
        <v>1.0000104172002482</v>
      </c>
      <c r="AL200" s="98">
        <f t="shared" si="126"/>
        <v>4.5644517342868273E-3</v>
      </c>
      <c r="AM200" s="98" t="str">
        <f t="shared" si="111"/>
        <v>1+10.9593247237878i</v>
      </c>
      <c r="AN200" s="98">
        <f t="shared" si="127"/>
        <v>11.004853402087033</v>
      </c>
      <c r="AO200" s="98">
        <f t="shared" si="128"/>
        <v>1.4798018084626376</v>
      </c>
      <c r="AP200" s="168" t="str">
        <f t="shared" si="129"/>
        <v>-0.251338833440858+0.0240910540285789i</v>
      </c>
      <c r="AQ200" s="98">
        <f t="shared" si="130"/>
        <v>-11.955089922959663</v>
      </c>
      <c r="AR200" s="169">
        <f t="shared" si="131"/>
        <v>174.52487432056995</v>
      </c>
      <c r="AS200" s="168" t="str">
        <f t="shared" si="132"/>
        <v>-2.01071246263871+2.00911112656613i</v>
      </c>
      <c r="AT200" s="190">
        <f t="shared" si="133"/>
        <v>9.0738406205223772</v>
      </c>
      <c r="AU200" s="169">
        <f t="shared" si="134"/>
        <v>135.02282433336975</v>
      </c>
      <c r="AV200" s="225"/>
      <c r="AX200">
        <f t="shared" si="135"/>
        <v>0</v>
      </c>
      <c r="AY200">
        <f t="shared" si="136"/>
        <v>0</v>
      </c>
    </row>
    <row r="201" spans="14:51" x14ac:dyDescent="0.2">
      <c r="N201" s="170">
        <v>83</v>
      </c>
      <c r="O201" s="199">
        <f t="shared" si="137"/>
        <v>676.08297539198213</v>
      </c>
      <c r="P201" s="189" t="str">
        <f t="shared" si="103"/>
        <v>1757.57575757576</v>
      </c>
      <c r="Q201" s="160" t="str">
        <f t="shared" si="104"/>
        <v>1+244.965382937724i</v>
      </c>
      <c r="R201" s="160">
        <f t="shared" si="112"/>
        <v>244.96742403394327</v>
      </c>
      <c r="S201" s="160">
        <f t="shared" si="113"/>
        <v>1.5667141400252727</v>
      </c>
      <c r="T201" s="160" t="str">
        <f t="shared" si="105"/>
        <v>1+1.18942729287681i</v>
      </c>
      <c r="U201" s="160">
        <f t="shared" si="114"/>
        <v>1.5539424973403158</v>
      </c>
      <c r="V201" s="160">
        <f t="shared" si="115"/>
        <v>0.87170235302497245</v>
      </c>
      <c r="W201" s="98" t="str">
        <f t="shared" si="106"/>
        <v>1-0.000765516821680384i</v>
      </c>
      <c r="X201" s="160">
        <f t="shared" si="116"/>
        <v>1.0000002930079592</v>
      </c>
      <c r="Y201" s="160">
        <f t="shared" si="117"/>
        <v>-7.6551667214540026E-4</v>
      </c>
      <c r="Z201" s="98" t="str">
        <f t="shared" si="107"/>
        <v>0.999817164724154-0.0179956572460494i</v>
      </c>
      <c r="AA201" s="160">
        <f t="shared" si="118"/>
        <v>0.99997910306004056</v>
      </c>
      <c r="AB201" s="160">
        <f t="shared" si="119"/>
        <v>-1.7997004807203267E-2</v>
      </c>
      <c r="AC201" s="171" t="str">
        <f t="shared" si="120"/>
        <v>8.68497685251483-6.99137779013556i</v>
      </c>
      <c r="AD201" s="190">
        <f t="shared" si="121"/>
        <v>20.944997301077063</v>
      </c>
      <c r="AE201" s="169">
        <f t="shared" si="122"/>
        <v>-38.833950562093953</v>
      </c>
      <c r="AF201" s="98" t="str">
        <f t="shared" si="108"/>
        <v>-0.0000114342530449913</v>
      </c>
      <c r="AG201" s="98" t="str">
        <f t="shared" si="109"/>
        <v>0.00050996695182093i</v>
      </c>
      <c r="AH201" s="98">
        <f t="shared" si="123"/>
        <v>5.0996695182092995E-4</v>
      </c>
      <c r="AI201" s="98">
        <f t="shared" si="124"/>
        <v>1.5707963267948966</v>
      </c>
      <c r="AJ201" s="98" t="str">
        <f t="shared" si="110"/>
        <v>1+0.00467080391086268i</v>
      </c>
      <c r="AK201" s="98">
        <f t="shared" si="125"/>
        <v>1.000010908145093</v>
      </c>
      <c r="AL201" s="98">
        <f t="shared" si="126"/>
        <v>4.6707699445841955E-3</v>
      </c>
      <c r="AM201" s="98" t="str">
        <f t="shared" si="111"/>
        <v>1+11.2146001899813i</v>
      </c>
      <c r="AN201" s="98">
        <f t="shared" si="127"/>
        <v>11.259096652091085</v>
      </c>
      <c r="AO201" s="98">
        <f t="shared" si="128"/>
        <v>1.4818620663068225</v>
      </c>
      <c r="AP201" s="168" t="str">
        <f t="shared" si="129"/>
        <v>-0.251338586656603+0.0235955101880552i</v>
      </c>
      <c r="AQ201" s="98">
        <f t="shared" si="130"/>
        <v>-11.956708473503049</v>
      </c>
      <c r="AR201" s="169">
        <f t="shared" si="131"/>
        <v>174.63682681501504</v>
      </c>
      <c r="AS201" s="168" t="str">
        <f t="shared" si="132"/>
        <v>-2.0179046813807+1.96212947236157i</v>
      </c>
      <c r="AT201" s="190">
        <f t="shared" si="133"/>
        <v>8.9882888275739941</v>
      </c>
      <c r="AU201" s="169">
        <f t="shared" si="134"/>
        <v>135.8028762529211</v>
      </c>
      <c r="AV201" s="225"/>
      <c r="AX201">
        <f t="shared" si="135"/>
        <v>0</v>
      </c>
      <c r="AY201">
        <f t="shared" si="136"/>
        <v>0</v>
      </c>
    </row>
    <row r="202" spans="14:51" x14ac:dyDescent="0.2">
      <c r="N202" s="170">
        <v>84</v>
      </c>
      <c r="O202" s="199">
        <f t="shared" si="137"/>
        <v>691.83097091893671</v>
      </c>
      <c r="P202" s="189" t="str">
        <f t="shared" si="103"/>
        <v>1757.57575757576</v>
      </c>
      <c r="Q202" s="160" t="str">
        <f t="shared" si="104"/>
        <v>1+250.671359711544i</v>
      </c>
      <c r="R202" s="160">
        <f t="shared" si="112"/>
        <v>250.67335434711504</v>
      </c>
      <c r="S202" s="160">
        <f t="shared" si="113"/>
        <v>1.5668070609433939</v>
      </c>
      <c r="T202" s="160" t="str">
        <f t="shared" si="105"/>
        <v>1+1.2171326136283i</v>
      </c>
      <c r="U202" s="160">
        <f t="shared" si="114"/>
        <v>1.5752497577075379</v>
      </c>
      <c r="V202" s="160">
        <f t="shared" si="115"/>
        <v>0.88302083255671038</v>
      </c>
      <c r="W202" s="98" t="str">
        <f t="shared" si="106"/>
        <v>1-0.000783347999098572i</v>
      </c>
      <c r="X202" s="160">
        <f t="shared" si="116"/>
        <v>1.0000003068169969</v>
      </c>
      <c r="Y202" s="160">
        <f t="shared" si="117"/>
        <v>-7.833478388689527E-4</v>
      </c>
      <c r="Z202" s="98" t="str">
        <f t="shared" si="107"/>
        <v>0.999808547963071-0.0184148299513687i</v>
      </c>
      <c r="AA202" s="160">
        <f t="shared" si="118"/>
        <v>0.99997811903169265</v>
      </c>
      <c r="AB202" s="160">
        <f t="shared" si="119"/>
        <v>-1.8416273884789933E-2</v>
      </c>
      <c r="AC202" s="171" t="str">
        <f t="shared" si="120"/>
        <v>8.68361425141824-6.82542522797926i</v>
      </c>
      <c r="AD202" s="190">
        <f t="shared" si="121"/>
        <v>20.863298775979615</v>
      </c>
      <c r="AE202" s="169">
        <f t="shared" si="122"/>
        <v>-38.167772732828041</v>
      </c>
      <c r="AF202" s="98" t="str">
        <f t="shared" si="108"/>
        <v>-0.0000114342530449913</v>
      </c>
      <c r="AG202" s="98" t="str">
        <f t="shared" si="109"/>
        <v>0.000521845608093135i</v>
      </c>
      <c r="AH202" s="98">
        <f t="shared" si="123"/>
        <v>5.2184560809313504E-4</v>
      </c>
      <c r="AI202" s="98">
        <f t="shared" si="124"/>
        <v>1.5707963267948966</v>
      </c>
      <c r="AJ202" s="98" t="str">
        <f t="shared" si="110"/>
        <v>1+0.00477960091030332i</v>
      </c>
      <c r="AK202" s="98">
        <f t="shared" si="125"/>
        <v>1.0000114222271972</v>
      </c>
      <c r="AL202" s="98">
        <f t="shared" si="126"/>
        <v>4.7795645148026493E-3</v>
      </c>
      <c r="AM202" s="98" t="str">
        <f t="shared" si="111"/>
        <v>1+11.4758217856383i</v>
      </c>
      <c r="AN202" s="98">
        <f t="shared" si="127"/>
        <v>11.519309252543339</v>
      </c>
      <c r="AO202" s="98">
        <f t="shared" si="128"/>
        <v>1.4838761586879827</v>
      </c>
      <c r="AP202" s="168" t="str">
        <f t="shared" si="129"/>
        <v>-0.251338328242282+0.0231124768906819i</v>
      </c>
      <c r="AQ202" s="98">
        <f t="shared" si="130"/>
        <v>-11.958255130494205</v>
      </c>
      <c r="AR202" s="169">
        <f t="shared" si="131"/>
        <v>174.74599233829753</v>
      </c>
      <c r="AS202" s="168" t="str">
        <f t="shared" si="132"/>
        <v>-2.02477260620157+1.9161908000565i</v>
      </c>
      <c r="AT202" s="190">
        <f t="shared" si="133"/>
        <v>8.9050436454854047</v>
      </c>
      <c r="AU202" s="169">
        <f t="shared" si="134"/>
        <v>136.57821960546957</v>
      </c>
      <c r="AV202" s="225"/>
      <c r="AX202">
        <f t="shared" si="135"/>
        <v>0</v>
      </c>
      <c r="AY202">
        <f t="shared" si="136"/>
        <v>0</v>
      </c>
    </row>
    <row r="203" spans="14:51" x14ac:dyDescent="0.2">
      <c r="N203" s="170">
        <v>85</v>
      </c>
      <c r="O203" s="199">
        <f t="shared" si="137"/>
        <v>707.94578438413873</v>
      </c>
      <c r="P203" s="189" t="str">
        <f t="shared" si="103"/>
        <v>1757.57575757576</v>
      </c>
      <c r="Q203" s="160" t="str">
        <f t="shared" si="104"/>
        <v>1+256.510245758311i</v>
      </c>
      <c r="R203" s="160">
        <f t="shared" si="112"/>
        <v>256.51219499078229</v>
      </c>
      <c r="S203" s="160">
        <f t="shared" si="113"/>
        <v>1.566897866789754</v>
      </c>
      <c r="T203" s="160" t="str">
        <f t="shared" si="105"/>
        <v>1+1.2454832742022i</v>
      </c>
      <c r="U203" s="160">
        <f t="shared" si="114"/>
        <v>1.5972565812409203</v>
      </c>
      <c r="V203" s="160">
        <f t="shared" si="115"/>
        <v>0.89428886957452014</v>
      </c>
      <c r="W203" s="98" t="str">
        <f t="shared" si="106"/>
        <v>1-0.000801594517994721i</v>
      </c>
      <c r="X203" s="160">
        <f t="shared" si="116"/>
        <v>1.000000321276834</v>
      </c>
      <c r="Y203" s="160">
        <f t="shared" si="117"/>
        <v>-8.0159434630559367E-4</v>
      </c>
      <c r="Z203" s="98" t="str">
        <f t="shared" si="107"/>
        <v>0.999799525106549-0.0188437664432774i</v>
      </c>
      <c r="AA203" s="160">
        <f t="shared" si="118"/>
        <v>0.99997708870606117</v>
      </c>
      <c r="AB203" s="160">
        <f t="shared" si="119"/>
        <v>-1.8845313640910254E-2</v>
      </c>
      <c r="AC203" s="171" t="str">
        <f t="shared" si="120"/>
        <v>8.68230828300289-6.66309109089907i</v>
      </c>
      <c r="AD203" s="190">
        <f t="shared" si="121"/>
        <v>20.783816256960005</v>
      </c>
      <c r="AE203" s="169">
        <f t="shared" si="122"/>
        <v>-37.50382784065981</v>
      </c>
      <c r="AF203" s="98" t="str">
        <f t="shared" si="108"/>
        <v>-0.0000114342530449913</v>
      </c>
      <c r="AG203" s="98" t="str">
        <f t="shared" si="109"/>
        <v>0.000534000953814194i</v>
      </c>
      <c r="AH203" s="98">
        <f t="shared" si="123"/>
        <v>5.3400095381419405E-4</v>
      </c>
      <c r="AI203" s="98">
        <f t="shared" si="124"/>
        <v>1.5707963267948966</v>
      </c>
      <c r="AJ203" s="98" t="str">
        <f t="shared" si="110"/>
        <v>1+0.00489093211741211i</v>
      </c>
      <c r="AK203" s="98">
        <f t="shared" si="125"/>
        <v>1.0000119605369613</v>
      </c>
      <c r="AL203" s="98">
        <f t="shared" si="126"/>
        <v>4.8908931189557093E-3</v>
      </c>
      <c r="AM203" s="98" t="str">
        <f t="shared" si="111"/>
        <v>1+11.7431280139065i</v>
      </c>
      <c r="AN203" s="98">
        <f t="shared" si="127"/>
        <v>11.785629196228584</v>
      </c>
      <c r="AO203" s="98">
        <f t="shared" si="128"/>
        <v>1.4858450881059109</v>
      </c>
      <c r="AP203" s="168" t="str">
        <f t="shared" si="129"/>
        <v>-0.251338057649839+0.0226416980180392i</v>
      </c>
      <c r="AQ203" s="98">
        <f t="shared" si="130"/>
        <v>-11.959733099251268</v>
      </c>
      <c r="AR203" s="169">
        <f t="shared" si="131"/>
        <v>174.85242502494691</v>
      </c>
      <c r="AS203" s="168" t="str">
        <f t="shared" si="132"/>
        <v>-2.03133080342023+1.87127057497379i</v>
      </c>
      <c r="AT203" s="190">
        <f t="shared" si="133"/>
        <v>8.8240831577087331</v>
      </c>
      <c r="AU203" s="169">
        <f t="shared" si="134"/>
        <v>137.34859718428712</v>
      </c>
      <c r="AV203" s="225"/>
      <c r="AX203">
        <f t="shared" si="135"/>
        <v>0</v>
      </c>
      <c r="AY203">
        <f t="shared" si="136"/>
        <v>0</v>
      </c>
    </row>
    <row r="204" spans="14:51" x14ac:dyDescent="0.2">
      <c r="N204" s="170">
        <v>86</v>
      </c>
      <c r="O204" s="199">
        <f t="shared" si="137"/>
        <v>724.43596007499025</v>
      </c>
      <c r="P204" s="189" t="str">
        <f t="shared" si="103"/>
        <v>1757.57575757576</v>
      </c>
      <c r="Q204" s="160" t="str">
        <f t="shared" si="104"/>
        <v>1+262.485136932694i</v>
      </c>
      <c r="R204" s="160">
        <f t="shared" si="112"/>
        <v>262.48704179554301</v>
      </c>
      <c r="S204" s="160">
        <f t="shared" si="113"/>
        <v>1.5669866057048216</v>
      </c>
      <c r="T204" s="160" t="str">
        <f t="shared" si="105"/>
        <v>1+1.274494306494i</v>
      </c>
      <c r="U204" s="160">
        <f t="shared" si="114"/>
        <v>1.6199801657074762</v>
      </c>
      <c r="V204" s="160">
        <f t="shared" si="115"/>
        <v>0.90550099373252979</v>
      </c>
      <c r="W204" s="98" t="str">
        <f t="shared" si="106"/>
        <v>1-0.000820266052914666i</v>
      </c>
      <c r="X204" s="160">
        <f t="shared" si="116"/>
        <v>1.0000003364181422</v>
      </c>
      <c r="Y204" s="160">
        <f t="shared" si="117"/>
        <v>-8.2026586894645486E-4</v>
      </c>
      <c r="Z204" s="98" t="str">
        <f t="shared" si="107"/>
        <v>0.9997900770159-0.0192826941495809i</v>
      </c>
      <c r="AA204" s="160">
        <f t="shared" si="118"/>
        <v>0.99997600990880042</v>
      </c>
      <c r="AB204" s="160">
        <f t="shared" si="119"/>
        <v>-1.9284351996211594E-2</v>
      </c>
      <c r="AC204" s="171" t="str">
        <f t="shared" si="120"/>
        <v>8.68105617715735-6.5042893361619i</v>
      </c>
      <c r="AD204" s="190">
        <f t="shared" si="121"/>
        <v>20.70652895014975</v>
      </c>
      <c r="AE204" s="169">
        <f t="shared" si="122"/>
        <v>-36.84241956698235</v>
      </c>
      <c r="AF204" s="98" t="str">
        <f t="shared" si="108"/>
        <v>-0.0000114342530449913</v>
      </c>
      <c r="AG204" s="98" t="str">
        <f t="shared" si="109"/>
        <v>0.000546439433909303i</v>
      </c>
      <c r="AH204" s="98">
        <f t="shared" si="123"/>
        <v>5.4643943390930304E-4</v>
      </c>
      <c r="AI204" s="98">
        <f t="shared" si="124"/>
        <v>1.5707963267948966</v>
      </c>
      <c r="AJ204" s="98" t="str">
        <f t="shared" si="110"/>
        <v>1+0.00500485656146868i</v>
      </c>
      <c r="AK204" s="98">
        <f t="shared" si="125"/>
        <v>1.0000125242161724</v>
      </c>
      <c r="AL204" s="98">
        <f t="shared" si="126"/>
        <v>5.0048147738980375E-3</v>
      </c>
      <c r="AM204" s="98" t="str">
        <f t="shared" si="111"/>
        <v>1+12.0166606040863i</v>
      </c>
      <c r="AN204" s="98">
        <f t="shared" si="127"/>
        <v>12.058197712502468</v>
      </c>
      <c r="AO204" s="98">
        <f t="shared" si="128"/>
        <v>1.4877698374158272</v>
      </c>
      <c r="AP204" s="168" t="str">
        <f t="shared" si="129"/>
        <v>-0.251337774305391+0.0221829239486096i</v>
      </c>
      <c r="AQ204" s="98">
        <f t="shared" si="130"/>
        <v>-11.961145445961591</v>
      </c>
      <c r="AR204" s="169">
        <f t="shared" si="131"/>
        <v>174.95617780700246</v>
      </c>
      <c r="AS204" s="168" t="str">
        <f t="shared" si="132"/>
        <v>-2.03759318250296+1.82734481416071i</v>
      </c>
      <c r="AT204" s="190">
        <f t="shared" si="133"/>
        <v>8.7453835041881565</v>
      </c>
      <c r="AU204" s="169">
        <f t="shared" si="134"/>
        <v>138.11375824002008</v>
      </c>
      <c r="AV204" s="225"/>
      <c r="AX204">
        <f t="shared" si="135"/>
        <v>0</v>
      </c>
      <c r="AY204">
        <f t="shared" si="136"/>
        <v>0</v>
      </c>
    </row>
    <row r="205" spans="14:51" x14ac:dyDescent="0.2">
      <c r="N205" s="170">
        <v>87</v>
      </c>
      <c r="O205" s="199">
        <f t="shared" si="137"/>
        <v>741.31024130091828</v>
      </c>
      <c r="P205" s="189" t="str">
        <f t="shared" si="103"/>
        <v>1757.57575757576</v>
      </c>
      <c r="Q205" s="160" t="str">
        <f t="shared" si="104"/>
        <v>1+268.59920120108i</v>
      </c>
      <c r="R205" s="160">
        <f t="shared" si="112"/>
        <v>268.60106270426081</v>
      </c>
      <c r="S205" s="160">
        <f t="shared" si="113"/>
        <v>1.5670733247335502</v>
      </c>
      <c r="T205" s="160" t="str">
        <f t="shared" si="105"/>
        <v>1+1.30418109253703i</v>
      </c>
      <c r="U205" s="160">
        <f t="shared" si="114"/>
        <v>1.6434379581021856</v>
      </c>
      <c r="V205" s="160">
        <f t="shared" si="115"/>
        <v>0.91665187449435392</v>
      </c>
      <c r="W205" s="98" t="str">
        <f t="shared" si="106"/>
        <v>1-0.000839372503753371i</v>
      </c>
      <c r="X205" s="160">
        <f t="shared" si="116"/>
        <v>1.0000003522730381</v>
      </c>
      <c r="Y205" s="160">
        <f t="shared" si="117"/>
        <v>-8.3937230662788499E-4</v>
      </c>
      <c r="Z205" s="98" t="str">
        <f t="shared" si="107"/>
        <v>0.999780183650457-0.0197318457955593i</v>
      </c>
      <c r="AA205" s="160">
        <f t="shared" si="118"/>
        <v>0.99997488036382265</v>
      </c>
      <c r="AB205" s="160">
        <f t="shared" si="119"/>
        <v>-1.9733622204055775E-2</v>
      </c>
      <c r="AC205" s="171" t="str">
        <f t="shared" si="120"/>
        <v>8.67985527797672-6.3489357916757i</v>
      </c>
      <c r="AD205" s="190">
        <f t="shared" si="121"/>
        <v>20.631414061731931</v>
      </c>
      <c r="AE205" s="169">
        <f t="shared" si="122"/>
        <v>-36.183843227296201</v>
      </c>
      <c r="AF205" s="98" t="str">
        <f t="shared" si="108"/>
        <v>-0.0000114342530449913</v>
      </c>
      <c r="AG205" s="98" t="str">
        <f t="shared" si="109"/>
        <v>0.000559167643425252i</v>
      </c>
      <c r="AH205" s="98">
        <f t="shared" si="123"/>
        <v>5.5916764342525205E-4</v>
      </c>
      <c r="AI205" s="98">
        <f t="shared" si="124"/>
        <v>1.5707963267948966</v>
      </c>
      <c r="AJ205" s="98" t="str">
        <f t="shared" si="110"/>
        <v>1+0.00512143464672125i</v>
      </c>
      <c r="AK205" s="98">
        <f t="shared" si="125"/>
        <v>1.0000131144604258</v>
      </c>
      <c r="AL205" s="98">
        <f t="shared" si="126"/>
        <v>5.1213898705643017E-3</v>
      </c>
      <c r="AM205" s="98" t="str">
        <f t="shared" si="111"/>
        <v>1+12.2965645867777i</v>
      </c>
      <c r="AN205" s="98">
        <f t="shared" si="127"/>
        <v>12.337159342279543</v>
      </c>
      <c r="AO205" s="98">
        <f t="shared" si="128"/>
        <v>1.4896513700692462</v>
      </c>
      <c r="AP205" s="168" t="str">
        <f t="shared" si="129"/>
        <v>-0.251337477608015+0.0217359114253854i</v>
      </c>
      <c r="AQ205" s="98">
        <f t="shared" si="130"/>
        <v>-11.96249510361579</v>
      </c>
      <c r="AR205" s="169">
        <f t="shared" si="131"/>
        <v>175.05730242602414</v>
      </c>
      <c r="AS205" s="168" t="str">
        <f t="shared" si="132"/>
        <v>-2.04357302555596+1.78439007288228i</v>
      </c>
      <c r="AT205" s="190">
        <f t="shared" si="133"/>
        <v>8.6689189581161283</v>
      </c>
      <c r="AU205" s="169">
        <f t="shared" si="134"/>
        <v>138.87345919872791</v>
      </c>
      <c r="AV205" s="225"/>
      <c r="AX205">
        <f t="shared" si="135"/>
        <v>0</v>
      </c>
      <c r="AY205">
        <f t="shared" si="136"/>
        <v>0</v>
      </c>
    </row>
    <row r="206" spans="14:51" x14ac:dyDescent="0.2">
      <c r="N206" s="170">
        <v>88</v>
      </c>
      <c r="O206" s="199">
        <f t="shared" si="137"/>
        <v>758.57757502918378</v>
      </c>
      <c r="P206" s="189" t="str">
        <f t="shared" si="103"/>
        <v>1757.57575757576</v>
      </c>
      <c r="Q206" s="160" t="str">
        <f t="shared" si="104"/>
        <v>1+274.855680321273i</v>
      </c>
      <c r="R206" s="160">
        <f t="shared" si="112"/>
        <v>274.85749945175195</v>
      </c>
      <c r="S206" s="160">
        <f t="shared" si="113"/>
        <v>1.5671580698502967</v>
      </c>
      <c r="T206" s="160" t="str">
        <f t="shared" si="105"/>
        <v>1+1.3345593726582i</v>
      </c>
      <c r="U206" s="160">
        <f t="shared" si="114"/>
        <v>1.6676476603736918</v>
      </c>
      <c r="V206" s="160">
        <f t="shared" si="115"/>
        <v>0.92773633253452958</v>
      </c>
      <c r="W206" s="98" t="str">
        <f t="shared" si="106"/>
        <v>1-0.000858924001003976i</v>
      </c>
      <c r="X206" s="160">
        <f t="shared" si="116"/>
        <v>1.0000003688751518</v>
      </c>
      <c r="Y206" s="160">
        <f t="shared" si="117"/>
        <v>-8.5892378978021642E-4</v>
      </c>
      <c r="Z206" s="98" t="str">
        <f t="shared" si="107"/>
        <v>0.999769824025065-0.0201914595273602i</v>
      </c>
      <c r="AA206" s="160">
        <f t="shared" si="118"/>
        <v>0.99997369768857158</v>
      </c>
      <c r="AB206" s="160">
        <f t="shared" si="119"/>
        <v>-2.0193362976431262E-2</v>
      </c>
      <c r="AC206" s="171" t="str">
        <f t="shared" si="120"/>
        <v>8.67870303812832-6.19694811148736i</v>
      </c>
      <c r="AD206" s="190">
        <f t="shared" si="121"/>
        <v>20.558446887199416</v>
      </c>
      <c r="AE206" s="169">
        <f t="shared" si="122"/>
        <v>-35.528385112468726</v>
      </c>
      <c r="AF206" s="98" t="str">
        <f t="shared" si="108"/>
        <v>-0.0000114342530449913</v>
      </c>
      <c r="AG206" s="98" t="str">
        <f t="shared" si="109"/>
        <v>0.000572192331027203i</v>
      </c>
      <c r="AH206" s="98">
        <f t="shared" si="123"/>
        <v>5.7219233102720295E-4</v>
      </c>
      <c r="AI206" s="98">
        <f t="shared" si="124"/>
        <v>1.5707963267948966</v>
      </c>
      <c r="AJ206" s="98" t="str">
        <f t="shared" si="110"/>
        <v>1+0.00524072818441371i</v>
      </c>
      <c r="AK206" s="98">
        <f t="shared" si="125"/>
        <v>1.0000137325216605</v>
      </c>
      <c r="AL206" s="98">
        <f t="shared" si="126"/>
        <v>5.2406802059327103E-3</v>
      </c>
      <c r="AM206" s="98" t="str">
        <f t="shared" si="111"/>
        <v>1+12.5829883707773i</v>
      </c>
      <c r="AN206" s="98">
        <f t="shared" si="127"/>
        <v>12.622662014769974</v>
      </c>
      <c r="AO206" s="98">
        <f t="shared" si="128"/>
        <v>1.4914906303625255</v>
      </c>
      <c r="AP206" s="168" t="str">
        <f t="shared" si="129"/>
        <v>-0.251337166928475+0.0213004234268486i</v>
      </c>
      <c r="AQ206" s="98">
        <f t="shared" si="130"/>
        <v>-11.963784877708472</v>
      </c>
      <c r="AR206" s="169">
        <f t="shared" si="131"/>
        <v>175.15584944550173</v>
      </c>
      <c r="AS206" s="168" t="str">
        <f t="shared" si="132"/>
        <v>-2.04928301548783+1.74238343145201i</v>
      </c>
      <c r="AT206" s="190">
        <f t="shared" si="133"/>
        <v>8.5946620094909498</v>
      </c>
      <c r="AU206" s="169">
        <f t="shared" si="134"/>
        <v>139.62746433303298</v>
      </c>
      <c r="AV206" s="225"/>
      <c r="AX206">
        <f t="shared" si="135"/>
        <v>0</v>
      </c>
      <c r="AY206">
        <f t="shared" si="136"/>
        <v>0</v>
      </c>
    </row>
    <row r="207" spans="14:51" x14ac:dyDescent="0.2">
      <c r="N207" s="170">
        <v>89</v>
      </c>
      <c r="O207" s="199">
        <f t="shared" si="137"/>
        <v>776.24711662869231</v>
      </c>
      <c r="P207" s="189" t="str">
        <f t="shared" si="103"/>
        <v>1757.57575757576</v>
      </c>
      <c r="Q207" s="160" t="str">
        <f t="shared" si="104"/>
        <v>1+281.257891561318i</v>
      </c>
      <c r="R207" s="160">
        <f t="shared" si="112"/>
        <v>281.25966928359651</v>
      </c>
      <c r="S207" s="160">
        <f t="shared" si="113"/>
        <v>1.5672408859831721</v>
      </c>
      <c r="T207" s="160" t="str">
        <f t="shared" si="105"/>
        <v>1+1.36564525382374i</v>
      </c>
      <c r="U207" s="160">
        <f t="shared" si="114"/>
        <v>1.6926272357761787</v>
      </c>
      <c r="V207" s="160">
        <f t="shared" si="115"/>
        <v>0.93874935026069573</v>
      </c>
      <c r="W207" s="98" t="str">
        <f t="shared" si="106"/>
        <v>1-0.000878930911129117i</v>
      </c>
      <c r="X207" s="160">
        <f t="shared" si="116"/>
        <v>1.0000003862596987</v>
      </c>
      <c r="Y207" s="160">
        <f t="shared" si="117"/>
        <v>-8.7893068479878559E-4</v>
      </c>
      <c r="Z207" s="98" t="str">
        <f t="shared" si="107"/>
        <v>0.99975897616557-0.0206617790382682i</v>
      </c>
      <c r="AA207" s="160">
        <f t="shared" si="118"/>
        <v>0.99997245938908486</v>
      </c>
      <c r="AB207" s="160">
        <f t="shared" si="119"/>
        <v>-2.0663818612922047E-2</v>
      </c>
      <c r="AC207" s="171" t="str">
        <f t="shared" si="120"/>
        <v>8.67759701344825-6.04824573223955i</v>
      </c>
      <c r="AD207" s="190">
        <f t="shared" si="121"/>
        <v>20.487600906465815</v>
      </c>
      <c r="AE207" s="169">
        <f t="shared" si="122"/>
        <v>-34.876321880172583</v>
      </c>
      <c r="AF207" s="98" t="str">
        <f t="shared" si="108"/>
        <v>-0.0000114342530449913</v>
      </c>
      <c r="AG207" s="98" t="str">
        <f t="shared" si="109"/>
        <v>0.000585520402576927i</v>
      </c>
      <c r="AH207" s="98">
        <f t="shared" si="123"/>
        <v>5.8552040257692705E-4</v>
      </c>
      <c r="AI207" s="98">
        <f t="shared" si="124"/>
        <v>1.5707963267948966</v>
      </c>
      <c r="AJ207" s="98" t="str">
        <f t="shared" si="110"/>
        <v>1+0.00536280042555879i</v>
      </c>
      <c r="AK207" s="98">
        <f t="shared" si="125"/>
        <v>1.0000143797108141</v>
      </c>
      <c r="AL207" s="98">
        <f t="shared" si="126"/>
        <v>5.3627490157300882E-3</v>
      </c>
      <c r="AM207" s="98" t="str">
        <f t="shared" si="111"/>
        <v>1+12.8760838217667i</v>
      </c>
      <c r="AN207" s="98">
        <f t="shared" si="127"/>
        <v>12.914857126006549</v>
      </c>
      <c r="AO207" s="98">
        <f t="shared" si="128"/>
        <v>1.4932885436921133</v>
      </c>
      <c r="AP207" s="168" t="str">
        <f t="shared" si="129"/>
        <v>-0.251336841607882+0.0208762290412527i</v>
      </c>
      <c r="AQ207" s="98">
        <f t="shared" si="130"/>
        <v>-11.965017451713608</v>
      </c>
      <c r="AR207" s="169">
        <f t="shared" si="131"/>
        <v>175.25186826360581</v>
      </c>
      <c r="AS207" s="168" t="str">
        <f t="shared" si="132"/>
        <v>-2.05473526290206+1.70130248238988i</v>
      </c>
      <c r="AT207" s="190">
        <f t="shared" si="133"/>
        <v>8.5225834547522155</v>
      </c>
      <c r="AU207" s="169">
        <f t="shared" si="134"/>
        <v>140.37554638343317</v>
      </c>
      <c r="AV207" s="225"/>
      <c r="AX207">
        <f t="shared" si="135"/>
        <v>0</v>
      </c>
      <c r="AY207">
        <f t="shared" si="136"/>
        <v>0</v>
      </c>
    </row>
    <row r="208" spans="14:51" x14ac:dyDescent="0.2">
      <c r="N208" s="170">
        <v>90</v>
      </c>
      <c r="O208" s="199">
        <f t="shared" si="137"/>
        <v>794.32823472428208</v>
      </c>
      <c r="P208" s="189" t="str">
        <f t="shared" si="103"/>
        <v>1757.57575757576</v>
      </c>
      <c r="Q208" s="160" t="str">
        <f t="shared" si="104"/>
        <v>1+287.809229458357i</v>
      </c>
      <c r="R208" s="160">
        <f t="shared" si="112"/>
        <v>287.81096671498324</v>
      </c>
      <c r="S208" s="160">
        <f t="shared" si="113"/>
        <v>1.5673218170378398</v>
      </c>
      <c r="T208" s="160" t="str">
        <f t="shared" si="105"/>
        <v>1+1.3974552181793i</v>
      </c>
      <c r="U208" s="160">
        <f t="shared" si="114"/>
        <v>1.7183949158492511</v>
      </c>
      <c r="V208" s="160">
        <f t="shared" si="115"/>
        <v>0.94968608141510569</v>
      </c>
      <c r="W208" s="98" t="str">
        <f t="shared" si="106"/>
        <v>1-0.000899403842057364i</v>
      </c>
      <c r="X208" s="160">
        <f t="shared" si="116"/>
        <v>1.0000004044635538</v>
      </c>
      <c r="Y208" s="160">
        <f t="shared" si="117"/>
        <v>-8.9940359954004978E-4</v>
      </c>
      <c r="Z208" s="98" t="str">
        <f t="shared" si="107"/>
        <v>0.999747617062208-0.0211430536979133i</v>
      </c>
      <c r="AA208" s="160">
        <f t="shared" si="118"/>
        <v>0.99997116285482757</v>
      </c>
      <c r="AB208" s="160">
        <f t="shared" si="119"/>
        <v>-2.1145239132808386E-2</v>
      </c>
      <c r="AC208" s="171" t="str">
        <f t="shared" si="120"/>
        <v>8.6765348577558-5.90274983056232i</v>
      </c>
      <c r="AD208" s="190">
        <f t="shared" si="121"/>
        <v>20.418847884081313</v>
      </c>
      <c r="AE208" s="169">
        <f t="shared" si="122"/>
        <v>-34.227919998868344</v>
      </c>
      <c r="AF208" s="98" t="str">
        <f t="shared" si="108"/>
        <v>-0.0000114342530449913</v>
      </c>
      <c r="AG208" s="98" t="str">
        <f t="shared" si="109"/>
        <v>0.000599158924794376i</v>
      </c>
      <c r="AH208" s="98">
        <f t="shared" si="123"/>
        <v>5.9915892479437598E-4</v>
      </c>
      <c r="AI208" s="98">
        <f t="shared" si="124"/>
        <v>1.5707963267948966</v>
      </c>
      <c r="AJ208" s="98" t="str">
        <f t="shared" si="110"/>
        <v>1+0.00548771609447456i</v>
      </c>
      <c r="AK208" s="98">
        <f t="shared" si="125"/>
        <v>1.0000150574006041</v>
      </c>
      <c r="AL208" s="98">
        <f t="shared" si="126"/>
        <v>5.4876610078954252E-3</v>
      </c>
      <c r="AM208" s="98" t="str">
        <f t="shared" si="111"/>
        <v>1+13.1760063428334i</v>
      </c>
      <c r="AN208" s="98">
        <f t="shared" si="127"/>
        <v>13.213899619203485</v>
      </c>
      <c r="AO208" s="98">
        <f t="shared" si="128"/>
        <v>1.4950460168155661</v>
      </c>
      <c r="AP208" s="168" t="str">
        <f t="shared" si="129"/>
        <v>-0.251336500956303+0.0204631033441416i</v>
      </c>
      <c r="AQ208" s="98">
        <f t="shared" si="130"/>
        <v>-11.966195392341801</v>
      </c>
      <c r="AR208" s="169">
        <f t="shared" si="131"/>
        <v>175.34540712622572</v>
      </c>
      <c r="AS208" s="168" t="str">
        <f t="shared" si="132"/>
        <v>-2.05994133177633+1.66112531789725i</v>
      </c>
      <c r="AT208" s="190">
        <f t="shared" si="133"/>
        <v>8.4526524917395278</v>
      </c>
      <c r="AU208" s="169">
        <f t="shared" si="134"/>
        <v>141.11748712735738</v>
      </c>
      <c r="AV208" s="225"/>
      <c r="AX208">
        <f t="shared" si="135"/>
        <v>0</v>
      </c>
      <c r="AY208">
        <f t="shared" si="136"/>
        <v>0</v>
      </c>
    </row>
    <row r="209" spans="14:51" x14ac:dyDescent="0.2">
      <c r="N209" s="170">
        <v>91</v>
      </c>
      <c r="O209" s="199">
        <f t="shared" si="137"/>
        <v>812.83051616409978</v>
      </c>
      <c r="P209" s="189" t="str">
        <f t="shared" si="103"/>
        <v>1757.57575757576</v>
      </c>
      <c r="Q209" s="160" t="str">
        <f t="shared" si="104"/>
        <v>1+294.51316761846i</v>
      </c>
      <c r="R209" s="160">
        <f t="shared" si="112"/>
        <v>294.5148653305281</v>
      </c>
      <c r="S209" s="160">
        <f t="shared" si="113"/>
        <v>1.5674009059207727</v>
      </c>
      <c r="T209" s="160" t="str">
        <f t="shared" si="105"/>
        <v>1+1.43000613178905i</v>
      </c>
      <c r="U209" s="160">
        <f t="shared" si="114"/>
        <v>1.744969208024681</v>
      </c>
      <c r="V209" s="160">
        <f t="shared" si="115"/>
        <v>0.96054185972343054</v>
      </c>
      <c r="W209" s="98" t="str">
        <f t="shared" si="106"/>
        <v>1-0.000920353648807686i</v>
      </c>
      <c r="X209" s="160">
        <f t="shared" si="116"/>
        <v>1.0000004235253297</v>
      </c>
      <c r="Y209" s="160">
        <f t="shared" si="117"/>
        <v>-9.2035338894570795E-4</v>
      </c>
      <c r="Z209" s="98" t="str">
        <f t="shared" si="107"/>
        <v>0.999735722620797-0.0216355386844903i</v>
      </c>
      <c r="AA209" s="160">
        <f t="shared" si="118"/>
        <v>0.99996980535328928</v>
      </c>
      <c r="AB209" s="160">
        <f t="shared" si="119"/>
        <v>-2.1637880410385321E-2</v>
      </c>
      <c r="AC209" s="171" t="str">
        <f t="shared" si="120"/>
        <v>8.67551431787608-5.7603832813783i</v>
      </c>
      <c r="AD209" s="190">
        <f t="shared" si="121"/>
        <v>20.352157973789531</v>
      </c>
      <c r="AE209" s="169">
        <f t="shared" si="122"/>
        <v>-33.5834352461656</v>
      </c>
      <c r="AF209" s="98" t="str">
        <f t="shared" si="108"/>
        <v>-0.0000114342530449913</v>
      </c>
      <c r="AG209" s="98" t="str">
        <f t="shared" si="109"/>
        <v>0.000613115129004556i</v>
      </c>
      <c r="AH209" s="98">
        <f t="shared" si="123"/>
        <v>6.1311512900455597E-4</v>
      </c>
      <c r="AI209" s="98">
        <f t="shared" si="124"/>
        <v>1.5707963267948966</v>
      </c>
      <c r="AJ209" s="98" t="str">
        <f t="shared" si="110"/>
        <v>1+0.00561554142310212i</v>
      </c>
      <c r="AK209" s="98">
        <f t="shared" si="125"/>
        <v>1.0000157670284378</v>
      </c>
      <c r="AL209" s="98">
        <f t="shared" si="126"/>
        <v>5.6154823968193809E-3</v>
      </c>
      <c r="AM209" s="98" t="str">
        <f t="shared" si="111"/>
        <v>1+13.4829149568682i</v>
      </c>
      <c r="AN209" s="98">
        <f t="shared" si="127"/>
        <v>13.51994806699124</v>
      </c>
      <c r="AO209" s="98">
        <f t="shared" si="128"/>
        <v>1.4967639381174977</v>
      </c>
      <c r="AP209" s="168" t="str">
        <f t="shared" si="129"/>
        <v>-0.251336144251301+0.0200608272790395i</v>
      </c>
      <c r="AQ209" s="98">
        <f t="shared" si="130"/>
        <v>-11.967321154587472</v>
      </c>
      <c r="AR209" s="169">
        <f t="shared" si="131"/>
        <v>175.43651314024518</v>
      </c>
      <c r="AS209" s="168" t="str">
        <f t="shared" si="132"/>
        <v>-2.06491226398313+1.62183051763903i</v>
      </c>
      <c r="AT209" s="190">
        <f t="shared" si="133"/>
        <v>8.3848368192020608</v>
      </c>
      <c r="AU209" s="169">
        <f t="shared" si="134"/>
        <v>141.85307789407949</v>
      </c>
      <c r="AV209" s="225"/>
      <c r="AX209">
        <f t="shared" si="135"/>
        <v>0</v>
      </c>
      <c r="AY209">
        <f t="shared" si="136"/>
        <v>0</v>
      </c>
    </row>
    <row r="210" spans="14:51" x14ac:dyDescent="0.2">
      <c r="N210" s="170">
        <v>92</v>
      </c>
      <c r="O210" s="199">
        <f t="shared" si="137"/>
        <v>831.7637711026714</v>
      </c>
      <c r="P210" s="189" t="str">
        <f t="shared" si="103"/>
        <v>1757.57575757576</v>
      </c>
      <c r="Q210" s="160" t="str">
        <f t="shared" si="104"/>
        <v>1+301.373260558377i</v>
      </c>
      <c r="R210" s="160">
        <f t="shared" si="112"/>
        <v>301.3749196260157</v>
      </c>
      <c r="S210" s="160">
        <f t="shared" si="113"/>
        <v>1.5674781945619838</v>
      </c>
      <c r="T210" s="160" t="str">
        <f t="shared" si="105"/>
        <v>1+1.46331525357825i</v>
      </c>
      <c r="U210" s="160">
        <f t="shared" si="114"/>
        <v>1.7723689038557346</v>
      </c>
      <c r="V210" s="160">
        <f t="shared" si="115"/>
        <v>0.97131220656800399</v>
      </c>
      <c r="W210" s="98" t="str">
        <f t="shared" si="106"/>
        <v>1-0.000941791439244927i</v>
      </c>
      <c r="X210" s="160">
        <f t="shared" si="116"/>
        <v>1.0000004434854592</v>
      </c>
      <c r="Y210" s="160">
        <f t="shared" si="117"/>
        <v>-9.4179116079780745E-4</v>
      </c>
      <c r="Z210" s="98" t="str">
        <f t="shared" si="107"/>
        <v>0.999723267611632-0.0221394951200581i</v>
      </c>
      <c r="AA210" s="160">
        <f t="shared" si="118"/>
        <v>0.99996838402434007</v>
      </c>
      <c r="AB210" s="160">
        <f t="shared" si="119"/>
        <v>-2.214200431358242E-2</v>
      </c>
      <c r="AC210" s="171" t="str">
        <f t="shared" si="120"/>
        <v>8.67453322885842-5.62107061709984i</v>
      </c>
      <c r="AD210" s="190">
        <f t="shared" si="121"/>
        <v>20.287499826649366</v>
      </c>
      <c r="AE210" s="169">
        <f t="shared" si="122"/>
        <v>-32.943112262869683</v>
      </c>
      <c r="AF210" s="98" t="str">
        <f t="shared" si="108"/>
        <v>-0.0000114342530449913</v>
      </c>
      <c r="AG210" s="98" t="str">
        <f t="shared" si="109"/>
        <v>0.000627396414971673i</v>
      </c>
      <c r="AH210" s="98">
        <f t="shared" si="123"/>
        <v>6.2739641497167303E-4</v>
      </c>
      <c r="AI210" s="98">
        <f t="shared" si="124"/>
        <v>1.5707963267948966</v>
      </c>
      <c r="AJ210" s="98" t="str">
        <f t="shared" si="110"/>
        <v>1+0.0057463441861227i</v>
      </c>
      <c r="AK210" s="98">
        <f t="shared" si="125"/>
        <v>1.0000165100994609</v>
      </c>
      <c r="AL210" s="98">
        <f t="shared" si="126"/>
        <v>5.746280938377625E-3</v>
      </c>
      <c r="AM210" s="98" t="str">
        <f t="shared" si="111"/>
        <v>1+13.7969723908806i</v>
      </c>
      <c r="AN210" s="98">
        <f t="shared" si="127"/>
        <v>13.833164755569188</v>
      </c>
      <c r="AO210" s="98">
        <f t="shared" si="128"/>
        <v>1.4984431778796465</v>
      </c>
      <c r="AP210" s="168" t="str">
        <f t="shared" si="129"/>
        <v>-0.251335770736395+0.0196691875412478i</v>
      </c>
      <c r="AQ210" s="98">
        <f t="shared" si="130"/>
        <v>-11.968397086573859</v>
      </c>
      <c r="AR210" s="169">
        <f t="shared" si="131"/>
        <v>175.52523228700912</v>
      </c>
      <c r="AS210" s="168" t="str">
        <f t="shared" si="132"/>
        <v>-2.06965860270327+1.58339713682369i</v>
      </c>
      <c r="AT210" s="190">
        <f t="shared" si="133"/>
        <v>8.3191027400755075</v>
      </c>
      <c r="AU210" s="169">
        <f t="shared" si="134"/>
        <v>142.58212002413956</v>
      </c>
      <c r="AV210" s="225"/>
      <c r="AX210">
        <f t="shared" si="135"/>
        <v>0</v>
      </c>
      <c r="AY210">
        <f t="shared" si="136"/>
        <v>0</v>
      </c>
    </row>
    <row r="211" spans="14:51" x14ac:dyDescent="0.2">
      <c r="N211" s="170">
        <v>93</v>
      </c>
      <c r="O211" s="199">
        <f t="shared" si="137"/>
        <v>851.13803820237763</v>
      </c>
      <c r="P211" s="189" t="str">
        <f t="shared" ref="P211:P274" si="138">COMPLEX(Adc,0)</f>
        <v>1757.57575757576</v>
      </c>
      <c r="Q211" s="160" t="str">
        <f t="shared" ref="Q211:Q274" si="139">IMSUM(COMPLEX(1,0),IMDIV(COMPLEX(0,2*PI()*O211),COMPLEX(wp_lf,0)))</f>
        <v>1+308.39314559019i</v>
      </c>
      <c r="R211" s="160">
        <f t="shared" si="112"/>
        <v>308.39476689303945</v>
      </c>
      <c r="S211" s="160">
        <f t="shared" si="113"/>
        <v>1.5675537239372379</v>
      </c>
      <c r="T211" s="160" t="str">
        <f t="shared" ref="T211:T274" si="140">IMSUM(COMPLEX(1,0),IMDIV(COMPLEX(0,2*PI()*O211),COMPLEX(wz_esr,0)))</f>
        <v>1+1.49740024448416i</v>
      </c>
      <c r="U211" s="160">
        <f t="shared" si="114"/>
        <v>1.8006130878623599</v>
      </c>
      <c r="V211" s="160">
        <f t="shared" si="115"/>
        <v>0.98199283767193368</v>
      </c>
      <c r="W211" s="98" t="str">
        <f t="shared" ref="W211:W274" si="141">IMSUB(COMPLEX(1,0),IMDIV(COMPLEX(0,2*PI()*O211),COMPLEX(wz_rhp,0)))</f>
        <v>1-0.000963728579969341i</v>
      </c>
      <c r="X211" s="160">
        <f t="shared" si="116"/>
        <v>1.0000004643862801</v>
      </c>
      <c r="Y211" s="160">
        <f t="shared" si="117"/>
        <v>-9.6372828160788443E-4</v>
      </c>
      <c r="Z211" s="98" t="str">
        <f t="shared" ref="Z211:Z274" si="142">IF(Dc_Mode_Loop="CCM",IMSUM(COMPLEX(1,0),IMDIV(COMPLEX(0,2*PI()*O211),COMPLEX(Q*(wsl/2),0)),IMDIV(IMPOWER(COMPLEX(0,2*PI()*O211),2),IMPOWER(COMPLEX(wsl/2,0),2))),COMPLEX(1,0))</f>
        <v>0.99971022561597-0.0226551902089894i</v>
      </c>
      <c r="AA211" s="160">
        <f t="shared" si="118"/>
        <v>0.99996689587432797</v>
      </c>
      <c r="AB211" s="160">
        <f t="shared" si="119"/>
        <v>-2.2657878845971331E-2</v>
      </c>
      <c r="AC211" s="171" t="str">
        <f t="shared" si="120"/>
        <v>8.67358950938234-5.48473798769641i</v>
      </c>
      <c r="AD211" s="190">
        <f t="shared" si="121"/>
        <v>20.224840701947493</v>
      </c>
      <c r="AE211" s="169">
        <f t="shared" si="122"/>
        <v>-32.307184163482617</v>
      </c>
      <c r="AF211" s="98" t="str">
        <f t="shared" ref="AF211:AF274" si="143">COMPLEX(Adc_ea,0)</f>
        <v>-0.0000114342530449913</v>
      </c>
      <c r="AG211" s="98" t="str">
        <f t="shared" ref="AG211:AG274" si="144">COMPLEX(0,2*PI()*O211*wp0_ea)</f>
        <v>0.000642010354822581i</v>
      </c>
      <c r="AH211" s="98">
        <f t="shared" si="123"/>
        <v>6.4201035482258097E-4</v>
      </c>
      <c r="AI211" s="98">
        <f t="shared" si="124"/>
        <v>1.5707963267948966</v>
      </c>
      <c r="AJ211" s="98" t="str">
        <f t="shared" ref="AJ211:AJ274" si="145">IMSUM(COMPLEX(1,0),IMDIV(COMPLEX(0,2*PI()*O211),COMPLEX(wp1_ea,0)))</f>
        <v>1+0.00588019373689262i</v>
      </c>
      <c r="AK211" s="98">
        <f t="shared" si="125"/>
        <v>1.0000172881897509</v>
      </c>
      <c r="AL211" s="98">
        <f t="shared" si="126"/>
        <v>5.8801259657760372E-3</v>
      </c>
      <c r="AM211" s="98" t="str">
        <f t="shared" ref="AM211:AM274" si="146">IMSUM(COMPLEX(1,0),IMDIV(COMPLEX(0,2*PI()*O211),COMPLEX(wz_ea,0)))</f>
        <v>1+14.1183451622792i</v>
      </c>
      <c r="AN211" s="98">
        <f t="shared" si="127"/>
        <v>14.153715770823309</v>
      </c>
      <c r="AO211" s="98">
        <f t="shared" si="128"/>
        <v>1.5000845885543515</v>
      </c>
      <c r="AP211" s="168" t="str">
        <f t="shared" si="129"/>
        <v>-0.251335379619463+0.019287976464688i</v>
      </c>
      <c r="AQ211" s="98">
        <f t="shared" si="130"/>
        <v>-11.969425434202138</v>
      </c>
      <c r="AR211" s="169">
        <f t="shared" si="131"/>
        <v>175.61160943593868</v>
      </c>
      <c r="AS211" s="168" t="str">
        <f t="shared" si="132"/>
        <v>-2.07419041478233+1.5458046945723i</v>
      </c>
      <c r="AT211" s="190">
        <f t="shared" si="133"/>
        <v>8.2554152677453452</v>
      </c>
      <c r="AU211" s="169">
        <f t="shared" si="134"/>
        <v>143.30442527245597</v>
      </c>
      <c r="AV211" s="225"/>
      <c r="AX211">
        <f t="shared" si="135"/>
        <v>0</v>
      </c>
      <c r="AY211">
        <f t="shared" si="136"/>
        <v>0</v>
      </c>
    </row>
    <row r="212" spans="14:51" x14ac:dyDescent="0.2">
      <c r="N212" s="170">
        <v>94</v>
      </c>
      <c r="O212" s="199">
        <f t="shared" si="137"/>
        <v>870.96358995608091</v>
      </c>
      <c r="P212" s="189" t="str">
        <f t="shared" si="138"/>
        <v>1757.57575757576</v>
      </c>
      <c r="Q212" s="160" t="str">
        <f t="shared" si="139"/>
        <v>1+315.576544749859i</v>
      </c>
      <c r="R212" s="160">
        <f t="shared" ref="R212:R275" si="147">IMABS(Q212)</f>
        <v>315.57812914753731</v>
      </c>
      <c r="S212" s="160">
        <f t="shared" ref="S212:S275" si="148">IMARGUMENT(Q212)</f>
        <v>1.5676275340897607</v>
      </c>
      <c r="T212" s="160" t="str">
        <f t="shared" si="140"/>
        <v>1+1.53227917682012i</v>
      </c>
      <c r="U212" s="160">
        <f t="shared" ref="U212:U275" si="149">IMABS(T212)</f>
        <v>1.829721146982934</v>
      </c>
      <c r="V212" s="160">
        <f t="shared" ref="V212:V275" si="150">IMARGUMENT(T212)</f>
        <v>0.99257966878935</v>
      </c>
      <c r="W212" s="98" t="str">
        <f t="shared" si="141"/>
        <v>1-0.000986176702343307i</v>
      </c>
      <c r="X212" s="160">
        <f t="shared" ref="X212:X275" si="151">IMABS(W212)</f>
        <v>1.0000004862721259</v>
      </c>
      <c r="Y212" s="160">
        <f t="shared" ref="Y212:Y275" si="152">IMARGUMENT(W212)</f>
        <v>-9.8617638264325482E-4</v>
      </c>
      <c r="Z212" s="98" t="str">
        <f t="shared" si="142"/>
        <v>0.999696568969988-0.0231828973796464i</v>
      </c>
      <c r="AA212" s="160">
        <f t="shared" ref="AA212:AA275" si="153">IMABS(Z212)</f>
        <v>0.99996533776990548</v>
      </c>
      <c r="AB212" s="160">
        <f t="shared" ref="AB212:AB275" si="154">IMARGUMENT(Z212)</f>
        <v>-2.3185778292253593E-2</v>
      </c>
      <c r="AC212" s="171" t="str">
        <f t="shared" ref="AC212:AC275" si="155">(IMDIV(IMPRODUCT(P212,T212,W212),IMPRODUCT(Q212,Z212)))</f>
        <v>8.67268115734058-5.35131312161221i</v>
      </c>
      <c r="AD212" s="190">
        <f t="shared" ref="AD212:AD275" si="156">20*LOG(IMABS(AC212))</f>
        <v>20.164146580134389</v>
      </c>
      <c r="AE212" s="169">
        <f t="shared" ref="AE212:AE275" si="157">(180/PI())*IMARGUMENT(AC212)</f>
        <v>-31.675872203429762</v>
      </c>
      <c r="AF212" s="98" t="str">
        <f t="shared" si="143"/>
        <v>-0.0000114342530449913</v>
      </c>
      <c r="AG212" s="98" t="str">
        <f t="shared" si="144"/>
        <v>0.000656964697061627i</v>
      </c>
      <c r="AH212" s="98">
        <f t="shared" ref="AH212:AH275" si="158">IMABS(AG212)</f>
        <v>6.5696469706162696E-4</v>
      </c>
      <c r="AI212" s="98">
        <f t="shared" ref="AI212:AI275" si="159">IMARGUMENT(AG212)</f>
        <v>1.5707963267948966</v>
      </c>
      <c r="AJ212" s="98" t="str">
        <f t="shared" si="145"/>
        <v>1+0.00601716104421538i</v>
      </c>
      <c r="AK212" s="98">
        <f t="shared" ref="AK212:AK275" si="160">IMABS(AJ212)</f>
        <v>1.0000181029496575</v>
      </c>
      <c r="AL212" s="98">
        <f t="shared" ref="AL212:AL275" si="161">IMARGUMENT(AJ212)</f>
        <v>6.017088426226622E-3</v>
      </c>
      <c r="AM212" s="98" t="str">
        <f t="shared" si="146"/>
        <v>1+14.4472036671611i</v>
      </c>
      <c r="AN212" s="98">
        <f t="shared" ref="AN212:AN275" si="162">IMABS(AM212)</f>
        <v>14.481771086453243</v>
      </c>
      <c r="AO212" s="98">
        <f t="shared" ref="AO212:AO275" si="163">IMARGUMENT(AM212)</f>
        <v>1.5016890050407394</v>
      </c>
      <c r="AP212" s="168" t="str">
        <f t="shared" ref="AP212:AP275" si="164">IMPRODUCT(AF212,IMDIV(AM212,IMPRODUCT(AG212,AJ212)))</f>
        <v>-0.251334970071062+0.0189169919117302i</v>
      </c>
      <c r="AQ212" s="98">
        <f t="shared" ref="AQ212:AQ275" si="165">20*LOG(IMABS(AP212))</f>
        <v>-11.970408345612707</v>
      </c>
      <c r="AR212" s="169">
        <f t="shared" ref="AR212:AR275" si="166">(180/PI())*IMARGUMENT(AP212)</f>
        <v>175.69568835825439</v>
      </c>
      <c r="AS212" s="168" t="str">
        <f t="shared" ref="AS212:AS275" si="167">IMPRODUCT(AC212,AP212)</f>
        <v>-2.07851731207738+1.50903316256771i</v>
      </c>
      <c r="AT212" s="190">
        <f t="shared" ref="AT212:AT275" si="168">20*LOG(IMABS(AS212))</f>
        <v>8.1937382345216641</v>
      </c>
      <c r="AU212" s="169">
        <f t="shared" ref="AU212:AU275" si="169">(180/PI())*IMARGUMENT(AS212)</f>
        <v>144.01981615482461</v>
      </c>
      <c r="AV212" s="225"/>
      <c r="AX212">
        <f t="shared" ref="AX212:AX275" si="170">SUM((AT213&lt;0)*(AT212&gt;0))*O212</f>
        <v>0</v>
      </c>
      <c r="AY212">
        <f t="shared" ref="AY212:AY275" si="171">IF(AX212&gt;0,AU212,0)</f>
        <v>0</v>
      </c>
    </row>
    <row r="213" spans="14:51" x14ac:dyDescent="0.2">
      <c r="N213" s="170">
        <v>95</v>
      </c>
      <c r="O213" s="199">
        <f t="shared" si="137"/>
        <v>891.25093813374656</v>
      </c>
      <c r="P213" s="189" t="str">
        <f t="shared" si="138"/>
        <v>1757.57575757576</v>
      </c>
      <c r="Q213" s="160" t="str">
        <f t="shared" si="139"/>
        <v>1+322.927266770705i</v>
      </c>
      <c r="R213" s="160">
        <f t="shared" si="147"/>
        <v>322.92881510326401</v>
      </c>
      <c r="S213" s="160">
        <f t="shared" si="148"/>
        <v>1.5676996641514533</v>
      </c>
      <c r="T213" s="160" t="str">
        <f t="shared" si="140"/>
        <v>1+1.56797054385775i</v>
      </c>
      <c r="U213" s="160">
        <f t="shared" si="149"/>
        <v>1.8597127806211282</v>
      </c>
      <c r="V213" s="160">
        <f t="shared" si="150"/>
        <v>1.0030688204055977</v>
      </c>
      <c r="W213" s="98" t="str">
        <f t="shared" si="141"/>
        <v>1-0.00100914770865845i</v>
      </c>
      <c r="X213" s="160">
        <f t="shared" si="151"/>
        <v>1.0000005091894193</v>
      </c>
      <c r="Y213" s="160">
        <f t="shared" si="152"/>
        <v>-1.0091473660936816E-3</v>
      </c>
      <c r="Z213" s="98" t="str">
        <f t="shared" si="142"/>
        <v>0.99968226870611-0.023722896429356i</v>
      </c>
      <c r="AA213" s="160">
        <f t="shared" si="153"/>
        <v>0.99996370643158483</v>
      </c>
      <c r="AB213" s="160">
        <f t="shared" si="154"/>
        <v>-2.3725983367320246E-2</v>
      </c>
      <c r="AC213" s="171" t="str">
        <f t="shared" si="155"/>
        <v>8.67180624558889-5.22072528751255i</v>
      </c>
      <c r="AD213" s="190">
        <f t="shared" si="156"/>
        <v>20.105382277032049</v>
      </c>
      <c r="AE213" s="169">
        <f t="shared" si="157"/>
        <v>-31.049385502787064</v>
      </c>
      <c r="AF213" s="98" t="str">
        <f t="shared" si="143"/>
        <v>-0.0000114342530449913</v>
      </c>
      <c r="AG213" s="98" t="str">
        <f t="shared" si="144"/>
        <v>0.000672267370679012i</v>
      </c>
      <c r="AH213" s="98">
        <f t="shared" si="158"/>
        <v>6.7226737067901195E-4</v>
      </c>
      <c r="AI213" s="98">
        <f t="shared" si="159"/>
        <v>1.5707963267948966</v>
      </c>
      <c r="AJ213" s="98" t="str">
        <f t="shared" si="145"/>
        <v>1+0.00615731872997036i</v>
      </c>
      <c r="AK213" s="98">
        <f t="shared" si="160"/>
        <v>1.0000189561073043</v>
      </c>
      <c r="AL213" s="98">
        <f t="shared" si="161"/>
        <v>6.1572409184731608E-3</v>
      </c>
      <c r="AM213" s="98" t="str">
        <f t="shared" si="146"/>
        <v>1+14.7837222706588i</v>
      </c>
      <c r="AN213" s="98">
        <f t="shared" si="162"/>
        <v>14.817504654157291</v>
      </c>
      <c r="AO213" s="98">
        <f t="shared" si="163"/>
        <v>1.5032572449630155</v>
      </c>
      <c r="AP213" s="168" t="str">
        <f t="shared" si="164"/>
        <v>-0.251334541222671+0.0185560371659477i</v>
      </c>
      <c r="AQ213" s="98">
        <f t="shared" si="165"/>
        <v>-11.971347875465243</v>
      </c>
      <c r="AR213" s="169">
        <f t="shared" si="166"/>
        <v>175.77751174077073</v>
      </c>
      <c r="AS213" s="168" t="str">
        <f t="shared" si="167"/>
        <v>-2.08264847183869+1.47306295397561i</v>
      </c>
      <c r="AT213" s="190">
        <f t="shared" si="168"/>
        <v>8.1340344015668098</v>
      </c>
      <c r="AU213" s="169">
        <f t="shared" si="169"/>
        <v>144.72812623798362</v>
      </c>
      <c r="AV213" s="225"/>
      <c r="AX213">
        <f t="shared" si="170"/>
        <v>0</v>
      </c>
      <c r="AY213">
        <f t="shared" si="171"/>
        <v>0</v>
      </c>
    </row>
    <row r="214" spans="14:51" x14ac:dyDescent="0.2">
      <c r="N214" s="170">
        <v>96</v>
      </c>
      <c r="O214" s="199">
        <f t="shared" si="137"/>
        <v>912.01083935590987</v>
      </c>
      <c r="P214" s="189" t="str">
        <f t="shared" si="138"/>
        <v>1757.57575757576</v>
      </c>
      <c r="Q214" s="160" t="str">
        <f t="shared" si="139"/>
        <v>1+330.449209102839i</v>
      </c>
      <c r="R214" s="160">
        <f t="shared" si="147"/>
        <v>330.45072219120937</v>
      </c>
      <c r="S214" s="160">
        <f t="shared" si="148"/>
        <v>1.5677701523636252</v>
      </c>
      <c r="T214" s="160" t="str">
        <f t="shared" si="140"/>
        <v>1+1.60449326963228i</v>
      </c>
      <c r="U214" s="160">
        <f t="shared" si="149"/>
        <v>1.8906080112744905</v>
      </c>
      <c r="V214" s="160">
        <f t="shared" si="150"/>
        <v>1.0134566214592213</v>
      </c>
      <c r="W214" s="98" t="str">
        <f t="shared" si="141"/>
        <v>1-0.00103265377844637i</v>
      </c>
      <c r="X214" s="160">
        <f t="shared" si="151"/>
        <v>1.000000533186771</v>
      </c>
      <c r="Y214" s="160">
        <f t="shared" si="152"/>
        <v>-1.0326534113816179E-3</v>
      </c>
      <c r="Z214" s="98" t="str">
        <f t="shared" si="142"/>
        <v>0.999667294491559-0.0242754736727621i</v>
      </c>
      <c r="AA214" s="160">
        <f t="shared" si="153"/>
        <v>0.9999619984269954</v>
      </c>
      <c r="AB214" s="160">
        <f t="shared" si="154"/>
        <v>-2.4278781368980439E-2</v>
      </c>
      <c r="AC214" s="171" t="str">
        <f t="shared" si="155"/>
        <v>8.67096291785518-5.09290525684033i</v>
      </c>
      <c r="AD214" s="190">
        <f t="shared" si="156"/>
        <v>20.048511558588448</v>
      </c>
      <c r="AE214" s="169">
        <f t="shared" si="157"/>
        <v>-30.427920825825346</v>
      </c>
      <c r="AF214" s="98" t="str">
        <f t="shared" si="143"/>
        <v>-0.0000114342530449913</v>
      </c>
      <c r="AG214" s="98" t="str">
        <f t="shared" si="144"/>
        <v>0.000687926489354841i</v>
      </c>
      <c r="AH214" s="98">
        <f t="shared" si="158"/>
        <v>6.8792648935484099E-4</v>
      </c>
      <c r="AI214" s="98">
        <f t="shared" si="159"/>
        <v>1.5707963267948966</v>
      </c>
      <c r="AJ214" s="98" t="str">
        <f t="shared" si="145"/>
        <v>1+0.00630074110761769i</v>
      </c>
      <c r="AK214" s="98">
        <f t="shared" si="160"/>
        <v>1.0000198494722519</v>
      </c>
      <c r="AL214" s="98">
        <f t="shared" si="161"/>
        <v>6.3006577311856531E-3</v>
      </c>
      <c r="AM214" s="98" t="str">
        <f t="shared" si="146"/>
        <v>1+15.1280793993901i</v>
      </c>
      <c r="AN214" s="98">
        <f t="shared" si="162"/>
        <v>15.161094495921166</v>
      </c>
      <c r="AO214" s="98">
        <f t="shared" si="163"/>
        <v>1.5047901089502584</v>
      </c>
      <c r="AP214" s="168" t="str">
        <f t="shared" si="164"/>
        <v>-0.251334092164847+0.0182049208277415i</v>
      </c>
      <c r="AQ214" s="98">
        <f t="shared" si="165"/>
        <v>-11.972245989044604</v>
      </c>
      <c r="AR214" s="169">
        <f t="shared" si="166"/>
        <v>175.85712119972771</v>
      </c>
      <c r="AS214" s="168" t="str">
        <f t="shared" si="167"/>
        <v>-2.08659265617022+1.43787491262938i</v>
      </c>
      <c r="AT214" s="190">
        <f t="shared" si="168"/>
        <v>8.0762655695438585</v>
      </c>
      <c r="AU214" s="169">
        <f t="shared" si="169"/>
        <v>145.42920037390235</v>
      </c>
      <c r="AV214" s="225"/>
      <c r="AX214">
        <f t="shared" si="170"/>
        <v>0</v>
      </c>
      <c r="AY214">
        <f t="shared" si="171"/>
        <v>0</v>
      </c>
    </row>
    <row r="215" spans="14:51" x14ac:dyDescent="0.2">
      <c r="N215" s="170">
        <v>97</v>
      </c>
      <c r="O215" s="199">
        <f t="shared" si="137"/>
        <v>933.25430079699106</v>
      </c>
      <c r="P215" s="189" t="str">
        <f t="shared" si="138"/>
        <v>1757.57575757576</v>
      </c>
      <c r="Q215" s="160" t="str">
        <f t="shared" si="139"/>
        <v>1+338.146359979653i</v>
      </c>
      <c r="R215" s="160">
        <f t="shared" si="147"/>
        <v>338.14783862607948</v>
      </c>
      <c r="S215" s="160">
        <f t="shared" si="148"/>
        <v>1.5678390360972561</v>
      </c>
      <c r="T215" s="160" t="str">
        <f t="shared" si="140"/>
        <v>1+1.64186671897635i</v>
      </c>
      <c r="U215" s="160">
        <f t="shared" si="149"/>
        <v>1.9224271957299619</v>
      </c>
      <c r="V215" s="160">
        <f t="shared" si="150"/>
        <v>1.0237396121051467</v>
      </c>
      <c r="W215" s="98" t="str">
        <f t="shared" si="141"/>
        <v>1-0.00105670737493641i</v>
      </c>
      <c r="X215" s="160">
        <f t="shared" si="151"/>
        <v>1.0000005583150824</v>
      </c>
      <c r="Y215" s="160">
        <f t="shared" si="152"/>
        <v>-1.0567069816194538E-3</v>
      </c>
      <c r="Z215" s="98" t="str">
        <f t="shared" si="142"/>
        <v>0.999651614564018-0.0248409220936334i</v>
      </c>
      <c r="AA215" s="160">
        <f t="shared" si="153"/>
        <v>0.99996021016383951</v>
      </c>
      <c r="AB215" s="160">
        <f t="shared" si="154"/>
        <v>-2.4844466334458311E-2</v>
      </c>
      <c r="AC215" s="171" t="str">
        <f t="shared" si="155"/>
        <v>8.67014938479789-4.96778526716197i</v>
      </c>
      <c r="AD215" s="190">
        <f t="shared" si="156"/>
        <v>19.993497255480996</v>
      </c>
      <c r="AE215" s="169">
        <f t="shared" si="157"/>
        <v>-29.811662415256418</v>
      </c>
      <c r="AF215" s="98" t="str">
        <f t="shared" si="143"/>
        <v>-0.0000114342530449913</v>
      </c>
      <c r="AG215" s="98" t="str">
        <f t="shared" si="144"/>
        <v>0.000703950355761109i</v>
      </c>
      <c r="AH215" s="98">
        <f t="shared" si="158"/>
        <v>7.03950355761109E-4</v>
      </c>
      <c r="AI215" s="98">
        <f t="shared" si="159"/>
        <v>1.5707963267948966</v>
      </c>
      <c r="AJ215" s="98" t="str">
        <f t="shared" si="145"/>
        <v>1+0.00644750422160046i</v>
      </c>
      <c r="AK215" s="98">
        <f t="shared" si="160"/>
        <v>1.000020784939337</v>
      </c>
      <c r="AL215" s="98">
        <f t="shared" si="161"/>
        <v>6.4474148822442181E-3</v>
      </c>
      <c r="AM215" s="98" t="str">
        <f t="shared" si="146"/>
        <v>1+15.4804576360627i</v>
      </c>
      <c r="AN215" s="98">
        <f t="shared" si="162"/>
        <v>15.512722798462299</v>
      </c>
      <c r="AO215" s="98">
        <f t="shared" si="163"/>
        <v>1.5062883809172085</v>
      </c>
      <c r="AP215" s="168" t="str">
        <f t="shared" si="164"/>
        <v>-0.2513336219453+0.0178634567127784i</v>
      </c>
      <c r="AQ215" s="98">
        <f t="shared" si="165"/>
        <v>-11.973104566198824</v>
      </c>
      <c r="AR215" s="169">
        <f t="shared" si="166"/>
        <v>175.93455729462769</v>
      </c>
      <c r="AS215" s="168" t="str">
        <f t="shared" si="167"/>
        <v>-2.09035823060974+1.40345030247098i</v>
      </c>
      <c r="AT215" s="190">
        <f t="shared" si="168"/>
        <v>8.0203926892821702</v>
      </c>
      <c r="AU215" s="169">
        <f t="shared" si="169"/>
        <v>146.12289487937122</v>
      </c>
      <c r="AV215" s="225"/>
      <c r="AX215">
        <f t="shared" si="170"/>
        <v>0</v>
      </c>
      <c r="AY215">
        <f t="shared" si="171"/>
        <v>0</v>
      </c>
    </row>
    <row r="216" spans="14:51" x14ac:dyDescent="0.2">
      <c r="N216" s="170">
        <v>98</v>
      </c>
      <c r="O216" s="199">
        <f t="shared" si="137"/>
        <v>954.99258602143675</v>
      </c>
      <c r="P216" s="189" t="str">
        <f t="shared" si="138"/>
        <v>1757.57575757576</v>
      </c>
      <c r="Q216" s="160" t="str">
        <f t="shared" si="139"/>
        <v>1+346.022800532425i</v>
      </c>
      <c r="R216" s="160">
        <f t="shared" si="147"/>
        <v>346.02424552089172</v>
      </c>
      <c r="S216" s="160">
        <f t="shared" si="148"/>
        <v>1.5679063518727969</v>
      </c>
      <c r="T216" s="160" t="str">
        <f t="shared" si="140"/>
        <v>1+1.68011070778749i</v>
      </c>
      <c r="U216" s="160">
        <f t="shared" si="149"/>
        <v>1.9551910368100047</v>
      </c>
      <c r="V216" s="160">
        <f t="shared" si="150"/>
        <v>1.0339145455452596</v>
      </c>
      <c r="W216" s="98" t="str">
        <f t="shared" si="141"/>
        <v>1-0.00108132125166382i</v>
      </c>
      <c r="X216" s="160">
        <f t="shared" si="151"/>
        <v>1.0000005846276536</v>
      </c>
      <c r="Y216" s="160">
        <f t="shared" si="152"/>
        <v>-1.0813208302171216E-3</v>
      </c>
      <c r="Z216" s="98" t="str">
        <f t="shared" si="142"/>
        <v>0.999635195664258-0.0254195415002073i</v>
      </c>
      <c r="AA216" s="160">
        <f t="shared" si="153"/>
        <v>0.99995833788253397</v>
      </c>
      <c r="AB216" s="160">
        <f t="shared" si="154"/>
        <v>-2.5423339200760845E-2</v>
      </c>
      <c r="AC216" s="171" t="str">
        <f t="shared" si="155"/>
        <v>8.66936392020622-4.84529898628419i</v>
      </c>
      <c r="AD216" s="190">
        <f t="shared" si="156"/>
        <v>19.940301376910487</v>
      </c>
      <c r="AE216" s="169">
        <f t="shared" si="157"/>
        <v>-29.200781879672999</v>
      </c>
      <c r="AF216" s="98" t="str">
        <f t="shared" si="143"/>
        <v>-0.0000114342530449913</v>
      </c>
      <c r="AG216" s="98" t="str">
        <f t="shared" si="144"/>
        <v>0.000720347465963887i</v>
      </c>
      <c r="AH216" s="98">
        <f t="shared" si="158"/>
        <v>7.2034746596388703E-4</v>
      </c>
      <c r="AI216" s="98">
        <f t="shared" si="159"/>
        <v>1.5707963267948966</v>
      </c>
      <c r="AJ216" s="98" t="str">
        <f t="shared" si="145"/>
        <v>1+0.00659768588766434i</v>
      </c>
      <c r="AK216" s="98">
        <f t="shared" si="160"/>
        <v>1.0000217644926896</v>
      </c>
      <c r="AL216" s="98">
        <f t="shared" si="161"/>
        <v>6.5975901589319331E-3</v>
      </c>
      <c r="AM216" s="98" t="str">
        <f t="shared" si="146"/>
        <v>1+15.8410438162821i</v>
      </c>
      <c r="AN216" s="98">
        <f t="shared" si="162"/>
        <v>15.872576009878465</v>
      </c>
      <c r="AO216" s="98">
        <f t="shared" si="163"/>
        <v>1.5077528283455457</v>
      </c>
      <c r="AP216" s="168" t="str">
        <f t="shared" si="164"/>
        <v>-0.251333129566874+0.0175314637531886i</v>
      </c>
      <c r="AQ216" s="98">
        <f t="shared" si="165"/>
        <v>-11.973925405116086</v>
      </c>
      <c r="AR216" s="169">
        <f t="shared" si="166"/>
        <v>176.00985954204879</v>
      </c>
      <c r="AS216" s="168" t="str">
        <f t="shared" si="167"/>
        <v>-2.09395318186817+1.3697707972403i</v>
      </c>
      <c r="AT216" s="190">
        <f t="shared" si="168"/>
        <v>7.966375971794398</v>
      </c>
      <c r="AU216" s="169">
        <f t="shared" si="169"/>
        <v>146.8090776623759</v>
      </c>
      <c r="AV216" s="225"/>
      <c r="AX216">
        <f t="shared" si="170"/>
        <v>0</v>
      </c>
      <c r="AY216">
        <f t="shared" si="171"/>
        <v>0</v>
      </c>
    </row>
    <row r="217" spans="14:51" x14ac:dyDescent="0.2">
      <c r="N217" s="170">
        <v>99</v>
      </c>
      <c r="O217" s="199">
        <f t="shared" si="137"/>
        <v>977.23722095581138</v>
      </c>
      <c r="P217" s="189" t="str">
        <f t="shared" si="138"/>
        <v>1757.57575757576</v>
      </c>
      <c r="Q217" s="160" t="str">
        <f t="shared" si="139"/>
        <v>1+354.082706954192i</v>
      </c>
      <c r="R217" s="160">
        <f t="shared" si="147"/>
        <v>354.0841190508383</v>
      </c>
      <c r="S217" s="160">
        <f t="shared" si="148"/>
        <v>1.5679721353795213</v>
      </c>
      <c r="T217" s="160" t="str">
        <f t="shared" si="140"/>
        <v>1+1.7192455135348i</v>
      </c>
      <c r="U217" s="160">
        <f t="shared" si="149"/>
        <v>1.9889205956522087</v>
      </c>
      <c r="V217" s="160">
        <f t="shared" si="150"/>
        <v>1.0439783889588028</v>
      </c>
      <c r="W217" s="98" t="str">
        <f t="shared" si="141"/>
        <v>1-0.00110650845923185i</v>
      </c>
      <c r="X217" s="160">
        <f t="shared" si="151"/>
        <v>1.0000006121802978</v>
      </c>
      <c r="Y217" s="160">
        <f t="shared" si="152"/>
        <v>-1.1065080076435915E-3</v>
      </c>
      <c r="Z217" s="98" t="str">
        <f t="shared" si="142"/>
        <v>0.999618002965591-0.0260116386841519i</v>
      </c>
      <c r="AA217" s="160">
        <f t="shared" si="153"/>
        <v>0.99995637764852074</v>
      </c>
      <c r="AB217" s="160">
        <f t="shared" si="154"/>
        <v>-2.6015707969022899E-2</v>
      </c>
      <c r="AC217" s="171" t="str">
        <f t="shared" si="155"/>
        <v>8.66860485733364-4.7253814771227i</v>
      </c>
      <c r="AD217" s="190">
        <f t="shared" si="156"/>
        <v>19.888885222966831</v>
      </c>
      <c r="AE217" s="169">
        <f t="shared" si="157"/>
        <v>-28.595438132321036</v>
      </c>
      <c r="AF217" s="98" t="str">
        <f t="shared" si="143"/>
        <v>-0.0000114342530449913</v>
      </c>
      <c r="AG217" s="98" t="str">
        <f t="shared" si="144"/>
        <v>0.000737126513928045i</v>
      </c>
      <c r="AH217" s="98">
        <f t="shared" si="158"/>
        <v>7.3712651392804503E-4</v>
      </c>
      <c r="AI217" s="98">
        <f t="shared" si="159"/>
        <v>1.5707963267948966</v>
      </c>
      <c r="AJ217" s="98" t="str">
        <f t="shared" si="145"/>
        <v>1+0.00675136573411654i</v>
      </c>
      <c r="AK217" s="98">
        <f t="shared" si="160"/>
        <v>1.000022790209941</v>
      </c>
      <c r="AL217" s="98">
        <f t="shared" si="161"/>
        <v>6.7512631590579538E-3</v>
      </c>
      <c r="AM217" s="98" t="str">
        <f t="shared" si="146"/>
        <v>1+16.2100291276138i</v>
      </c>
      <c r="AN217" s="98">
        <f t="shared" si="162"/>
        <v>16.24084493855193</v>
      </c>
      <c r="AO217" s="98">
        <f t="shared" si="163"/>
        <v>1.50918420256521</v>
      </c>
      <c r="AP217" s="168" t="str">
        <f t="shared" si="164"/>
        <v>-0.251332613985434+0.0172087659014704i</v>
      </c>
      <c r="AQ217" s="98">
        <f t="shared" si="165"/>
        <v>-11.97471022594665</v>
      </c>
      <c r="AR217" s="169">
        <f t="shared" si="166"/>
        <v>176.08306642940704</v>
      </c>
      <c r="AS217" s="168" t="str">
        <f t="shared" si="167"/>
        <v>-2.09738513476555+1.3368184704058i</v>
      </c>
      <c r="AT217" s="190">
        <f t="shared" si="168"/>
        <v>7.9141749970201882</v>
      </c>
      <c r="AU217" s="169">
        <f t="shared" si="169"/>
        <v>147.4876282970861</v>
      </c>
      <c r="AV217" s="225"/>
      <c r="AX217">
        <f t="shared" si="170"/>
        <v>0</v>
      </c>
      <c r="AY217">
        <f t="shared" si="171"/>
        <v>0</v>
      </c>
    </row>
    <row r="218" spans="14:51" x14ac:dyDescent="0.2">
      <c r="N218" s="170">
        <v>100</v>
      </c>
      <c r="O218" s="199">
        <f t="shared" si="137"/>
        <v>1000</v>
      </c>
      <c r="P218" s="189" t="str">
        <f t="shared" si="138"/>
        <v>1757.57575757576</v>
      </c>
      <c r="Q218" s="160" t="str">
        <f t="shared" si="139"/>
        <v>1+362.330352714024i</v>
      </c>
      <c r="R218" s="160">
        <f t="shared" si="147"/>
        <v>362.33173266755017</v>
      </c>
      <c r="S218" s="160">
        <f t="shared" si="148"/>
        <v>1.5680364214944367</v>
      </c>
      <c r="T218" s="160" t="str">
        <f t="shared" si="140"/>
        <v>1+1.75929188601029i</v>
      </c>
      <c r="U218" s="160">
        <f t="shared" si="149"/>
        <v>2.0236373045043528</v>
      </c>
      <c r="V218" s="160">
        <f t="shared" si="150"/>
        <v>1.0539283235704253</v>
      </c>
      <c r="W218" s="98" t="str">
        <f t="shared" si="141"/>
        <v>1-0.00113228235223132i</v>
      </c>
      <c r="X218" s="160">
        <f t="shared" si="151"/>
        <v>1.0000006410314572</v>
      </c>
      <c r="Y218" s="160">
        <f t="shared" si="152"/>
        <v>-1.1322818683457997E-3</v>
      </c>
      <c r="Z218" s="98" t="str">
        <f t="shared" si="142"/>
        <v>0.9996-0.0266175275832316i</v>
      </c>
      <c r="AA218" s="160">
        <f t="shared" si="153"/>
        <v>0.9999543253442349</v>
      </c>
      <c r="AB218" s="160">
        <f t="shared" si="154"/>
        <v>-2.6621887872940224E-2</v>
      </c>
      <c r="AC218" s="171" t="str">
        <f t="shared" si="155"/>
        <v>8.66787058535659-4.60796916330418i</v>
      </c>
      <c r="AD218" s="190">
        <f t="shared" si="156"/>
        <v>19.839209494993561</v>
      </c>
      <c r="AE218" s="169">
        <f t="shared" si="157"/>
        <v>-27.995777379029697</v>
      </c>
      <c r="AF218" s="98" t="str">
        <f t="shared" si="143"/>
        <v>-0.0000114342530449913</v>
      </c>
      <c r="AG218" s="98" t="str">
        <f t="shared" si="144"/>
        <v>0.000754296396126909i</v>
      </c>
      <c r="AH218" s="98">
        <f t="shared" si="158"/>
        <v>7.5429639612690895E-4</v>
      </c>
      <c r="AI218" s="98">
        <f t="shared" si="159"/>
        <v>1.5707963267948966</v>
      </c>
      <c r="AJ218" s="98" t="str">
        <f t="shared" si="145"/>
        <v>1+0.00690862524404586i</v>
      </c>
      <c r="AK218" s="98">
        <f t="shared" si="160"/>
        <v>1.0000238642666297</v>
      </c>
      <c r="AL218" s="98">
        <f t="shared" si="161"/>
        <v>6.9085153330320078E-3</v>
      </c>
      <c r="AM218" s="98" t="str">
        <f t="shared" si="146"/>
        <v>1+16.5876092109541i</v>
      </c>
      <c r="AN218" s="98">
        <f t="shared" si="162"/>
        <v>16.617724854363466</v>
      </c>
      <c r="AO218" s="98">
        <f t="shared" si="163"/>
        <v>1.5105832390353573</v>
      </c>
      <c r="AP218" s="168" t="str">
        <f t="shared" si="164"/>
        <v>-0.251332074107658+0.0168951920370491i</v>
      </c>
      <c r="AQ218" s="98">
        <f t="shared" si="165"/>
        <v>-11.975460674275896</v>
      </c>
      <c r="AR218" s="169">
        <f t="shared" si="166"/>
        <v>176.15421542864343</v>
      </c>
      <c r="AS218" s="168" t="str">
        <f t="shared" si="167"/>
        <v>-2.10066136839961+1.30457578532926i</v>
      </c>
      <c r="AT218" s="190">
        <f t="shared" si="168"/>
        <v>7.863748820717678</v>
      </c>
      <c r="AU218" s="169">
        <f t="shared" si="169"/>
        <v>148.15843804961369</v>
      </c>
      <c r="AV218" s="225"/>
      <c r="AX218">
        <f t="shared" si="170"/>
        <v>0</v>
      </c>
      <c r="AY218">
        <f t="shared" si="171"/>
        <v>0</v>
      </c>
    </row>
    <row r="219" spans="14:51" x14ac:dyDescent="0.2">
      <c r="N219" s="170">
        <v>1</v>
      </c>
      <c r="O219" s="199">
        <f>10^(3+(N219/100))</f>
        <v>1023.2929922807547</v>
      </c>
      <c r="P219" s="189" t="str">
        <f t="shared" si="138"/>
        <v>1757.57575757576</v>
      </c>
      <c r="Q219" s="160" t="str">
        <f t="shared" si="139"/>
        <v>1+370.770110822875i</v>
      </c>
      <c r="R219" s="160">
        <f t="shared" si="147"/>
        <v>370.77145936493946</v>
      </c>
      <c r="S219" s="160">
        <f t="shared" si="148"/>
        <v>1.5680992443007653</v>
      </c>
      <c r="T219" s="160" t="str">
        <f t="shared" si="140"/>
        <v>1+1.80027105833072i</v>
      </c>
      <c r="U219" s="160">
        <f t="shared" si="149"/>
        <v>2.0593629800166875</v>
      </c>
      <c r="V219" s="160">
        <f t="shared" si="150"/>
        <v>1.0637617438984874</v>
      </c>
      <c r="W219" s="98" t="str">
        <f t="shared" si="141"/>
        <v>1-0.00115865659632148i</v>
      </c>
      <c r="X219" s="160">
        <f t="shared" si="151"/>
        <v>1.0000006712423288</v>
      </c>
      <c r="Y219" s="160">
        <f t="shared" si="152"/>
        <v>-1.1586560778288223E-3</v>
      </c>
      <c r="Z219" s="98" t="str">
        <f t="shared" si="142"/>
        <v>0.99958114858078-0.0272375294477606i</v>
      </c>
      <c r="AA219" s="160">
        <f t="shared" si="153"/>
        <v>0.99995217666070857</v>
      </c>
      <c r="AB219" s="160">
        <f t="shared" si="154"/>
        <v>-2.7242201551402702E-2</v>
      </c>
      <c r="AC219" s="171" t="str">
        <f t="shared" si="155"/>
        <v>8.6671595459513-4.49299979548379i</v>
      </c>
      <c r="AD219" s="190">
        <f t="shared" si="156"/>
        <v>19.791234403427751</v>
      </c>
      <c r="AE219" s="169">
        <f t="shared" si="157"/>
        <v>-27.40193315285461</v>
      </c>
      <c r="AF219" s="98" t="str">
        <f t="shared" si="143"/>
        <v>-0.0000114342530449913</v>
      </c>
      <c r="AG219" s="98" t="str">
        <f t="shared" si="144"/>
        <v>0.000771866216259295i</v>
      </c>
      <c r="AH219" s="98">
        <f t="shared" si="158"/>
        <v>7.7186621625929504E-4</v>
      </c>
      <c r="AI219" s="98">
        <f t="shared" si="159"/>
        <v>1.5707963267948966</v>
      </c>
      <c r="AJ219" s="98" t="str">
        <f t="shared" si="145"/>
        <v>1+0.00706954779852604i</v>
      </c>
      <c r="AK219" s="98">
        <f t="shared" si="160"/>
        <v>1.0000249889408142</v>
      </c>
      <c r="AL219" s="98">
        <f t="shared" si="161"/>
        <v>7.0694300269117825E-3</v>
      </c>
      <c r="AM219" s="98" t="str">
        <f t="shared" si="146"/>
        <v>1+16.973984264261i</v>
      </c>
      <c r="AN219" s="98">
        <f t="shared" si="162"/>
        <v>17.003415592267924</v>
      </c>
      <c r="AO219" s="98">
        <f t="shared" si="163"/>
        <v>1.5119506576245652</v>
      </c>
      <c r="AP219" s="168" t="str">
        <f t="shared" si="164"/>
        <v>-0.25133150878871+0.0165905758754432i</v>
      </c>
      <c r="AQ219" s="98">
        <f t="shared" si="165"/>
        <v>-11.976178324454896</v>
      </c>
      <c r="AR219" s="169">
        <f t="shared" si="166"/>
        <v>176.22334300981177</v>
      </c>
      <c r="AS219" s="168" t="str">
        <f t="shared" si="167"/>
        <v>-2.10378883158109+1.27302558565798i</v>
      </c>
      <c r="AT219" s="190">
        <f t="shared" si="168"/>
        <v>7.8150560789728596</v>
      </c>
      <c r="AU219" s="169">
        <f t="shared" si="169"/>
        <v>148.82140985695727</v>
      </c>
      <c r="AV219" s="225"/>
      <c r="AX219">
        <f t="shared" si="170"/>
        <v>0</v>
      </c>
      <c r="AY219">
        <f t="shared" si="171"/>
        <v>0</v>
      </c>
    </row>
    <row r="220" spans="14:51" x14ac:dyDescent="0.2">
      <c r="N220" s="170">
        <v>2</v>
      </c>
      <c r="O220" s="199">
        <f t="shared" ref="O220:O283" si="172">10^(3+(N220/100))</f>
        <v>1047.1285480509</v>
      </c>
      <c r="P220" s="189" t="str">
        <f t="shared" si="138"/>
        <v>1757.57575757576</v>
      </c>
      <c r="Q220" s="160" t="str">
        <f t="shared" si="139"/>
        <v>1+379.406456152206i</v>
      </c>
      <c r="R220" s="160">
        <f t="shared" si="147"/>
        <v>379.40777399781331</v>
      </c>
      <c r="S220" s="160">
        <f t="shared" si="148"/>
        <v>1.568160637106006</v>
      </c>
      <c r="T220" s="160" t="str">
        <f t="shared" si="140"/>
        <v>1+1.84220475819568i</v>
      </c>
      <c r="U220" s="160">
        <f t="shared" si="149"/>
        <v>2.0961198370128566</v>
      </c>
      <c r="V220" s="160">
        <f t="shared" si="150"/>
        <v>1.0734762562301008</v>
      </c>
      <c r="W220" s="98" t="str">
        <f t="shared" si="141"/>
        <v>1-0.00118564517547564i</v>
      </c>
      <c r="X220" s="160">
        <f t="shared" si="151"/>
        <v>1.0000007028769942</v>
      </c>
      <c r="Y220" s="160">
        <f t="shared" si="152"/>
        <v>-1.1856446199007688E-3</v>
      </c>
      <c r="Z220" s="98" t="str">
        <f t="shared" si="142"/>
        <v>0.999561408721543-0.0278719730109341i</v>
      </c>
      <c r="AA220" s="160">
        <f t="shared" si="153"/>
        <v>0.9999499270888107</v>
      </c>
      <c r="AB220" s="160">
        <f t="shared" si="154"/>
        <v>-2.7876979225446383E-2</v>
      </c>
      <c r="AC220" s="171" t="str">
        <f t="shared" si="155"/>
        <v>8.66647022998168-4.38041241836035i</v>
      </c>
      <c r="AD220" s="190">
        <f t="shared" si="156"/>
        <v>19.744919772642401</v>
      </c>
      <c r="AE220" s="169">
        <f t="shared" si="157"/>
        <v>-26.814026392762237</v>
      </c>
      <c r="AF220" s="98" t="str">
        <f t="shared" si="143"/>
        <v>-0.0000114342530449913</v>
      </c>
      <c r="AG220" s="98" t="str">
        <f t="shared" si="144"/>
        <v>0.000789845290076397i</v>
      </c>
      <c r="AH220" s="98">
        <f t="shared" si="158"/>
        <v>7.89845290076397E-4</v>
      </c>
      <c r="AI220" s="98">
        <f t="shared" si="159"/>
        <v>1.5707963267948966</v>
      </c>
      <c r="AJ220" s="98" t="str">
        <f t="shared" si="145"/>
        <v>1+0.00723421872082554i</v>
      </c>
      <c r="AK220" s="98">
        <f t="shared" si="160"/>
        <v>1.0000261666179044</v>
      </c>
      <c r="AL220" s="98">
        <f t="shared" si="161"/>
        <v>7.2340925264455904E-3</v>
      </c>
      <c r="AM220" s="98" t="str">
        <f t="shared" si="146"/>
        <v>1+17.3693591487021i</v>
      </c>
      <c r="AN220" s="98">
        <f t="shared" si="162"/>
        <v>17.398121658288328</v>
      </c>
      <c r="AO220" s="98">
        <f t="shared" si="163"/>
        <v>1.5132871628899476</v>
      </c>
      <c r="AP220" s="168" t="str">
        <f t="shared" si="164"/>
        <v>-0.25133091682983+0.0162947558799853i</v>
      </c>
      <c r="AQ220" s="98">
        <f t="shared" si="165"/>
        <v>-11.976864682793007</v>
      </c>
      <c r="AR220" s="169">
        <f t="shared" si="166"/>
        <v>176.29048465454787</v>
      </c>
      <c r="AS220" s="168" t="str">
        <f t="shared" si="167"/>
        <v>-2.10677415756889+1.24215108593799i</v>
      </c>
      <c r="AT220" s="190">
        <f t="shared" si="168"/>
        <v>7.7680550898494038</v>
      </c>
      <c r="AU220" s="169">
        <f t="shared" si="169"/>
        <v>149.47645826178572</v>
      </c>
      <c r="AV220" s="225"/>
      <c r="AX220">
        <f t="shared" si="170"/>
        <v>0</v>
      </c>
      <c r="AY220">
        <f t="shared" si="171"/>
        <v>0</v>
      </c>
    </row>
    <row r="221" spans="14:51" x14ac:dyDescent="0.2">
      <c r="N221" s="170">
        <v>3</v>
      </c>
      <c r="O221" s="199">
        <f t="shared" si="172"/>
        <v>1071.5193052376069</v>
      </c>
      <c r="P221" s="189" t="str">
        <f t="shared" si="138"/>
        <v>1757.57575757576</v>
      </c>
      <c r="Q221" s="160" t="str">
        <f t="shared" si="139"/>
        <v>1+388.243967806628i</v>
      </c>
      <c r="R221" s="160">
        <f t="shared" si="147"/>
        <v>388.24525565450762</v>
      </c>
      <c r="S221" s="160">
        <f t="shared" si="148"/>
        <v>1.5682206324595847</v>
      </c>
      <c r="T221" s="160" t="str">
        <f t="shared" si="140"/>
        <v>1+1.8851152194079i</v>
      </c>
      <c r="U221" s="160">
        <f t="shared" si="149"/>
        <v>2.1339305027210456</v>
      </c>
      <c r="V221" s="160">
        <f t="shared" si="150"/>
        <v>1.0830696763726229</v>
      </c>
      <c r="W221" s="98" t="str">
        <f t="shared" si="141"/>
        <v>1-0.00121326239939571i</v>
      </c>
      <c r="X221" s="160">
        <f t="shared" si="151"/>
        <v>1.000000736002554</v>
      </c>
      <c r="Y221" s="160">
        <f t="shared" si="152"/>
        <v>-1.2132618040865335E-3</v>
      </c>
      <c r="Z221" s="98" t="str">
        <f t="shared" si="142"/>
        <v>0.999540738551401-0.0285211946631272i</v>
      </c>
      <c r="AA221" s="160">
        <f t="shared" si="153"/>
        <v>0.99994757191009376</v>
      </c>
      <c r="AB221" s="160">
        <f t="shared" si="154"/>
        <v>-2.8526558879646335E-2</v>
      </c>
      <c r="AC221" s="171" t="str">
        <f t="shared" si="155"/>
        <v>8.66580117428992-4.27014733837148i</v>
      </c>
      <c r="AD221" s="190">
        <f t="shared" si="156"/>
        <v>19.700225142369604</v>
      </c>
      <c r="AE221" s="169">
        <f t="shared" si="157"/>
        <v>-26.232165563503091</v>
      </c>
      <c r="AF221" s="98" t="str">
        <f t="shared" si="143"/>
        <v>-0.0000114342530449913</v>
      </c>
      <c r="AG221" s="98" t="str">
        <f t="shared" si="144"/>
        <v>0.000808243150321137i</v>
      </c>
      <c r="AH221" s="98">
        <f t="shared" si="158"/>
        <v>8.0824315032113699E-4</v>
      </c>
      <c r="AI221" s="98">
        <f t="shared" si="159"/>
        <v>1.5707963267948966</v>
      </c>
      <c r="AJ221" s="98" t="str">
        <f t="shared" si="145"/>
        <v>1+0.00740272532164701i</v>
      </c>
      <c r="AK221" s="98">
        <f t="shared" si="160"/>
        <v>1.0000273997957194</v>
      </c>
      <c r="AL221" s="98">
        <f t="shared" si="161"/>
        <v>7.4025901021327785E-3</v>
      </c>
      <c r="AM221" s="98" t="str">
        <f t="shared" si="146"/>
        <v>1+17.7739434972745i</v>
      </c>
      <c r="AN221" s="98">
        <f t="shared" si="162"/>
        <v>17.802052337983575</v>
      </c>
      <c r="AO221" s="98">
        <f t="shared" si="163"/>
        <v>1.5145934443548648</v>
      </c>
      <c r="AP221" s="168" t="str">
        <f t="shared" si="164"/>
        <v>-0.251330296975774+0.016007575176054i</v>
      </c>
      <c r="AQ221" s="98">
        <f t="shared" si="165"/>
        <v>-11.97752119062006</v>
      </c>
      <c r="AR221" s="169">
        <f t="shared" si="166"/>
        <v>176.35567486939874</v>
      </c>
      <c r="AS221" s="168" t="str">
        <f t="shared" si="167"/>
        <v>-2.10962367813549+1.2119358624414i</v>
      </c>
      <c r="AT221" s="190">
        <f t="shared" si="168"/>
        <v>7.722703951749553</v>
      </c>
      <c r="AU221" s="169">
        <f t="shared" si="169"/>
        <v>150.1235093058956</v>
      </c>
      <c r="AV221" s="225"/>
      <c r="AX221">
        <f t="shared" si="170"/>
        <v>0</v>
      </c>
      <c r="AY221">
        <f t="shared" si="171"/>
        <v>0</v>
      </c>
    </row>
    <row r="222" spans="14:51" x14ac:dyDescent="0.2">
      <c r="N222" s="170">
        <v>4</v>
      </c>
      <c r="O222" s="199">
        <f t="shared" si="172"/>
        <v>1096.4781961431863</v>
      </c>
      <c r="P222" s="189" t="str">
        <f t="shared" si="138"/>
        <v>1757.57575757576</v>
      </c>
      <c r="Q222" s="160" t="str">
        <f t="shared" si="139"/>
        <v>1+397.287331551797i</v>
      </c>
      <c r="R222" s="160">
        <f t="shared" si="147"/>
        <v>397.28859008477389</v>
      </c>
      <c r="S222" s="160">
        <f t="shared" si="148"/>
        <v>1.5682792621701029</v>
      </c>
      <c r="T222" s="160" t="str">
        <f t="shared" si="140"/>
        <v>1+1.9290251936619i</v>
      </c>
      <c r="U222" s="160">
        <f t="shared" si="149"/>
        <v>2.1728180314472567</v>
      </c>
      <c r="V222" s="160">
        <f t="shared" si="150"/>
        <v>1.0925400267337599</v>
      </c>
      <c r="W222" s="98" t="str">
        <f t="shared" si="141"/>
        <v>1-0.00124152291109936i</v>
      </c>
      <c r="X222" s="160">
        <f t="shared" si="151"/>
        <v>1.0000007706892724</v>
      </c>
      <c r="Y222" s="160">
        <f t="shared" si="152"/>
        <v>-1.2415222732141114E-3</v>
      </c>
      <c r="Z222" s="98" t="str">
        <f t="shared" si="142"/>
        <v>0.999519094226153-0.0291855386302533i</v>
      </c>
      <c r="AA222" s="160">
        <f t="shared" si="153"/>
        <v>0.99994510618723842</v>
      </c>
      <c r="AB222" s="160">
        <f t="shared" si="154"/>
        <v>-2.9191286448075608E-2</v>
      </c>
      <c r="AC222" s="171" t="str">
        <f t="shared" si="155"/>
        <v>8.66515095858457-4.16214609205231i</v>
      </c>
      <c r="AD222" s="190">
        <f t="shared" si="156"/>
        <v>19.657109865338519</v>
      </c>
      <c r="AE222" s="169">
        <f t="shared" si="157"/>
        <v>-25.656446813677512</v>
      </c>
      <c r="AF222" s="98" t="str">
        <f t="shared" si="143"/>
        <v>-0.0000114342530449913</v>
      </c>
      <c r="AG222" s="98" t="str">
        <f t="shared" si="144"/>
        <v>0.00082706955178254i</v>
      </c>
      <c r="AH222" s="98">
        <f t="shared" si="158"/>
        <v>8.2706955178253995E-4</v>
      </c>
      <c r="AI222" s="98">
        <f t="shared" si="159"/>
        <v>1.5707963267948966</v>
      </c>
      <c r="AJ222" s="98" t="str">
        <f t="shared" si="145"/>
        <v>1+0.00757515694542068i</v>
      </c>
      <c r="AK222" s="98">
        <f t="shared" si="160"/>
        <v>1.0000286910897846</v>
      </c>
      <c r="AL222" s="98">
        <f t="shared" si="161"/>
        <v>7.575012055325246E-3</v>
      </c>
      <c r="AM222" s="98" t="str">
        <f t="shared" si="146"/>
        <v>1+18.187951825955i</v>
      </c>
      <c r="AN222" s="98">
        <f t="shared" si="162"/>
        <v>18.215421807448209</v>
      </c>
      <c r="AO222" s="98">
        <f t="shared" si="163"/>
        <v>1.5158701767849381</v>
      </c>
      <c r="AP222" s="168" t="str">
        <f t="shared" si="164"/>
        <v>-0.251329647912172+0.0157288814677674i</v>
      </c>
      <c r="AQ222" s="98">
        <f t="shared" si="165"/>
        <v>-11.978149227221092</v>
      </c>
      <c r="AR222" s="169">
        <f t="shared" si="166"/>
        <v>176.41894719899608</v>
      </c>
      <c r="AS222" s="168" t="str">
        <f t="shared" si="167"/>
        <v>-2.11234343699346+1.18236384420242i</v>
      </c>
      <c r="AT222" s="190">
        <f t="shared" si="168"/>
        <v>7.6789606381174424</v>
      </c>
      <c r="AU222" s="169">
        <f t="shared" si="169"/>
        <v>150.76250038531856</v>
      </c>
      <c r="AV222" s="225"/>
      <c r="AX222">
        <f t="shared" si="170"/>
        <v>0</v>
      </c>
      <c r="AY222">
        <f t="shared" si="171"/>
        <v>0</v>
      </c>
    </row>
    <row r="223" spans="14:51" x14ac:dyDescent="0.2">
      <c r="N223" s="170">
        <v>5</v>
      </c>
      <c r="O223" s="199">
        <f t="shared" si="172"/>
        <v>1122.0184543019636</v>
      </c>
      <c r="P223" s="189" t="str">
        <f t="shared" si="138"/>
        <v>1757.57575757576</v>
      </c>
      <c r="Q223" s="160" t="str">
        <f t="shared" si="139"/>
        <v>1+406.541342298874i</v>
      </c>
      <c r="R223" s="160">
        <f t="shared" si="147"/>
        <v>406.54257218423044</v>
      </c>
      <c r="S223" s="160">
        <f t="shared" si="148"/>
        <v>1.5683365573221966</v>
      </c>
      <c r="T223" s="160" t="str">
        <f t="shared" si="140"/>
        <v>1+1.97395796260725i</v>
      </c>
      <c r="U223" s="160">
        <f t="shared" si="149"/>
        <v>2.2128059196731567</v>
      </c>
      <c r="V223" s="160">
        <f t="shared" si="150"/>
        <v>1.101885532784197</v>
      </c>
      <c r="W223" s="98" t="str">
        <f t="shared" si="141"/>
        <v>1-0.00127044169468398i</v>
      </c>
      <c r="X223" s="160">
        <f t="shared" si="151"/>
        <v>1.000000807010724</v>
      </c>
      <c r="Y223" s="160">
        <f t="shared" si="152"/>
        <v>-1.2704410111776514E-3</v>
      </c>
      <c r="Z223" s="98" t="str">
        <f t="shared" si="142"/>
        <v>0.999496429835282-0.0298653571562774i</v>
      </c>
      <c r="AA223" s="160">
        <f t="shared" si="153"/>
        <v>0.99994252475407153</v>
      </c>
      <c r="AB223" s="160">
        <f t="shared" si="154"/>
        <v>-2.9871516004962052E-2</v>
      </c>
      <c r="AC223" s="171" t="str">
        <f t="shared" si="155"/>
        <v>8.66451820241813-4.05635141504051i</v>
      </c>
      <c r="AD223" s="190">
        <f t="shared" si="156"/>
        <v>19.615533200812216</v>
      </c>
      <c r="AE223" s="169">
        <f t="shared" si="157"/>
        <v>-25.086954168899641</v>
      </c>
      <c r="AF223" s="98" t="str">
        <f t="shared" si="143"/>
        <v>-0.0000114342530449913</v>
      </c>
      <c r="AG223" s="98" t="str">
        <f t="shared" si="144"/>
        <v>0.000846334476467857i</v>
      </c>
      <c r="AH223" s="98">
        <f t="shared" si="158"/>
        <v>8.4633447646785705E-4</v>
      </c>
      <c r="AI223" s="98">
        <f t="shared" si="159"/>
        <v>1.5707963267948966</v>
      </c>
      <c r="AJ223" s="98" t="str">
        <f t="shared" si="145"/>
        <v>1+0.00775160501767586i</v>
      </c>
      <c r="AK223" s="98">
        <f t="shared" si="160"/>
        <v>1.0000300432388769</v>
      </c>
      <c r="AL223" s="98">
        <f t="shared" si="161"/>
        <v>7.7514497653933699E-3</v>
      </c>
      <c r="AM223" s="98" t="str">
        <f t="shared" si="146"/>
        <v>1+18.6116036474397i</v>
      </c>
      <c r="AN223" s="98">
        <f t="shared" si="162"/>
        <v>18.638449246903317</v>
      </c>
      <c r="AO223" s="98">
        <f t="shared" si="163"/>
        <v>1.5171180204621153</v>
      </c>
      <c r="AP223" s="168" t="str">
        <f t="shared" si="164"/>
        <v>-0.251328968262741+0.0154585269570971i</v>
      </c>
      <c r="AQ223" s="98">
        <f t="shared" si="165"/>
        <v>-11.978750112650738</v>
      </c>
      <c r="AR223" s="169">
        <f t="shared" si="166"/>
        <v>176.48033423905659</v>
      </c>
      <c r="AS223" s="168" t="str">
        <f t="shared" si="167"/>
        <v>-2.11493920261063+1.15341930425558i</v>
      </c>
      <c r="AT223" s="190">
        <f t="shared" si="168"/>
        <v>7.6367830881614909</v>
      </c>
      <c r="AU223" s="169">
        <f t="shared" si="169"/>
        <v>151.39338007015698</v>
      </c>
      <c r="AV223" s="225"/>
      <c r="AX223">
        <f t="shared" si="170"/>
        <v>0</v>
      </c>
      <c r="AY223">
        <f t="shared" si="171"/>
        <v>0</v>
      </c>
    </row>
    <row r="224" spans="14:51" x14ac:dyDescent="0.2">
      <c r="N224" s="170">
        <v>6</v>
      </c>
      <c r="O224" s="199">
        <f t="shared" si="172"/>
        <v>1148.1536214968839</v>
      </c>
      <c r="P224" s="189" t="str">
        <f t="shared" si="138"/>
        <v>1757.57575757576</v>
      </c>
      <c r="Q224" s="160" t="str">
        <f t="shared" si="139"/>
        <v>1+416.01090664685i</v>
      </c>
      <c r="R224" s="160">
        <f t="shared" si="147"/>
        <v>416.0121085366797</v>
      </c>
      <c r="S224" s="160">
        <f t="shared" si="148"/>
        <v>1.5683925482930079</v>
      </c>
      <c r="T224" s="160" t="str">
        <f t="shared" si="140"/>
        <v>1+2.01993735019279i</v>
      </c>
      <c r="U224" s="160">
        <f t="shared" si="149"/>
        <v>2.2539181215616222</v>
      </c>
      <c r="V224" s="160">
        <f t="shared" si="150"/>
        <v>1.1111046189577183</v>
      </c>
      <c r="W224" s="98" t="str">
        <f t="shared" si="141"/>
        <v>1-0.0013000340832714i</v>
      </c>
      <c r="X224" s="160">
        <f t="shared" si="151"/>
        <v>1.0000008450439517</v>
      </c>
      <c r="Y224" s="160">
        <f t="shared" si="152"/>
        <v>-1.300033350881207E-3</v>
      </c>
      <c r="Z224" s="98" t="str">
        <f t="shared" si="142"/>
        <v>0.999472697304577-0.0305610106899806i</v>
      </c>
      <c r="AA224" s="160">
        <f t="shared" si="153"/>
        <v>0.99993982220515631</v>
      </c>
      <c r="AB224" s="160">
        <f t="shared" si="154"/>
        <v>-3.0567609960177718E-2</v>
      </c>
      <c r="AC224" s="171" t="str">
        <f t="shared" si="155"/>
        <v>8.66390156224829-3.9527072117112i</v>
      </c>
      <c r="AD224" s="190">
        <f t="shared" si="156"/>
        <v>19.575454403761391</v>
      </c>
      <c r="AE224" s="169">
        <f t="shared" si="157"/>
        <v>-24.52375975690029</v>
      </c>
      <c r="AF224" s="98" t="str">
        <f t="shared" si="143"/>
        <v>-0.0000114342530449913</v>
      </c>
      <c r="AG224" s="98" t="str">
        <f t="shared" si="144"/>
        <v>0.000866048138895159i</v>
      </c>
      <c r="AH224" s="98">
        <f t="shared" si="158"/>
        <v>8.6604813889515895E-4</v>
      </c>
      <c r="AI224" s="98">
        <f t="shared" si="159"/>
        <v>1.5707963267948966</v>
      </c>
      <c r="AJ224" s="98" t="str">
        <f t="shared" si="145"/>
        <v>1+0.00793216309351604i</v>
      </c>
      <c r="AK224" s="98">
        <f t="shared" si="160"/>
        <v>1.0000314591108332</v>
      </c>
      <c r="AL224" s="98">
        <f t="shared" si="161"/>
        <v>7.9319967379808086E-3</v>
      </c>
      <c r="AM224" s="98" t="str">
        <f t="shared" si="146"/>
        <v>1+19.045123587532i</v>
      </c>
      <c r="AN224" s="98">
        <f t="shared" si="162"/>
        <v>19.071358956937697</v>
      </c>
      <c r="AO224" s="98">
        <f t="shared" si="163"/>
        <v>1.5183376214565447</v>
      </c>
      <c r="AP224" s="168" t="str">
        <f t="shared" si="164"/>
        <v>-0.251328256586357+0.0151963682653552i</v>
      </c>
      <c r="AQ224" s="98">
        <f t="shared" si="165"/>
        <v>-11.979325110432097</v>
      </c>
      <c r="AR224" s="169">
        <f t="shared" si="166"/>
        <v>176.53986764919421</v>
      </c>
      <c r="AS224" s="168" t="str">
        <f t="shared" si="167"/>
        <v>-2.11741648044139+1.12508685107041i</v>
      </c>
      <c r="AT224" s="190">
        <f t="shared" si="168"/>
        <v>7.5961292933293025</v>
      </c>
      <c r="AU224" s="169">
        <f t="shared" si="169"/>
        <v>152.01610789229386</v>
      </c>
      <c r="AV224" s="225"/>
      <c r="AX224">
        <f t="shared" si="170"/>
        <v>0</v>
      </c>
      <c r="AY224">
        <f t="shared" si="171"/>
        <v>0</v>
      </c>
    </row>
    <row r="225" spans="14:51" x14ac:dyDescent="0.2">
      <c r="N225" s="170">
        <v>7</v>
      </c>
      <c r="O225" s="199">
        <f t="shared" si="172"/>
        <v>1174.8975549395295</v>
      </c>
      <c r="P225" s="189" t="str">
        <f t="shared" si="138"/>
        <v>1757.57575757576</v>
      </c>
      <c r="Q225" s="160" t="str">
        <f t="shared" si="139"/>
        <v>1+425.701045484084i</v>
      </c>
      <c r="R225" s="160">
        <f t="shared" si="147"/>
        <v>425.70222001563735</v>
      </c>
      <c r="S225" s="160">
        <f t="shared" si="148"/>
        <v>1.5684472647682859</v>
      </c>
      <c r="T225" s="160" t="str">
        <f t="shared" si="140"/>
        <v>1+2.06698773529844i</v>
      </c>
      <c r="U225" s="160">
        <f t="shared" si="149"/>
        <v>2.2961790648540839</v>
      </c>
      <c r="V225" s="160">
        <f t="shared" si="150"/>
        <v>1.1201959040442633</v>
      </c>
      <c r="W225" s="98" t="str">
        <f t="shared" si="141"/>
        <v>1-0.00133031576713776i</v>
      </c>
      <c r="X225" s="160">
        <f t="shared" si="151"/>
        <v>1.0000008848696287</v>
      </c>
      <c r="Y225" s="160">
        <f t="shared" si="152"/>
        <v>-1.330314982367567E-3</v>
      </c>
      <c r="Z225" s="98" t="str">
        <f t="shared" si="142"/>
        <v>0.999447846294159-0.0312728680760743i</v>
      </c>
      <c r="AA225" s="160">
        <f t="shared" si="153"/>
        <v>0.99993699288492</v>
      </c>
      <c r="AB225" s="160">
        <f t="shared" si="154"/>
        <v>-3.1279939259701163E-2</v>
      </c>
      <c r="AC225" s="171" t="str">
        <f t="shared" si="155"/>
        <v>8.66329972857657-3.85115852542618i</v>
      </c>
      <c r="AD225" s="190">
        <f t="shared" si="156"/>
        <v>19.536832809463469</v>
      </c>
      <c r="AE225" s="169">
        <f t="shared" si="157"/>
        <v>-23.966924061388983</v>
      </c>
      <c r="AF225" s="98" t="str">
        <f t="shared" si="143"/>
        <v>-0.0000114342530449913</v>
      </c>
      <c r="AG225" s="98" t="str">
        <f t="shared" si="144"/>
        <v>0.000886220991509205i</v>
      </c>
      <c r="AH225" s="98">
        <f t="shared" si="158"/>
        <v>8.8622099150920499E-4</v>
      </c>
      <c r="AI225" s="98">
        <f t="shared" si="159"/>
        <v>1.5707963267948966</v>
      </c>
      <c r="AJ225" s="98" t="str">
        <f t="shared" si="145"/>
        <v>1+0.00811692690722299i</v>
      </c>
      <c r="AK225" s="98">
        <f t="shared" si="160"/>
        <v>1.0000329417086307</v>
      </c>
      <c r="AL225" s="98">
        <f t="shared" si="161"/>
        <v>8.1167486543725839E-3</v>
      </c>
      <c r="AM225" s="98" t="str">
        <f t="shared" si="146"/>
        <v>1+19.4887415042424i</v>
      </c>
      <c r="AN225" s="98">
        <f t="shared" si="162"/>
        <v>19.514380477462776</v>
      </c>
      <c r="AO225" s="98">
        <f t="shared" si="163"/>
        <v>1.5195296118960517</v>
      </c>
      <c r="AP225" s="168" t="str">
        <f t="shared" si="164"/>
        <v>-0.25132751137402+0.0149422663570155i</v>
      </c>
      <c r="AQ225" s="98">
        <f t="shared" si="165"/>
        <v>-11.979875430143439</v>
      </c>
      <c r="AR225" s="169">
        <f t="shared" si="166"/>
        <v>176.59757816553167</v>
      </c>
      <c r="AS225" s="168" t="str">
        <f t="shared" si="167"/>
        <v>-2.11978052460036+1.09735142017725i</v>
      </c>
      <c r="AT225" s="190">
        <f t="shared" si="168"/>
        <v>7.5569573793200142</v>
      </c>
      <c r="AU225" s="169">
        <f t="shared" si="169"/>
        <v>152.63065410414274</v>
      </c>
      <c r="AV225" s="225"/>
      <c r="AX225">
        <f t="shared" si="170"/>
        <v>0</v>
      </c>
      <c r="AY225">
        <f t="shared" si="171"/>
        <v>0</v>
      </c>
    </row>
    <row r="226" spans="14:51" x14ac:dyDescent="0.2">
      <c r="N226" s="170">
        <v>8</v>
      </c>
      <c r="O226" s="199">
        <f t="shared" si="172"/>
        <v>1202.2644346174138</v>
      </c>
      <c r="P226" s="189" t="str">
        <f t="shared" si="138"/>
        <v>1757.57575757576</v>
      </c>
      <c r="Q226" s="160" t="str">
        <f t="shared" si="139"/>
        <v>1+435.616896650454i</v>
      </c>
      <c r="R226" s="160">
        <f t="shared" si="147"/>
        <v>435.61804444647646</v>
      </c>
      <c r="S226" s="160">
        <f t="shared" si="148"/>
        <v>1.5685007357581182</v>
      </c>
      <c r="T226" s="160" t="str">
        <f t="shared" si="140"/>
        <v>1+2.11513406466116i</v>
      </c>
      <c r="U226" s="160">
        <f t="shared" si="149"/>
        <v>2.3396136671446506</v>
      </c>
      <c r="V226" s="160">
        <f t="shared" si="150"/>
        <v>1.1291581961311694</v>
      </c>
      <c r="W226" s="98" t="str">
        <f t="shared" si="141"/>
        <v>1-0.00136130280203267i</v>
      </c>
      <c r="X226" s="160">
        <f t="shared" si="151"/>
        <v>1.0000009265722301</v>
      </c>
      <c r="Y226" s="160">
        <f t="shared" si="152"/>
        <v>-1.3613019611363E-3</v>
      </c>
      <c r="Z226" s="98" t="str">
        <f t="shared" si="142"/>
        <v>0.999421824091702-0.0320013067507674i</v>
      </c>
      <c r="AA226" s="160">
        <f t="shared" si="153"/>
        <v>0.99993403087630828</v>
      </c>
      <c r="AB226" s="160">
        <f t="shared" si="154"/>
        <v>-3.2008883591200278E-2</v>
      </c>
      <c r="AC226" s="171" t="str">
        <f t="shared" si="155"/>
        <v>8.66271142315746-3.75165150938098i</v>
      </c>
      <c r="AD226" s="190">
        <f t="shared" si="156"/>
        <v>19.499627913363085</v>
      </c>
      <c r="AE226" s="169">
        <f t="shared" si="157"/>
        <v>-23.416496201497957</v>
      </c>
      <c r="AF226" s="98" t="str">
        <f t="shared" si="143"/>
        <v>-0.0000114342530449913</v>
      </c>
      <c r="AG226" s="98" t="str">
        <f t="shared" si="144"/>
        <v>0.000906863730223472i</v>
      </c>
      <c r="AH226" s="98">
        <f t="shared" si="158"/>
        <v>9.0686373022347202E-4</v>
      </c>
      <c r="AI226" s="98">
        <f t="shared" si="159"/>
        <v>1.5707963267948966</v>
      </c>
      <c r="AJ226" s="98" t="str">
        <f t="shared" si="145"/>
        <v>1+0.00830599442301639i</v>
      </c>
      <c r="AK226" s="98">
        <f t="shared" si="160"/>
        <v>1.0000344941767534</v>
      </c>
      <c r="AL226" s="98">
        <f t="shared" si="161"/>
        <v>8.3058034220017864E-3</v>
      </c>
      <c r="AM226" s="98" t="str">
        <f t="shared" si="146"/>
        <v>1+19.9426926096623i</v>
      </c>
      <c r="AN226" s="98">
        <f t="shared" si="162"/>
        <v>19.967748709443416</v>
      </c>
      <c r="AO226" s="98">
        <f t="shared" si="163"/>
        <v>1.5206946102330245</v>
      </c>
      <c r="AP226" s="168" t="str">
        <f t="shared" si="164"/>
        <v>-0.251326731045642+0.0146960864658251i</v>
      </c>
      <c r="AQ226" s="98">
        <f t="shared" si="165"/>
        <v>-11.980402229899772</v>
      </c>
      <c r="AR226" s="169">
        <f t="shared" si="166"/>
        <v>176.65349561309799</v>
      </c>
      <c r="AS226" s="168" t="str">
        <f t="shared" si="167"/>
        <v>-2.1220363490024+1.07019826597838i</v>
      </c>
      <c r="AT226" s="190">
        <f t="shared" si="168"/>
        <v>7.5192256834633122</v>
      </c>
      <c r="AU226" s="169">
        <f t="shared" si="169"/>
        <v>153.23699941160012</v>
      </c>
      <c r="AV226" s="225"/>
      <c r="AX226">
        <f t="shared" si="170"/>
        <v>0</v>
      </c>
      <c r="AY226">
        <f t="shared" si="171"/>
        <v>0</v>
      </c>
    </row>
    <row r="227" spans="14:51" x14ac:dyDescent="0.2">
      <c r="N227" s="170">
        <v>9</v>
      </c>
      <c r="O227" s="199">
        <f t="shared" si="172"/>
        <v>1230.2687708123824</v>
      </c>
      <c r="P227" s="189" t="str">
        <f t="shared" si="138"/>
        <v>1757.57575757576</v>
      </c>
      <c r="Q227" s="160" t="str">
        <f t="shared" si="139"/>
        <v>1+445.763717661499i</v>
      </c>
      <c r="R227" s="160">
        <f t="shared" si="147"/>
        <v>445.76483933056068</v>
      </c>
      <c r="S227" s="160">
        <f t="shared" si="148"/>
        <v>1.5685529896123083</v>
      </c>
      <c r="T227" s="160" t="str">
        <f t="shared" si="140"/>
        <v>1+2.16440186610207i</v>
      </c>
      <c r="U227" s="160">
        <f t="shared" si="149"/>
        <v>2.3842473525173773</v>
      </c>
      <c r="V227" s="160">
        <f t="shared" si="150"/>
        <v>1.1379904871472499</v>
      </c>
      <c r="W227" s="98" t="str">
        <f t="shared" si="141"/>
        <v>1-0.00139301161769218i</v>
      </c>
      <c r="X227" s="160">
        <f t="shared" si="151"/>
        <v>1.0000009702402128</v>
      </c>
      <c r="Y227" s="160">
        <f t="shared" si="152"/>
        <v>-1.393010716655533E-3</v>
      </c>
      <c r="Z227" s="98" t="str">
        <f t="shared" si="142"/>
        <v>0.999394575500625-0.032746712941887i</v>
      </c>
      <c r="AA227" s="160">
        <f t="shared" si="153"/>
        <v>0.99993092998895317</v>
      </c>
      <c r="AB227" s="160">
        <f t="shared" si="154"/>
        <v>-3.2754831594883613E-2</v>
      </c>
      <c r="AC227" s="171" t="str">
        <f t="shared" si="155"/>
        <v>8.66213539627325-3.6541333980348i</v>
      </c>
      <c r="AD227" s="190">
        <f t="shared" si="156"/>
        <v>19.463799446078788</v>
      </c>
      <c r="AE227" s="169">
        <f t="shared" si="157"/>
        <v>-22.872514233671229</v>
      </c>
      <c r="AF227" s="98" t="str">
        <f t="shared" si="143"/>
        <v>-0.0000114342530449913</v>
      </c>
      <c r="AG227" s="98" t="str">
        <f t="shared" si="144"/>
        <v>0.000927987300091263i</v>
      </c>
      <c r="AH227" s="98">
        <f t="shared" si="158"/>
        <v>9.2798730009126295E-4</v>
      </c>
      <c r="AI227" s="98">
        <f t="shared" si="159"/>
        <v>1.5707963267948966</v>
      </c>
      <c r="AJ227" s="98" t="str">
        <f t="shared" si="145"/>
        <v>1+0.00849946588699569i</v>
      </c>
      <c r="AK227" s="98">
        <f t="shared" si="160"/>
        <v>1.0000361198078618</v>
      </c>
      <c r="AL227" s="98">
        <f t="shared" si="161"/>
        <v>8.4992612261204567E-3</v>
      </c>
      <c r="AM227" s="98" t="str">
        <f t="shared" si="146"/>
        <v>1+20.4072175946766i</v>
      </c>
      <c r="AN227" s="98">
        <f t="shared" si="162"/>
        <v>20.431704039469594</v>
      </c>
      <c r="AO227" s="98">
        <f t="shared" si="163"/>
        <v>1.5218332215085379</v>
      </c>
      <c r="AP227" s="168" t="str">
        <f t="shared" si="164"/>
        <v>-0.251325913946715+0.0144576980231685i</v>
      </c>
      <c r="AQ227" s="98">
        <f t="shared" si="165"/>
        <v>-11.980906618731561</v>
      </c>
      <c r="AR227" s="169">
        <f t="shared" si="166"/>
        <v>176.7076489180011</v>
      </c>
      <c r="AS227" s="168" t="str">
        <f t="shared" si="167"/>
        <v>-2.1241887379934+1.04361295373943i</v>
      </c>
      <c r="AT227" s="190">
        <f t="shared" si="168"/>
        <v>7.4828928273472162</v>
      </c>
      <c r="AU227" s="169">
        <f t="shared" si="169"/>
        <v>153.83513468432983</v>
      </c>
      <c r="AV227" s="225"/>
      <c r="AX227">
        <f t="shared" si="170"/>
        <v>0</v>
      </c>
      <c r="AY227">
        <f t="shared" si="171"/>
        <v>0</v>
      </c>
    </row>
    <row r="228" spans="14:51" x14ac:dyDescent="0.2">
      <c r="N228" s="170">
        <v>10</v>
      </c>
      <c r="O228" s="199">
        <f t="shared" si="172"/>
        <v>1258.925411794168</v>
      </c>
      <c r="P228" s="189" t="str">
        <f t="shared" si="138"/>
        <v>1757.57575757576</v>
      </c>
      <c r="Q228" s="160" t="str">
        <f t="shared" si="139"/>
        <v>1+456.146888496029i</v>
      </c>
      <c r="R228" s="160">
        <f t="shared" si="147"/>
        <v>456.14798463284774</v>
      </c>
      <c r="S228" s="160">
        <f t="shared" si="148"/>
        <v>1.5686040540353987</v>
      </c>
      <c r="T228" s="160" t="str">
        <f t="shared" si="140"/>
        <v>1+2.21481726206164i</v>
      </c>
      <c r="U228" s="160">
        <f t="shared" si="149"/>
        <v>2.4301060685340916</v>
      </c>
      <c r="V228" s="160">
        <f t="shared" si="150"/>
        <v>1.1466919470631654</v>
      </c>
      <c r="W228" s="98" t="str">
        <f t="shared" si="141"/>
        <v>1-0.00142545902655009i</v>
      </c>
      <c r="X228" s="160">
        <f t="shared" si="151"/>
        <v>1.0000010159662021</v>
      </c>
      <c r="Y228" s="160">
        <f t="shared" si="152"/>
        <v>-1.4254580610719811E-3</v>
      </c>
      <c r="Z228" s="98" t="str">
        <f t="shared" si="142"/>
        <v>0.999366042723016-0.0335094818736625i</v>
      </c>
      <c r="AA228" s="160">
        <f t="shared" si="153"/>
        <v>0.99992768374683094</v>
      </c>
      <c r="AB228" s="160">
        <f t="shared" si="154"/>
        <v>-3.3518181079781148E-2</v>
      </c>
      <c r="AC228" s="171" t="str">
        <f t="shared" si="155"/>
        <v>8.66157042406728-3.55855247910758i</v>
      </c>
      <c r="AD228" s="190">
        <f t="shared" si="156"/>
        <v>19.42930744348163</v>
      </c>
      <c r="AE228" s="169">
        <f t="shared" si="157"/>
        <v>-22.335005472926714</v>
      </c>
      <c r="AF228" s="98" t="str">
        <f t="shared" si="143"/>
        <v>-0.0000114342530449913</v>
      </c>
      <c r="AG228" s="98" t="str">
        <f t="shared" si="144"/>
        <v>0.000949602901108926i</v>
      </c>
      <c r="AH228" s="98">
        <f t="shared" si="158"/>
        <v>9.49602901108926E-4</v>
      </c>
      <c r="AI228" s="98">
        <f t="shared" si="159"/>
        <v>1.5707963267948966</v>
      </c>
      <c r="AJ228" s="98" t="str">
        <f t="shared" si="145"/>
        <v>1+0.00869744388029202i</v>
      </c>
      <c r="AK228" s="98">
        <f t="shared" si="160"/>
        <v>1.0000378220497717</v>
      </c>
      <c r="AL228" s="98">
        <f t="shared" si="161"/>
        <v>8.6972245826611293E-3</v>
      </c>
      <c r="AM228" s="98" t="str">
        <f t="shared" si="146"/>
        <v>1+20.8825627565811i</v>
      </c>
      <c r="AN228" s="98">
        <f t="shared" si="162"/>
        <v>20.906492467234862</v>
      </c>
      <c r="AO228" s="98">
        <f t="shared" si="163"/>
        <v>1.5229460376135644</v>
      </c>
      <c r="AP228" s="168" t="str">
        <f t="shared" si="164"/>
        <v>-0.251325058344796+0.0142269745886437i</v>
      </c>
      <c r="AQ228" s="98">
        <f t="shared" si="165"/>
        <v>-11.981389658866989</v>
      </c>
      <c r="AR228" s="169">
        <f t="shared" si="166"/>
        <v>176.76006611936523</v>
      </c>
      <c r="AS228" s="168" t="str">
        <f t="shared" si="167"/>
        <v>-2.12624225649365+1.01758135175568i</v>
      </c>
      <c r="AT228" s="190">
        <f t="shared" si="168"/>
        <v>7.4479177846146305</v>
      </c>
      <c r="AU228" s="169">
        <f t="shared" si="169"/>
        <v>154.4250606464386</v>
      </c>
      <c r="AV228" s="225"/>
      <c r="AX228">
        <f t="shared" si="170"/>
        <v>0</v>
      </c>
      <c r="AY228">
        <f t="shared" si="171"/>
        <v>0</v>
      </c>
    </row>
    <row r="229" spans="14:51" x14ac:dyDescent="0.2">
      <c r="N229" s="170">
        <v>11</v>
      </c>
      <c r="O229" s="199">
        <f t="shared" si="172"/>
        <v>1288.2495516931347</v>
      </c>
      <c r="P229" s="189" t="str">
        <f t="shared" si="138"/>
        <v>1757.57575757576</v>
      </c>
      <c r="Q229" s="160" t="str">
        <f t="shared" si="139"/>
        <v>1+466.771914448656i</v>
      </c>
      <c r="R229" s="160">
        <f t="shared" si="147"/>
        <v>466.77298563441246</v>
      </c>
      <c r="S229" s="160">
        <f t="shared" si="148"/>
        <v>1.568653956101357</v>
      </c>
      <c r="T229" s="160" t="str">
        <f t="shared" si="140"/>
        <v>1+2.26640698345012i</v>
      </c>
      <c r="U229" s="160">
        <f t="shared" si="149"/>
        <v>2.4772163035616153</v>
      </c>
      <c r="V229" s="160">
        <f t="shared" si="150"/>
        <v>1.1552619178000139</v>
      </c>
      <c r="W229" s="98" t="str">
        <f t="shared" si="141"/>
        <v>1-0.00145866223265205i</v>
      </c>
      <c r="X229" s="160">
        <f t="shared" si="151"/>
        <v>1.0000010638471886</v>
      </c>
      <c r="Y229" s="160">
        <f t="shared" si="152"/>
        <v>-1.458661198123677E-3</v>
      </c>
      <c r="Z229" s="98" t="str">
        <f t="shared" si="142"/>
        <v>0.999336165237025-0.0342900179762777i</v>
      </c>
      <c r="AA229" s="160">
        <f t="shared" si="153"/>
        <v>0.99992428537537592</v>
      </c>
      <c r="AB229" s="160">
        <f t="shared" si="154"/>
        <v>-3.4299339245614298E-2</v>
      </c>
      <c r="AC229" s="171" t="str">
        <f t="shared" si="155"/>
        <v>8.66101530593102-3.4648580661299i</v>
      </c>
      <c r="AD229" s="190">
        <f t="shared" si="156"/>
        <v>19.396112311814949</v>
      </c>
      <c r="AE229" s="169">
        <f t="shared" si="157"/>
        <v>-21.803986830508322</v>
      </c>
      <c r="AF229" s="98" t="str">
        <f t="shared" si="143"/>
        <v>-0.0000114342530449913</v>
      </c>
      <c r="AG229" s="98" t="str">
        <f t="shared" si="144"/>
        <v>0.000971721994154238i</v>
      </c>
      <c r="AH229" s="98">
        <f t="shared" si="158"/>
        <v>9.7172199415423803E-4</v>
      </c>
      <c r="AI229" s="98">
        <f t="shared" si="159"/>
        <v>1.5707963267948966</v>
      </c>
      <c r="AJ229" s="98" t="str">
        <f t="shared" si="145"/>
        <v>1+0.00890003337345795i</v>
      </c>
      <c r="AK229" s="98">
        <f t="shared" si="160"/>
        <v>1.0000396045127655</v>
      </c>
      <c r="AL229" s="98">
        <f t="shared" si="161"/>
        <v>8.8997983923154583E-3</v>
      </c>
      <c r="AM229" s="98" t="str">
        <f t="shared" si="146"/>
        <v>1+21.3689801296725i</v>
      </c>
      <c r="AN229" s="98">
        <f t="shared" si="162"/>
        <v>21.392365735989511</v>
      </c>
      <c r="AO229" s="98">
        <f t="shared" si="163"/>
        <v>1.5240336375471339</v>
      </c>
      <c r="AP229" s="168" t="str">
        <f t="shared" si="164"/>
        <v>-0.251324162425845+0.0140037937828126i</v>
      </c>
      <c r="AQ229" s="98">
        <f t="shared" si="165"/>
        <v>-11.981852367920453</v>
      </c>
      <c r="AR229" s="169">
        <f t="shared" si="166"/>
        <v>176.81077438102443</v>
      </c>
      <c r="AS229" s="168" t="str">
        <f t="shared" si="167"/>
        <v>-2.12820125967574+0.992089623688572i</v>
      </c>
      <c r="AT229" s="190">
        <f t="shared" si="168"/>
        <v>7.4142599438944998</v>
      </c>
      <c r="AU229" s="169">
        <f t="shared" si="169"/>
        <v>155.00678755051609</v>
      </c>
      <c r="AV229" s="225"/>
      <c r="AX229">
        <f t="shared" si="170"/>
        <v>0</v>
      </c>
      <c r="AY229">
        <f t="shared" si="171"/>
        <v>0</v>
      </c>
    </row>
    <row r="230" spans="14:51" x14ac:dyDescent="0.2">
      <c r="N230" s="170">
        <v>12</v>
      </c>
      <c r="O230" s="199">
        <f t="shared" si="172"/>
        <v>1318.2567385564089</v>
      </c>
      <c r="P230" s="189" t="str">
        <f t="shared" si="138"/>
        <v>1757.57575757576</v>
      </c>
      <c r="Q230" s="160" t="str">
        <f t="shared" si="139"/>
        <v>1+477.644429048782i</v>
      </c>
      <c r="R230" s="160">
        <f t="shared" si="147"/>
        <v>477.64547585142788</v>
      </c>
      <c r="S230" s="160">
        <f t="shared" si="148"/>
        <v>1.5687027222679244</v>
      </c>
      <c r="T230" s="160" t="str">
        <f t="shared" si="140"/>
        <v>1+2.31919838382067i</v>
      </c>
      <c r="U230" s="160">
        <f t="shared" si="149"/>
        <v>2.5256051044287204</v>
      </c>
      <c r="V230" s="160">
        <f t="shared" si="150"/>
        <v>1.1636999068961882</v>
      </c>
      <c r="W230" s="98" t="str">
        <f t="shared" si="141"/>
        <v>1-0.00149263884077744i</v>
      </c>
      <c r="X230" s="160">
        <f t="shared" si="151"/>
        <v>1.000001113984734</v>
      </c>
      <c r="Y230" s="160">
        <f t="shared" si="152"/>
        <v>-1.492637732260383E-3</v>
      </c>
      <c r="Z230" s="98" t="str">
        <f t="shared" si="142"/>
        <v>0.9993048796685-0.0350887351003061i</v>
      </c>
      <c r="AA230" s="160">
        <f t="shared" si="153"/>
        <v>0.99992072778806551</v>
      </c>
      <c r="AB230" s="160">
        <f t="shared" si="154"/>
        <v>-3.5098722910427621E-2</v>
      </c>
      <c r="AC230" s="171" t="str">
        <f t="shared" si="155"/>
        <v>8.66046886193832-3.37300047153016i</v>
      </c>
      <c r="AD230" s="190">
        <f t="shared" si="156"/>
        <v>19.364174887859512</v>
      </c>
      <c r="AE230" s="169">
        <f t="shared" si="157"/>
        <v>-21.279465165050443</v>
      </c>
      <c r="AF230" s="98" t="str">
        <f t="shared" si="143"/>
        <v>-0.0000114342530449913</v>
      </c>
      <c r="AG230" s="98" t="str">
        <f t="shared" si="144"/>
        <v>0.000994356307063113i</v>
      </c>
      <c r="AH230" s="98">
        <f t="shared" si="158"/>
        <v>9.9435630706311306E-4</v>
      </c>
      <c r="AI230" s="98">
        <f t="shared" si="159"/>
        <v>1.5707963267948966</v>
      </c>
      <c r="AJ230" s="98" t="str">
        <f t="shared" si="145"/>
        <v>1+0.00910734178212437i</v>
      </c>
      <c r="AK230" s="98">
        <f t="shared" si="160"/>
        <v>1.0000414709772472</v>
      </c>
      <c r="AL230" s="98">
        <f t="shared" si="161"/>
        <v>9.1070899958577492E-3</v>
      </c>
      <c r="AM230" s="98" t="str">
        <f t="shared" si="146"/>
        <v>1+21.8667276188806i</v>
      </c>
      <c r="AN230" s="98">
        <f t="shared" si="162"/>
        <v>21.889581466038031</v>
      </c>
      <c r="AO230" s="98">
        <f t="shared" si="163"/>
        <v>1.5250965876713301</v>
      </c>
      <c r="AP230" s="168" t="str">
        <f t="shared" si="164"/>
        <v>-0.251323224290381+0.0137880372220919i</v>
      </c>
      <c r="AQ230" s="98">
        <f t="shared" si="165"/>
        <v>-11.982295720992369</v>
      </c>
      <c r="AR230" s="169">
        <f t="shared" si="166"/>
        <v>176.85980000296229</v>
      </c>
      <c r="AS230" s="168" t="str">
        <f t="shared" si="167"/>
        <v>-2.13006990219719+0.967124221067109i</v>
      </c>
      <c r="AT230" s="190">
        <f t="shared" si="168"/>
        <v>7.3818791668671349</v>
      </c>
      <c r="AU230" s="169">
        <f t="shared" si="169"/>
        <v>155.58033483791178</v>
      </c>
      <c r="AV230" s="225"/>
      <c r="AX230">
        <f t="shared" si="170"/>
        <v>0</v>
      </c>
      <c r="AY230">
        <f t="shared" si="171"/>
        <v>0</v>
      </c>
    </row>
    <row r="231" spans="14:51" x14ac:dyDescent="0.2">
      <c r="N231" s="170">
        <v>13</v>
      </c>
      <c r="O231" s="199">
        <f t="shared" si="172"/>
        <v>1348.9628825916541</v>
      </c>
      <c r="P231" s="189" t="str">
        <f t="shared" si="138"/>
        <v>1757.57575757576</v>
      </c>
      <c r="Q231" s="160" t="str">
        <f t="shared" si="139"/>
        <v>1+488.77019704756i</v>
      </c>
      <c r="R231" s="160">
        <f t="shared" si="147"/>
        <v>488.771220022119</v>
      </c>
      <c r="S231" s="160">
        <f t="shared" si="148"/>
        <v>1.5687503783906394</v>
      </c>
      <c r="T231" s="160" t="str">
        <f t="shared" si="140"/>
        <v>1+2.37321945387254i</v>
      </c>
      <c r="U231" s="160">
        <f t="shared" si="149"/>
        <v>2.5753000944043545</v>
      </c>
      <c r="V231" s="160">
        <f t="shared" si="150"/>
        <v>1.1720055809802807</v>
      </c>
      <c r="W231" s="98" t="str">
        <f t="shared" si="141"/>
        <v>1-0.00152740686577362i</v>
      </c>
      <c r="X231" s="160">
        <f t="shared" si="151"/>
        <v>1.0000011664851864</v>
      </c>
      <c r="Y231" s="160">
        <f t="shared" si="152"/>
        <v>-1.5274056779762681E-3</v>
      </c>
      <c r="Z231" s="98" t="str">
        <f t="shared" si="142"/>
        <v>0.999272119656556-0.035906056736139i</v>
      </c>
      <c r="AA231" s="160">
        <f t="shared" si="153"/>
        <v>0.99991700357241919</v>
      </c>
      <c r="AB231" s="160">
        <f t="shared" si="154"/>
        <v>-3.5916758744155855E-2</v>
      </c>
      <c r="AC231" s="171" t="str">
        <f t="shared" si="155"/>
        <v>8.65992993032207-3.28293098024557i</v>
      </c>
      <c r="AD231" s="190">
        <f t="shared" si="156"/>
        <v>19.333456494184748</v>
      </c>
      <c r="AE231" s="169">
        <f t="shared" si="157"/>
        <v>-20.761437644509105</v>
      </c>
      <c r="AF231" s="98" t="str">
        <f t="shared" si="143"/>
        <v>-0.0000114342530449913</v>
      </c>
      <c r="AG231" s="98" t="str">
        <f t="shared" si="144"/>
        <v>0.00101751784084785i</v>
      </c>
      <c r="AH231" s="98">
        <f t="shared" si="158"/>
        <v>1.01751784084785E-3</v>
      </c>
      <c r="AI231" s="98">
        <f t="shared" si="159"/>
        <v>1.5707963267948966</v>
      </c>
      <c r="AJ231" s="98" t="str">
        <f t="shared" si="145"/>
        <v>1+0.00931947902395357i</v>
      </c>
      <c r="AK231" s="98">
        <f t="shared" si="160"/>
        <v>1.0000434254017563</v>
      </c>
      <c r="AL231" s="98">
        <f t="shared" si="161"/>
        <v>9.3192092307408242E-3</v>
      </c>
      <c r="AM231" s="98" t="str">
        <f t="shared" si="146"/>
        <v>1+22.3760691365125i</v>
      </c>
      <c r="AN231" s="98">
        <f t="shared" si="162"/>
        <v>22.39840329135064</v>
      </c>
      <c r="AO231" s="98">
        <f t="shared" si="163"/>
        <v>1.5261354419630084</v>
      </c>
      <c r="AP231" s="168" t="str">
        <f t="shared" si="164"/>
        <v>-0.251322241949462+0.013579590455744i</v>
      </c>
      <c r="AQ231" s="98">
        <f t="shared" si="165"/>
        <v>-11.982720652683822</v>
      </c>
      <c r="AR231" s="169">
        <f t="shared" si="166"/>
        <v>176.90716843249214</v>
      </c>
      <c r="AS231" s="168" t="str">
        <f t="shared" si="167"/>
        <v>-2.13185214700758+0.942671875949875i</v>
      </c>
      <c r="AT231" s="190">
        <f t="shared" si="168"/>
        <v>7.3507358415009207</v>
      </c>
      <c r="AU231" s="169">
        <f t="shared" si="169"/>
        <v>156.14573078798301</v>
      </c>
      <c r="AV231" s="225"/>
      <c r="AX231">
        <f t="shared" si="170"/>
        <v>0</v>
      </c>
      <c r="AY231">
        <f t="shared" si="171"/>
        <v>0</v>
      </c>
    </row>
    <row r="232" spans="14:51" x14ac:dyDescent="0.2">
      <c r="N232" s="170">
        <v>14</v>
      </c>
      <c r="O232" s="199">
        <f t="shared" si="172"/>
        <v>1380.3842646028863</v>
      </c>
      <c r="P232" s="189" t="str">
        <f t="shared" si="138"/>
        <v>1757.57575757576</v>
      </c>
      <c r="Q232" s="160" t="str">
        <f t="shared" si="139"/>
        <v>1+500.155117474452i</v>
      </c>
      <c r="R232" s="160">
        <f t="shared" si="147"/>
        <v>500.15611716331421</v>
      </c>
      <c r="S232" s="160">
        <f t="shared" si="148"/>
        <v>1.5687969497365426</v>
      </c>
      <c r="T232" s="160" t="str">
        <f t="shared" si="140"/>
        <v>1+2.42849883629213i</v>
      </c>
      <c r="U232" s="160">
        <f t="shared" si="149"/>
        <v>2.626329491490401</v>
      </c>
      <c r="V232" s="160">
        <f t="shared" si="150"/>
        <v>1.180178759095444</v>
      </c>
      <c r="W232" s="98" t="str">
        <f t="shared" si="141"/>
        <v>1-0.00156298474210766i</v>
      </c>
      <c r="X232" s="160">
        <f t="shared" si="151"/>
        <v>1.0000012214599061</v>
      </c>
      <c r="Y232" s="160">
        <f t="shared" si="152"/>
        <v>-1.5629834693599506E-3</v>
      </c>
      <c r="Z232" s="98" t="str">
        <f t="shared" si="142"/>
        <v>0.999237815712815-0.0367424162385262i</v>
      </c>
      <c r="AA232" s="160">
        <f t="shared" si="153"/>
        <v>0.99991310497540875</v>
      </c>
      <c r="AB232" s="160">
        <f t="shared" si="154"/>
        <v>-3.6753883508312428E-2</v>
      </c>
      <c r="AC232" s="171" t="str">
        <f t="shared" si="155"/>
        <v>8.65939736498714-3.19460182384188i</v>
      </c>
      <c r="AD232" s="190">
        <f t="shared" si="156"/>
        <v>19.303918989555598</v>
      </c>
      <c r="AE232" s="169">
        <f t="shared" si="157"/>
        <v>-20.249892116246656</v>
      </c>
      <c r="AF232" s="98" t="str">
        <f t="shared" si="143"/>
        <v>-0.0000114342530449913</v>
      </c>
      <c r="AG232" s="98" t="str">
        <f t="shared" si="144"/>
        <v>0.00104121887606025i</v>
      </c>
      <c r="AH232" s="98">
        <f t="shared" si="158"/>
        <v>1.04121887606025E-3</v>
      </c>
      <c r="AI232" s="98">
        <f t="shared" si="159"/>
        <v>1.5707963267948966</v>
      </c>
      <c r="AJ232" s="98" t="str">
        <f t="shared" si="145"/>
        <v>1+0.00953655757691917i</v>
      </c>
      <c r="AK232" s="98">
        <f t="shared" si="160"/>
        <v>1.0000454719313607</v>
      </c>
      <c r="AL232" s="98">
        <f t="shared" si="161"/>
        <v>9.5362684889932232E-3</v>
      </c>
      <c r="AM232" s="98" t="str">
        <f t="shared" si="146"/>
        <v>1+22.8972747421829i</v>
      </c>
      <c r="AN232" s="98">
        <f t="shared" si="162"/>
        <v>22.91910099936311</v>
      </c>
      <c r="AO232" s="98">
        <f t="shared" si="163"/>
        <v>1.5271507422621575</v>
      </c>
      <c r="AP232" s="168" t="str">
        <f t="shared" si="164"/>
        <v>-0.251321213320471+0.0133783429049376i</v>
      </c>
      <c r="AQ232" s="98">
        <f t="shared" si="165"/>
        <v>-11.983128059030104</v>
      </c>
      <c r="AR232" s="169">
        <f t="shared" si="166"/>
        <v>176.95290427516969</v>
      </c>
      <c r="AS232" s="168" t="str">
        <f t="shared" si="167"/>
        <v>-2.13355177374856+0.918719593742642i</v>
      </c>
      <c r="AT232" s="190">
        <f t="shared" si="168"/>
        <v>7.3207909305254866</v>
      </c>
      <c r="AU232" s="169">
        <f t="shared" si="169"/>
        <v>156.703012158923</v>
      </c>
      <c r="AV232" s="225"/>
      <c r="AX232">
        <f t="shared" si="170"/>
        <v>0</v>
      </c>
      <c r="AY232">
        <f t="shared" si="171"/>
        <v>0</v>
      </c>
    </row>
    <row r="233" spans="14:51" x14ac:dyDescent="0.2">
      <c r="N233" s="170">
        <v>15</v>
      </c>
      <c r="O233" s="199">
        <f t="shared" si="172"/>
        <v>1412.5375446227545</v>
      </c>
      <c r="P233" s="189" t="str">
        <f t="shared" si="138"/>
        <v>1757.57575757576</v>
      </c>
      <c r="Q233" s="160" t="str">
        <f t="shared" si="139"/>
        <v>1+511.805226764964i</v>
      </c>
      <c r="R233" s="160">
        <f t="shared" si="147"/>
        <v>511.80620369817348</v>
      </c>
      <c r="S233" s="160">
        <f t="shared" si="148"/>
        <v>1.5688424609975697</v>
      </c>
      <c r="T233" s="160" t="str">
        <f t="shared" si="140"/>
        <v>1+2.4850658409397i</v>
      </c>
      <c r="U233" s="160">
        <f t="shared" si="149"/>
        <v>2.6787221270235064</v>
      </c>
      <c r="V233" s="160">
        <f t="shared" si="150"/>
        <v>1.1882194059179205</v>
      </c>
      <c r="W233" s="98" t="str">
        <f t="shared" si="141"/>
        <v>1-0.00159939133364051i</v>
      </c>
      <c r="X233" s="160">
        <f t="shared" si="151"/>
        <v>1.0000012790255011</v>
      </c>
      <c r="Y233" s="160">
        <f t="shared" si="152"/>
        <v>-1.5993899698668631E-3</v>
      </c>
      <c r="Z233" s="98" t="str">
        <f t="shared" si="142"/>
        <v>0.999201895074012-0.0375982570563464i</v>
      </c>
      <c r="AA233" s="160">
        <f t="shared" si="153"/>
        <v>0.99990902388825953</v>
      </c>
      <c r="AB233" s="160">
        <f t="shared" si="154"/>
        <v>-3.7610544301988659E-2</v>
      </c>
      <c r="AC233" s="171" t="str">
        <f t="shared" si="155"/>
        <v>8.65887003305422-3.10796615512857i</v>
      </c>
      <c r="AD233" s="190">
        <f t="shared" si="156"/>
        <v>19.275524814593009</v>
      </c>
      <c r="AE233" s="169">
        <f t="shared" si="157"/>
        <v>-19.744807482814537</v>
      </c>
      <c r="AF233" s="98" t="str">
        <f t="shared" si="143"/>
        <v>-0.0000114342530449913</v>
      </c>
      <c r="AG233" s="98" t="str">
        <f t="shared" si="144"/>
        <v>0.0010654719793029i</v>
      </c>
      <c r="AH233" s="98">
        <f t="shared" si="158"/>
        <v>1.0654719793029E-3</v>
      </c>
      <c r="AI233" s="98">
        <f t="shared" si="159"/>
        <v>1.5707963267948966</v>
      </c>
      <c r="AJ233" s="98" t="str">
        <f t="shared" si="145"/>
        <v>1+0.00975869253894331i</v>
      </c>
      <c r="AK233" s="98">
        <f t="shared" si="160"/>
        <v>1.0000476149064452</v>
      </c>
      <c r="AL233" s="98">
        <f t="shared" si="161"/>
        <v>9.7583827764462991E-3</v>
      </c>
      <c r="AM233" s="98" t="str">
        <f t="shared" si="146"/>
        <v>1+23.4306207860029i</v>
      </c>
      <c r="AN233" s="98">
        <f t="shared" si="162"/>
        <v>23.451950674037143</v>
      </c>
      <c r="AO233" s="98">
        <f t="shared" si="163"/>
        <v>1.5281430185168137</v>
      </c>
      <c r="AP233" s="168" t="str">
        <f t="shared" si="164"/>
        <v>-0.251320136222714+0.0131841878038432i</v>
      </c>
      <c r="AQ233" s="98">
        <f t="shared" si="165"/>
        <v>-11.9835187993564</v>
      </c>
      <c r="AR233" s="169">
        <f t="shared" si="166"/>
        <v>176.9970313054319</v>
      </c>
      <c r="AS233" s="168" t="str">
        <f t="shared" si="167"/>
        <v>-2.13517238676476+0.895254646167354i</v>
      </c>
      <c r="AT233" s="190">
        <f t="shared" si="168"/>
        <v>7.2920060152366126</v>
      </c>
      <c r="AU233" s="169">
        <f t="shared" si="169"/>
        <v>157.25222382261737</v>
      </c>
      <c r="AV233" s="225"/>
      <c r="AX233">
        <f t="shared" si="170"/>
        <v>0</v>
      </c>
      <c r="AY233">
        <f t="shared" si="171"/>
        <v>0</v>
      </c>
    </row>
    <row r="234" spans="14:51" x14ac:dyDescent="0.2">
      <c r="N234" s="170">
        <v>16</v>
      </c>
      <c r="O234" s="199">
        <f t="shared" si="172"/>
        <v>1445.4397707459289</v>
      </c>
      <c r="P234" s="189" t="str">
        <f t="shared" si="138"/>
        <v>1757.57575757576</v>
      </c>
      <c r="Q234" s="160" t="str">
        <f t="shared" si="139"/>
        <v>1+523.72670196125i</v>
      </c>
      <c r="R234" s="160">
        <f t="shared" si="147"/>
        <v>523.7276566567856</v>
      </c>
      <c r="S234" s="160">
        <f t="shared" si="148"/>
        <v>1.5688869363036393</v>
      </c>
      <c r="T234" s="160" t="str">
        <f t="shared" si="140"/>
        <v>1+2.54295046038988i</v>
      </c>
      <c r="U234" s="160">
        <f t="shared" si="149"/>
        <v>2.7325074645821377</v>
      </c>
      <c r="V234" s="160">
        <f t="shared" si="150"/>
        <v>1.196127624909727</v>
      </c>
      <c r="W234" s="98" t="str">
        <f t="shared" si="141"/>
        <v>1-0.0016366459436289i</v>
      </c>
      <c r="X234" s="160">
        <f t="shared" si="151"/>
        <v>1.0000013393040754</v>
      </c>
      <c r="Y234" s="160">
        <f t="shared" si="152"/>
        <v>-1.636644482319215E-3</v>
      </c>
      <c r="Z234" s="98" t="str">
        <f t="shared" si="142"/>
        <v>0.999164281547658-0.0384740329677297i</v>
      </c>
      <c r="AA234" s="160">
        <f t="shared" si="153"/>
        <v>0.999904751830618</v>
      </c>
      <c r="AB234" s="160">
        <f t="shared" si="154"/>
        <v>-3.8487198814362848E-2</v>
      </c>
      <c r="AC234" s="171" t="str">
        <f t="shared" si="155"/>
        <v>8.65834681242954-3.02297802325536i</v>
      </c>
      <c r="AD234" s="190">
        <f t="shared" si="156"/>
        <v>19.248237032809929</v>
      </c>
      <c r="AE234" s="169">
        <f t="shared" si="157"/>
        <v>-19.246154081130381</v>
      </c>
      <c r="AF234" s="98" t="str">
        <f t="shared" si="143"/>
        <v>-0.0000114342530449913</v>
      </c>
      <c r="AG234" s="98" t="str">
        <f t="shared" si="144"/>
        <v>0.00109029000989216i</v>
      </c>
      <c r="AH234" s="98">
        <f t="shared" si="158"/>
        <v>1.0902900098921601E-3</v>
      </c>
      <c r="AI234" s="98">
        <f t="shared" si="159"/>
        <v>1.5707963267948966</v>
      </c>
      <c r="AJ234" s="98" t="str">
        <f t="shared" si="145"/>
        <v>1+0.00998600168892318i</v>
      </c>
      <c r="AK234" s="98">
        <f t="shared" si="160"/>
        <v>1.000049858871912</v>
      </c>
      <c r="AL234" s="98">
        <f t="shared" si="161"/>
        <v>9.9856697733213349E-3</v>
      </c>
      <c r="AM234" s="98" t="str">
        <f t="shared" si="146"/>
        <v>1+23.9763900551046i</v>
      </c>
      <c r="AN234" s="98">
        <f t="shared" si="162"/>
        <v>23.997234842258777</v>
      </c>
      <c r="AO234" s="98">
        <f t="shared" si="163"/>
        <v>1.5291127890244713</v>
      </c>
      <c r="AP234" s="168" t="str">
        <f t="shared" si="164"/>
        <v>-0.2513190083728+0.0129970221427295i</v>
      </c>
      <c r="AQ234" s="98">
        <f t="shared" si="165"/>
        <v>-11.983893698059871</v>
      </c>
      <c r="AR234" s="169">
        <f t="shared" si="166"/>
        <v>177.03957247695777</v>
      </c>
      <c r="AS234" s="168" t="str">
        <f t="shared" si="167"/>
        <v>-2.13671742274235+0.872264564377882i</v>
      </c>
      <c r="AT234" s="190">
        <f t="shared" si="168"/>
        <v>7.2643433347500537</v>
      </c>
      <c r="AU234" s="169">
        <f t="shared" si="169"/>
        <v>157.79341839582739</v>
      </c>
      <c r="AV234" s="225"/>
      <c r="AX234">
        <f t="shared" si="170"/>
        <v>0</v>
      </c>
      <c r="AY234">
        <f t="shared" si="171"/>
        <v>0</v>
      </c>
    </row>
    <row r="235" spans="14:51" x14ac:dyDescent="0.2">
      <c r="N235" s="170">
        <v>17</v>
      </c>
      <c r="O235" s="199">
        <f t="shared" si="172"/>
        <v>1479.1083881682086</v>
      </c>
      <c r="P235" s="189" t="str">
        <f t="shared" si="138"/>
        <v>1757.57575757576</v>
      </c>
      <c r="Q235" s="160" t="str">
        <f t="shared" si="139"/>
        <v>1+535.925863987258i</v>
      </c>
      <c r="R235" s="160">
        <f t="shared" si="147"/>
        <v>535.92679695130846</v>
      </c>
      <c r="S235" s="160">
        <f t="shared" si="148"/>
        <v>1.5689303992354429</v>
      </c>
      <c r="T235" s="160" t="str">
        <f t="shared" si="140"/>
        <v>1+2.60218338583408i</v>
      </c>
      <c r="U235" s="160">
        <f t="shared" si="149"/>
        <v>2.7877156191962831</v>
      </c>
      <c r="V235" s="160">
        <f t="shared" si="150"/>
        <v>1.2039036514425636</v>
      </c>
      <c r="W235" s="98" t="str">
        <f t="shared" si="141"/>
        <v>1-0.00167476832496018i</v>
      </c>
      <c r="X235" s="160">
        <f t="shared" si="151"/>
        <v>1.0000014024234878</v>
      </c>
      <c r="Y235" s="160">
        <f t="shared" si="152"/>
        <v>-1.6747667591387602E-3</v>
      </c>
      <c r="Z235" s="98" t="str">
        <f t="shared" si="142"/>
        <v>0.99912489535042-0.0393702083206565i</v>
      </c>
      <c r="AA235" s="160">
        <f t="shared" si="153"/>
        <v>0.99990027993405406</v>
      </c>
      <c r="AB235" s="160">
        <f t="shared" si="154"/>
        <v>-3.9384315583926729E-2</v>
      </c>
      <c r="AC235" s="171" t="str">
        <f t="shared" si="155"/>
        <v>8.65782658939454-2.93959234927679i</v>
      </c>
      <c r="AD235" s="190">
        <f t="shared" si="156"/>
        <v>19.222019367164659</v>
      </c>
      <c r="AE235" s="169">
        <f t="shared" si="157"/>
        <v>-18.75389406291546</v>
      </c>
      <c r="AF235" s="98" t="str">
        <f t="shared" si="143"/>
        <v>-0.0000114342530449913</v>
      </c>
      <c r="AG235" s="98" t="str">
        <f t="shared" si="144"/>
        <v>0.00111568612667636i</v>
      </c>
      <c r="AH235" s="98">
        <f t="shared" si="158"/>
        <v>1.11568612667636E-3</v>
      </c>
      <c r="AI235" s="98">
        <f t="shared" si="159"/>
        <v>1.5707963267948966</v>
      </c>
      <c r="AJ235" s="98" t="str">
        <f t="shared" si="145"/>
        <v>1+0.0102186055491789i</v>
      </c>
      <c r="AK235" s="98">
        <f t="shared" si="160"/>
        <v>1.0000522085868164</v>
      </c>
      <c r="AL235" s="98">
        <f t="shared" si="161"/>
        <v>1.0218249896206602E-2</v>
      </c>
      <c r="AM235" s="98" t="str">
        <f t="shared" si="146"/>
        <v>1+24.5348719235785i</v>
      </c>
      <c r="AN235" s="98">
        <f t="shared" si="162"/>
        <v>24.555242623651687</v>
      </c>
      <c r="AO235" s="98">
        <f t="shared" si="163"/>
        <v>1.5300605606699298</v>
      </c>
      <c r="AP235" s="168" t="str">
        <f t="shared" si="164"/>
        <v>-0.251317827379807+0.0128167466130306i</v>
      </c>
      <c r="AQ235" s="98">
        <f t="shared" si="165"/>
        <v>-11.984253546321128</v>
      </c>
      <c r="AR235" s="169">
        <f t="shared" si="166"/>
        <v>177.08054993274482</v>
      </c>
      <c r="AS235" s="168" t="str">
        <f t="shared" si="167"/>
        <v>-2.13819015799148+0.849737132218374i</v>
      </c>
      <c r="AT235" s="190">
        <f t="shared" si="168"/>
        <v>7.2377658208435411</v>
      </c>
      <c r="AU235" s="169">
        <f t="shared" si="169"/>
        <v>158.32665586982941</v>
      </c>
      <c r="AV235" s="225"/>
      <c r="AX235">
        <f t="shared" si="170"/>
        <v>0</v>
      </c>
      <c r="AY235">
        <f t="shared" si="171"/>
        <v>0</v>
      </c>
    </row>
    <row r="236" spans="14:51" x14ac:dyDescent="0.2">
      <c r="N236" s="170">
        <v>18</v>
      </c>
      <c r="O236" s="199">
        <f t="shared" si="172"/>
        <v>1513.5612484362093</v>
      </c>
      <c r="P236" s="189" t="str">
        <f t="shared" si="138"/>
        <v>1757.57575757576</v>
      </c>
      <c r="Q236" s="160" t="str">
        <f t="shared" si="139"/>
        <v>1+548.40918100017i</v>
      </c>
      <c r="R236" s="160">
        <f t="shared" si="147"/>
        <v>548.41009272740155</v>
      </c>
      <c r="S236" s="160">
        <f t="shared" si="148"/>
        <v>1.5689728728369452</v>
      </c>
      <c r="T236" s="160" t="str">
        <f t="shared" si="140"/>
        <v>1+2.66279602335342i</v>
      </c>
      <c r="U236" s="160">
        <f t="shared" si="149"/>
        <v>2.8443773768589127</v>
      </c>
      <c r="V236" s="160">
        <f t="shared" si="150"/>
        <v>1.2115478459271516</v>
      </c>
      <c r="W236" s="98" t="str">
        <f t="shared" si="141"/>
        <v>1-0.00171377869062553i</v>
      </c>
      <c r="X236" s="160">
        <f t="shared" si="151"/>
        <v>1.0000014685176219</v>
      </c>
      <c r="Y236" s="160">
        <f t="shared" si="152"/>
        <v>-1.7137770128177832E-3</v>
      </c>
      <c r="Z236" s="98" t="str">
        <f t="shared" si="142"/>
        <v>0.999083652938893-0.0402872582791612i</v>
      </c>
      <c r="AA236" s="160">
        <f t="shared" si="153"/>
        <v>0.99989559892489488</v>
      </c>
      <c r="AB236" s="160">
        <f t="shared" si="154"/>
        <v>-4.0302374264645148E-2</v>
      </c>
      <c r="AC236" s="171" t="str">
        <f t="shared" si="155"/>
        <v>8.65730825621061-2.85776490217155i</v>
      </c>
      <c r="AD236" s="190">
        <f t="shared" si="156"/>
        <v>19.196836232291719</v>
      </c>
      <c r="AE236" s="169">
        <f t="shared" si="157"/>
        <v>-18.267981774421241</v>
      </c>
      <c r="AF236" s="98" t="str">
        <f t="shared" si="143"/>
        <v>-0.0000114342530449913</v>
      </c>
      <c r="AG236" s="98" t="str">
        <f t="shared" si="144"/>
        <v>0.00114167379501278i</v>
      </c>
      <c r="AH236" s="98">
        <f t="shared" si="158"/>
        <v>1.14167379501278E-3</v>
      </c>
      <c r="AI236" s="98">
        <f t="shared" si="159"/>
        <v>1.5707963267948966</v>
      </c>
      <c r="AJ236" s="98" t="str">
        <f t="shared" si="145"/>
        <v>1+0.010456627449356i</v>
      </c>
      <c r="AK236" s="98">
        <f t="shared" si="160"/>
        <v>1.0000546690344556</v>
      </c>
      <c r="AL236" s="98">
        <f t="shared" si="161"/>
        <v>1.0456246361455356E-2</v>
      </c>
      <c r="AM236" s="98" t="str">
        <f t="shared" si="146"/>
        <v>1+25.1063625059036i</v>
      </c>
      <c r="AN236" s="98">
        <f t="shared" si="162"/>
        <v>25.126269883885314</v>
      </c>
      <c r="AO236" s="98">
        <f t="shared" si="163"/>
        <v>1.5309868291595314</v>
      </c>
      <c r="AP236" s="168" t="str">
        <f t="shared" si="164"/>
        <v>-0.251316590740221+0.0126432655543543i</v>
      </c>
      <c r="AQ236" s="98">
        <f t="shared" si="165"/>
        <v>-11.984599103748458</v>
      </c>
      <c r="AR236" s="169">
        <f t="shared" si="166"/>
        <v>177.11998501489714</v>
      </c>
      <c r="AS236" s="168" t="str">
        <f t="shared" si="167"/>
        <v>-2.13959371538795+0.82766037961999i</v>
      </c>
      <c r="AT236" s="190">
        <f t="shared" si="168"/>
        <v>7.2122371285432578</v>
      </c>
      <c r="AU236" s="169">
        <f t="shared" si="169"/>
        <v>158.85200324047588</v>
      </c>
      <c r="AV236" s="225"/>
      <c r="AX236">
        <f t="shared" si="170"/>
        <v>0</v>
      </c>
      <c r="AY236">
        <f t="shared" si="171"/>
        <v>0</v>
      </c>
    </row>
    <row r="237" spans="14:51" x14ac:dyDescent="0.2">
      <c r="N237" s="170">
        <v>19</v>
      </c>
      <c r="O237" s="199">
        <f t="shared" si="172"/>
        <v>1548.8166189124822</v>
      </c>
      <c r="P237" s="189" t="str">
        <f t="shared" si="138"/>
        <v>1757.57575757576</v>
      </c>
      <c r="Q237" s="160" t="str">
        <f t="shared" si="139"/>
        <v>1+561.183271819901i</v>
      </c>
      <c r="R237" s="160">
        <f t="shared" si="147"/>
        <v>561.18416279372047</v>
      </c>
      <c r="S237" s="160">
        <f t="shared" si="148"/>
        <v>1.5690143796275986</v>
      </c>
      <c r="T237" s="160" t="str">
        <f t="shared" si="140"/>
        <v>1+2.72482051057061i</v>
      </c>
      <c r="U237" s="160">
        <f t="shared" si="149"/>
        <v>2.9025242143393535</v>
      </c>
      <c r="V237" s="160">
        <f t="shared" si="150"/>
        <v>1.2190606869792138</v>
      </c>
      <c r="W237" s="98" t="str">
        <f t="shared" si="141"/>
        <v>1-0.00175369772443719i</v>
      </c>
      <c r="X237" s="160">
        <f t="shared" si="151"/>
        <v>1.000001537726672</v>
      </c>
      <c r="Y237" s="160">
        <f t="shared" si="152"/>
        <v>-1.7536959266339482E-3</v>
      </c>
      <c r="Z237" s="98" t="str">
        <f t="shared" si="142"/>
        <v>0.999040466832392-0.0412256690752705i</v>
      </c>
      <c r="AA237" s="160">
        <f t="shared" si="153"/>
        <v>0.99989069910635098</v>
      </c>
      <c r="AB237" s="160">
        <f t="shared" si="154"/>
        <v>-4.1241865899273936E-2</v>
      </c>
      <c r="AC237" s="171" t="str">
        <f t="shared" si="155"/>
        <v>8.65679070873306-2.77745227530339i</v>
      </c>
      <c r="AD237" s="190">
        <f t="shared" si="156"/>
        <v>19.172652762583869</v>
      </c>
      <c r="AE237" s="169">
        <f t="shared" si="157"/>
        <v>-17.788364133643363</v>
      </c>
      <c r="AF237" s="98" t="str">
        <f t="shared" si="143"/>
        <v>-0.0000114342530449913</v>
      </c>
      <c r="AG237" s="98" t="str">
        <f t="shared" si="144"/>
        <v>0.00116826679390715i</v>
      </c>
      <c r="AH237" s="98">
        <f t="shared" si="158"/>
        <v>1.1682667939071499E-3</v>
      </c>
      <c r="AI237" s="98">
        <f t="shared" si="159"/>
        <v>1.5707963267948966</v>
      </c>
      <c r="AJ237" s="98" t="str">
        <f t="shared" si="145"/>
        <v>1+0.0107001935918165i</v>
      </c>
      <c r="AK237" s="98">
        <f t="shared" si="160"/>
        <v>1.0000572454329313</v>
      </c>
      <c r="AL237" s="98">
        <f t="shared" si="161"/>
        <v>1.0699785250036384E-2</v>
      </c>
      <c r="AM237" s="98" t="str">
        <f t="shared" si="146"/>
        <v>1+25.6911648139515i</v>
      </c>
      <c r="AN237" s="98">
        <f t="shared" si="162"/>
        <v>25.710619391559192</v>
      </c>
      <c r="AO237" s="98">
        <f t="shared" si="163"/>
        <v>1.5318920792517561</v>
      </c>
      <c r="AP237" s="168" t="str">
        <f t="shared" si="164"/>
        <v>-0.251315295832656+0.0124764869033989i</v>
      </c>
      <c r="AQ237" s="98">
        <f t="shared" si="165"/>
        <v>-11.984931099957423</v>
      </c>
      <c r="AR237" s="169">
        <f t="shared" si="166"/>
        <v>177.15789827412246</v>
      </c>
      <c r="AS237" s="168" t="str">
        <f t="shared" si="167"/>
        <v>-2.140931070989+0.806022576131928i</v>
      </c>
      <c r="AT237" s="190">
        <f t="shared" si="168"/>
        <v>7.1877216626264513</v>
      </c>
      <c r="AU237" s="169">
        <f t="shared" si="169"/>
        <v>159.36953414047909</v>
      </c>
      <c r="AV237" s="225"/>
      <c r="AX237">
        <f t="shared" si="170"/>
        <v>0</v>
      </c>
      <c r="AY237">
        <f t="shared" si="171"/>
        <v>0</v>
      </c>
    </row>
    <row r="238" spans="14:51" x14ac:dyDescent="0.2">
      <c r="N238" s="170">
        <v>20</v>
      </c>
      <c r="O238" s="199">
        <f t="shared" si="172"/>
        <v>1584.8931924611156</v>
      </c>
      <c r="P238" s="189" t="str">
        <f t="shared" si="138"/>
        <v>1757.57575757576</v>
      </c>
      <c r="Q238" s="160" t="str">
        <f t="shared" si="139"/>
        <v>1+574.254909438491i</v>
      </c>
      <c r="R238" s="160">
        <f t="shared" si="147"/>
        <v>574.25578013130132</v>
      </c>
      <c r="S238" s="160">
        <f t="shared" si="148"/>
        <v>1.5690549416142803</v>
      </c>
      <c r="T238" s="160" t="str">
        <f t="shared" si="140"/>
        <v>1+2.78828973368978i</v>
      </c>
      <c r="U238" s="160">
        <f t="shared" si="149"/>
        <v>2.9621883193004162</v>
      </c>
      <c r="V238" s="160">
        <f t="shared" si="150"/>
        <v>1.2264427646504468</v>
      </c>
      <c r="W238" s="98" t="str">
        <f t="shared" si="141"/>
        <v>1-0.00179454659199528i</v>
      </c>
      <c r="X238" s="160">
        <f t="shared" si="151"/>
        <v>1.0000016101974392</v>
      </c>
      <c r="Y238" s="160">
        <f t="shared" si="152"/>
        <v>-1.7945446656145668E-3</v>
      </c>
      <c r="Z238" s="98" t="str">
        <f t="shared" si="142"/>
        <v>0.998995245427396-0.0421859382668097i</v>
      </c>
      <c r="AA238" s="160">
        <f t="shared" si="153"/>
        <v>0.99988557033992365</v>
      </c>
      <c r="AB238" s="160">
        <f t="shared" si="154"/>
        <v>-4.2203293200070595E-2</v>
      </c>
      <c r="AC238" s="171" t="str">
        <f t="shared" si="155"/>
        <v>8.65627284402943-2.69861186331091i</v>
      </c>
      <c r="AD238" s="190">
        <f t="shared" si="156"/>
        <v>19.149434836311318</v>
      </c>
      <c r="AE238" s="169">
        <f t="shared" si="157"/>
        <v>-17.314981003387178</v>
      </c>
      <c r="AF238" s="98" t="str">
        <f t="shared" si="143"/>
        <v>-0.0000114342530449913</v>
      </c>
      <c r="AG238" s="98" t="str">
        <f t="shared" si="144"/>
        <v>0.00119547922331949i</v>
      </c>
      <c r="AH238" s="98">
        <f t="shared" si="158"/>
        <v>1.19547922331949E-3</v>
      </c>
      <c r="AI238" s="98">
        <f t="shared" si="159"/>
        <v>1.5707963267948966</v>
      </c>
      <c r="AJ238" s="98" t="str">
        <f t="shared" si="145"/>
        <v>1+0.0109494331185533i</v>
      </c>
      <c r="AK238" s="98">
        <f t="shared" si="160"/>
        <v>1.0000599432462125</v>
      </c>
      <c r="AL238" s="98">
        <f t="shared" si="161"/>
        <v>1.0948995573869216E-2</v>
      </c>
      <c r="AM238" s="98" t="str">
        <f t="shared" si="146"/>
        <v>1+26.2895889176465i</v>
      </c>
      <c r="AN238" s="98">
        <f t="shared" si="162"/>
        <v>26.308600978745371</v>
      </c>
      <c r="AO238" s="98">
        <f t="shared" si="163"/>
        <v>1.5327767849841414</v>
      </c>
      <c r="AP238" s="168" t="str">
        <f t="shared" si="164"/>
        <v>-0.251313939912278+0.0123163221447519i</v>
      </c>
      <c r="AQ238" s="98">
        <f t="shared" si="165"/>
        <v>-11.985250236091137</v>
      </c>
      <c r="AR238" s="169">
        <f t="shared" si="166"/>
        <v>177.19430947893244</v>
      </c>
      <c r="AS238" s="168" t="str">
        <f t="shared" si="167"/>
        <v>-2.14220506033651+0.784812224582613i</v>
      </c>
      <c r="AT238" s="190">
        <f t="shared" si="168"/>
        <v>7.1641846002201826</v>
      </c>
      <c r="AU238" s="169">
        <f t="shared" si="169"/>
        <v>159.87932847554526</v>
      </c>
      <c r="AV238" s="225"/>
      <c r="AX238">
        <f t="shared" si="170"/>
        <v>0</v>
      </c>
      <c r="AY238">
        <f t="shared" si="171"/>
        <v>0</v>
      </c>
    </row>
    <row r="239" spans="14:51" x14ac:dyDescent="0.2">
      <c r="N239" s="170">
        <v>21</v>
      </c>
      <c r="O239" s="199">
        <f t="shared" si="172"/>
        <v>1621.8100973589308</v>
      </c>
      <c r="P239" s="189" t="str">
        <f t="shared" si="138"/>
        <v>1757.57575757576</v>
      </c>
      <c r="Q239" s="160" t="str">
        <f t="shared" si="139"/>
        <v>1+587.631024611225i</v>
      </c>
      <c r="R239" s="160">
        <f t="shared" si="147"/>
        <v>587.63187548467624</v>
      </c>
      <c r="S239" s="160">
        <f t="shared" si="148"/>
        <v>1.5690945803029586</v>
      </c>
      <c r="T239" s="160" t="str">
        <f t="shared" si="140"/>
        <v>1+2.85323734493311i</v>
      </c>
      <c r="U239" s="160">
        <f t="shared" si="149"/>
        <v>3.023402610722056</v>
      </c>
      <c r="V239" s="160">
        <f t="shared" si="150"/>
        <v>1.233694773749922</v>
      </c>
      <c r="W239" s="98" t="str">
        <f t="shared" si="141"/>
        <v>1-0.00183634695191007i</v>
      </c>
      <c r="X239" s="160">
        <f t="shared" si="151"/>
        <v>1.0000016860836425</v>
      </c>
      <c r="Y239" s="160">
        <f t="shared" si="152"/>
        <v>-1.8363448877561346E-3</v>
      </c>
      <c r="Z239" s="98" t="str">
        <f t="shared" si="142"/>
        <v>0.998947892803242-0.0431685750012148i</v>
      </c>
      <c r="AA239" s="160">
        <f t="shared" si="153"/>
        <v>0.99988020202605921</v>
      </c>
      <c r="AB239" s="160">
        <f t="shared" si="154"/>
        <v>-4.3187170837144156E-2</v>
      </c>
      <c r="AC239" s="171" t="str">
        <f t="shared" si="155"/>
        <v>8.65575355799633-2.62120183941351i</v>
      </c>
      <c r="AD239" s="190">
        <f t="shared" si="156"/>
        <v>19.127149095972207</v>
      </c>
      <c r="AE239" s="169">
        <f t="shared" si="157"/>
        <v>-16.847765558713231</v>
      </c>
      <c r="AF239" s="98" t="str">
        <f t="shared" si="143"/>
        <v>-0.0000114342530449913</v>
      </c>
      <c r="AG239" s="98" t="str">
        <f t="shared" si="144"/>
        <v>0.00122332551164007i</v>
      </c>
      <c r="AH239" s="98">
        <f t="shared" si="158"/>
        <v>1.2233255116400701E-3</v>
      </c>
      <c r="AI239" s="98">
        <f t="shared" si="159"/>
        <v>1.5707963267948966</v>
      </c>
      <c r="AJ239" s="98" t="str">
        <f t="shared" si="145"/>
        <v>1+0.0112044781796624i</v>
      </c>
      <c r="AK239" s="98">
        <f t="shared" si="160"/>
        <v>1.0000627681957162</v>
      </c>
      <c r="AL239" s="98">
        <f t="shared" si="161"/>
        <v>1.1204009343675762E-2</v>
      </c>
      <c r="AM239" s="98" t="str">
        <f t="shared" si="146"/>
        <v>1+26.9019521093693i</v>
      </c>
      <c r="AN239" s="98">
        <f t="shared" si="162"/>
        <v>26.920531705276542</v>
      </c>
      <c r="AO239" s="98">
        <f t="shared" si="163"/>
        <v>1.5336414098965123</v>
      </c>
      <c r="AP239" s="168" t="str">
        <f t="shared" si="164"/>
        <v>-0.251312520105022+0.0121626862635431i</v>
      </c>
      <c r="AQ239" s="98">
        <f t="shared" si="165"/>
        <v>-11.985557186280806</v>
      </c>
      <c r="AR239" s="169">
        <f t="shared" si="166"/>
        <v>177.22923762454553</v>
      </c>
      <c r="AS239" s="168" t="str">
        <f t="shared" si="167"/>
        <v>-2.14341838446186+0.764018054867385i</v>
      </c>
      <c r="AT239" s="190">
        <f t="shared" si="168"/>
        <v>7.1415919096914013</v>
      </c>
      <c r="AU239" s="169">
        <f t="shared" si="169"/>
        <v>160.38147206583227</v>
      </c>
      <c r="AV239" s="225"/>
      <c r="AX239">
        <f t="shared" si="170"/>
        <v>0</v>
      </c>
      <c r="AY239">
        <f t="shared" si="171"/>
        <v>0</v>
      </c>
    </row>
    <row r="240" spans="14:51" x14ac:dyDescent="0.2">
      <c r="N240" s="170">
        <v>22</v>
      </c>
      <c r="O240" s="199">
        <f t="shared" si="172"/>
        <v>1659.5869074375626</v>
      </c>
      <c r="P240" s="189" t="str">
        <f t="shared" si="138"/>
        <v>1757.57575757576</v>
      </c>
      <c r="Q240" s="160" t="str">
        <f t="shared" si="139"/>
        <v>1+601.318709531428i</v>
      </c>
      <c r="R240" s="160">
        <f t="shared" si="147"/>
        <v>601.31954103666203</v>
      </c>
      <c r="S240" s="160">
        <f t="shared" si="148"/>
        <v>1.5691333167100923</v>
      </c>
      <c r="T240" s="160" t="str">
        <f t="shared" si="140"/>
        <v>1+2.9196977803838i</v>
      </c>
      <c r="U240" s="160">
        <f t="shared" si="149"/>
        <v>3.0862007596360432</v>
      </c>
      <c r="V240" s="160">
        <f t="shared" si="150"/>
        <v>1.2408175072786209</v>
      </c>
      <c r="W240" s="98" t="str">
        <f t="shared" si="141"/>
        <v>1-0.00187912096728571i</v>
      </c>
      <c r="X240" s="160">
        <f t="shared" si="151"/>
        <v>1.0000017655462463</v>
      </c>
      <c r="Y240" s="160">
        <f t="shared" si="152"/>
        <v>-1.8791187555051302E-3</v>
      </c>
      <c r="Z240" s="98" t="str">
        <f t="shared" si="142"/>
        <v>0.998898308518665-0.0441741002854893i</v>
      </c>
      <c r="AA240" s="160">
        <f t="shared" si="153"/>
        <v>0.99987458308403987</v>
      </c>
      <c r="AB240" s="160">
        <f t="shared" si="154"/>
        <v>-4.4194025734699292E-2</v>
      </c>
      <c r="AC240" s="171" t="str">
        <f t="shared" si="155"/>
        <v>8.65523174296974-2.54518113312086i</v>
      </c>
      <c r="AD240" s="190">
        <f t="shared" si="156"/>
        <v>19.105762965075325</v>
      </c>
      <c r="AE240" s="169">
        <f t="shared" si="157"/>
        <v>-16.386644647448225</v>
      </c>
      <c r="AF240" s="98" t="str">
        <f t="shared" si="143"/>
        <v>-0.0000114342530449913</v>
      </c>
      <c r="AG240" s="98" t="str">
        <f t="shared" si="144"/>
        <v>0.00125182042333956i</v>
      </c>
      <c r="AH240" s="98">
        <f t="shared" si="158"/>
        <v>1.2518204233395601E-3</v>
      </c>
      <c r="AI240" s="98">
        <f t="shared" si="159"/>
        <v>1.5707963267948966</v>
      </c>
      <c r="AJ240" s="98" t="str">
        <f t="shared" si="145"/>
        <v>1+0.0114654640034111i</v>
      </c>
      <c r="AK240" s="98">
        <f t="shared" si="160"/>
        <v>1.0000657262724353</v>
      </c>
      <c r="AL240" s="98">
        <f t="shared" si="161"/>
        <v>1.1464961638383597E-2</v>
      </c>
      <c r="AM240" s="98" t="str">
        <f t="shared" si="146"/>
        <v>1+27.5285790721901i</v>
      </c>
      <c r="AN240" s="98">
        <f t="shared" si="162"/>
        <v>27.546736026865737</v>
      </c>
      <c r="AO240" s="98">
        <f t="shared" si="163"/>
        <v>1.5344864072505071</v>
      </c>
      <c r="AP240" s="168" t="str">
        <f t="shared" si="164"/>
        <v>-0.251311033401505+0.0120154976999222i</v>
      </c>
      <c r="AQ240" s="98">
        <f t="shared" si="165"/>
        <v>-11.98585259905226</v>
      </c>
      <c r="AR240" s="169">
        <f t="shared" si="166"/>
        <v>177.26270094148813</v>
      </c>
      <c r="AS240" s="168" t="str">
        <f t="shared" si="167"/>
        <v>-2.14457361560434+0.743629017858563i</v>
      </c>
      <c r="AT240" s="190">
        <f t="shared" si="168"/>
        <v>7.1199103660230803</v>
      </c>
      <c r="AU240" s="169">
        <f t="shared" si="169"/>
        <v>160.87605629403993</v>
      </c>
      <c r="AV240" s="225"/>
      <c r="AX240">
        <f t="shared" si="170"/>
        <v>0</v>
      </c>
      <c r="AY240">
        <f t="shared" si="171"/>
        <v>0</v>
      </c>
    </row>
    <row r="241" spans="14:51" x14ac:dyDescent="0.2">
      <c r="N241" s="170">
        <v>23</v>
      </c>
      <c r="O241" s="199">
        <f t="shared" si="172"/>
        <v>1698.2436524617447</v>
      </c>
      <c r="P241" s="189" t="str">
        <f t="shared" si="138"/>
        <v>1757.57575757576</v>
      </c>
      <c r="Q241" s="160" t="str">
        <f t="shared" si="139"/>
        <v>1+615.325221590814i</v>
      </c>
      <c r="R241" s="160">
        <f t="shared" si="147"/>
        <v>615.32603416870336</v>
      </c>
      <c r="S241" s="160">
        <f t="shared" si="148"/>
        <v>1.5691711713737717</v>
      </c>
      <c r="T241" s="160" t="str">
        <f t="shared" si="140"/>
        <v>1+2.98770627824441i</v>
      </c>
      <c r="U241" s="160">
        <f t="shared" si="149"/>
        <v>3.150617210176613</v>
      </c>
      <c r="V241" s="160">
        <f t="shared" si="150"/>
        <v>1.2478118499970277</v>
      </c>
      <c r="W241" s="98" t="str">
        <f t="shared" si="141"/>
        <v>1-0.00192289131747129i</v>
      </c>
      <c r="X241" s="160">
        <f t="shared" si="151"/>
        <v>1.0000018487538005</v>
      </c>
      <c r="Y241" s="160">
        <f t="shared" si="152"/>
        <v>-1.9228889475059363E-3</v>
      </c>
      <c r="Z241" s="98" t="str">
        <f t="shared" si="142"/>
        <v>0.998846387398749-0.0452030472624483i</v>
      </c>
      <c r="AA241" s="160">
        <f t="shared" si="153"/>
        <v>0.99986870193108002</v>
      </c>
      <c r="AB241" s="160">
        <f t="shared" si="154"/>
        <v>-4.5224397375441754E-2</v>
      </c>
      <c r="AC241" s="171" t="str">
        <f t="shared" si="155"/>
        <v>8.65470628532312-2.47050940833392i</v>
      </c>
      <c r="AD241" s="190">
        <f t="shared" si="156"/>
        <v>19.085244661559912</v>
      </c>
      <c r="AE241" s="169">
        <f t="shared" si="157"/>
        <v>-15.93153914260485</v>
      </c>
      <c r="AF241" s="98" t="str">
        <f t="shared" si="143"/>
        <v>-0.0000114342530449913</v>
      </c>
      <c r="AG241" s="98" t="str">
        <f t="shared" si="144"/>
        <v>0.00128097906679729i</v>
      </c>
      <c r="AH241" s="98">
        <f t="shared" si="158"/>
        <v>1.2809790667972899E-3</v>
      </c>
      <c r="AI241" s="98">
        <f t="shared" si="159"/>
        <v>1.5707963267948966</v>
      </c>
      <c r="AJ241" s="98" t="str">
        <f t="shared" si="145"/>
        <v>1+0.0117325289679378i</v>
      </c>
      <c r="AK241" s="98">
        <f t="shared" si="160"/>
        <v>1.0000688237496376</v>
      </c>
      <c r="AL241" s="98">
        <f t="shared" si="161"/>
        <v>1.1731990676113285E-2</v>
      </c>
      <c r="AM241" s="98" t="str">
        <f t="shared" si="146"/>
        <v>1+28.1698020520187i</v>
      </c>
      <c r="AN241" s="98">
        <f t="shared" si="162"/>
        <v>28.187545967145081</v>
      </c>
      <c r="AO241" s="98">
        <f t="shared" si="163"/>
        <v>1.5353122202453879</v>
      </c>
      <c r="AP241" s="168" t="str">
        <f t="shared" si="164"/>
        <v>-0.251309476650665+0.0118746783053386i</v>
      </c>
      <c r="AQ241" s="98">
        <f t="shared" si="165"/>
        <v>-11.986137098679849</v>
      </c>
      <c r="AR241" s="169">
        <f t="shared" si="166"/>
        <v>177.29471690389252</v>
      </c>
      <c r="AS241" s="168" t="str">
        <f t="shared" si="167"/>
        <v>-2.1456732026555+0.723634279434346i</v>
      </c>
      <c r="AT241" s="190">
        <f t="shared" si="168"/>
        <v>7.0991075628800724</v>
      </c>
      <c r="AU241" s="169">
        <f t="shared" si="169"/>
        <v>161.36317776128769</v>
      </c>
      <c r="AV241" s="225"/>
      <c r="AX241">
        <f t="shared" si="170"/>
        <v>0</v>
      </c>
      <c r="AY241">
        <f t="shared" si="171"/>
        <v>0</v>
      </c>
    </row>
    <row r="242" spans="14:51" x14ac:dyDescent="0.2">
      <c r="N242" s="170">
        <v>24</v>
      </c>
      <c r="O242" s="199">
        <f t="shared" si="172"/>
        <v>1737.8008287493772</v>
      </c>
      <c r="P242" s="189" t="str">
        <f t="shared" si="138"/>
        <v>1757.57575757576</v>
      </c>
      <c r="Q242" s="160" t="str">
        <f t="shared" si="139"/>
        <v>1+629.657987227485i</v>
      </c>
      <c r="R242" s="160">
        <f t="shared" si="147"/>
        <v>629.65878130886711</v>
      </c>
      <c r="S242" s="160">
        <f t="shared" si="148"/>
        <v>1.569208164364607</v>
      </c>
      <c r="T242" s="160" t="str">
        <f t="shared" si="140"/>
        <v>1+3.05729889752073i</v>
      </c>
      <c r="U242" s="160">
        <f t="shared" si="149"/>
        <v>3.2166872009540297</v>
      </c>
      <c r="V242" s="160">
        <f t="shared" si="150"/>
        <v>1.2546787721432184</v>
      </c>
      <c r="W242" s="98" t="str">
        <f t="shared" si="141"/>
        <v>1-0.00196768121008588i</v>
      </c>
      <c r="X242" s="160">
        <f t="shared" si="151"/>
        <v>1.0000019358827985</v>
      </c>
      <c r="Y242" s="160">
        <f t="shared" si="152"/>
        <v>-1.9676786706225163E-3</v>
      </c>
      <c r="Z242" s="98" t="str">
        <f t="shared" si="142"/>
        <v>0.998792019311839-0.0462559614933993i</v>
      </c>
      <c r="AA242" s="160">
        <f t="shared" si="153"/>
        <v>0.99986254646061212</v>
      </c>
      <c r="AB242" s="160">
        <f t="shared" si="154"/>
        <v>-4.6278838113427659E-2</v>
      </c>
      <c r="AC242" s="171" t="str">
        <f t="shared" si="155"/>
        <v>8.65417606304759-2.39714704182489i</v>
      </c>
      <c r="AD242" s="190">
        <f t="shared" si="156"/>
        <v>19.065563208058897</v>
      </c>
      <c r="AE242" s="169">
        <f t="shared" si="157"/>
        <v>-15.48236428569642</v>
      </c>
      <c r="AF242" s="98" t="str">
        <f t="shared" si="143"/>
        <v>-0.0000114342530449913</v>
      </c>
      <c r="AG242" s="98" t="str">
        <f t="shared" si="144"/>
        <v>0.00131081690231201i</v>
      </c>
      <c r="AH242" s="98">
        <f t="shared" si="158"/>
        <v>1.3108169023120101E-3</v>
      </c>
      <c r="AI242" s="98">
        <f t="shared" si="159"/>
        <v>1.5707963267948966</v>
      </c>
      <c r="AJ242" s="98" t="str">
        <f t="shared" si="145"/>
        <v>1+0.0120058146746218i</v>
      </c>
      <c r="AK242" s="98">
        <f t="shared" si="160"/>
        <v>1.0000720671961603</v>
      </c>
      <c r="AL242" s="98">
        <f t="shared" si="161"/>
        <v>1.2005237886784818E-2</v>
      </c>
      <c r="AM242" s="98" t="str">
        <f t="shared" si="146"/>
        <v>1+28.8259610337668i</v>
      </c>
      <c r="AN242" s="98">
        <f t="shared" si="162"/>
        <v>28.843301293718824</v>
      </c>
      <c r="AO242" s="98">
        <f t="shared" si="163"/>
        <v>1.5361192822301446</v>
      </c>
      <c r="AP242" s="168" t="str">
        <f t="shared" si="164"/>
        <v>-0.251307846553089+0.0117401533005937i</v>
      </c>
      <c r="AQ242" s="98">
        <f t="shared" si="165"/>
        <v>-11.986411286491176</v>
      </c>
      <c r="AR242" s="169">
        <f t="shared" si="166"/>
        <v>177.32530223748932</v>
      </c>
      <c r="AS242" s="168" t="str">
        <f t="shared" si="167"/>
        <v>-2.14671947634069+0.704023214622628i</v>
      </c>
      <c r="AT242" s="190">
        <f t="shared" si="168"/>
        <v>7.0791519215677168</v>
      </c>
      <c r="AU242" s="169">
        <f t="shared" si="169"/>
        <v>161.84293795179289</v>
      </c>
      <c r="AV242" s="225"/>
      <c r="AX242">
        <f t="shared" si="170"/>
        <v>0</v>
      </c>
      <c r="AY242">
        <f t="shared" si="171"/>
        <v>0</v>
      </c>
    </row>
    <row r="243" spans="14:51" x14ac:dyDescent="0.2">
      <c r="N243" s="170">
        <v>25</v>
      </c>
      <c r="O243" s="199">
        <f t="shared" si="172"/>
        <v>1778.2794100389244</v>
      </c>
      <c r="P243" s="189" t="str">
        <f t="shared" si="138"/>
        <v>1757.57575757576</v>
      </c>
      <c r="Q243" s="160" t="str">
        <f t="shared" si="139"/>
        <v>1+644.324605863492i</v>
      </c>
      <c r="R243" s="160">
        <f t="shared" si="147"/>
        <v>644.32538186939701</v>
      </c>
      <c r="S243" s="160">
        <f t="shared" si="148"/>
        <v>1.5692443152963655</v>
      </c>
      <c r="T243" s="160" t="str">
        <f t="shared" si="140"/>
        <v>1+3.12851253714065i</v>
      </c>
      <c r="U243" s="160">
        <f t="shared" si="149"/>
        <v>3.2844467867581941</v>
      </c>
      <c r="V243" s="160">
        <f t="shared" si="150"/>
        <v>1.2614193233163333</v>
      </c>
      <c r="W243" s="98" t="str">
        <f t="shared" si="141"/>
        <v>1-0.00201351439332341i</v>
      </c>
      <c r="X243" s="160">
        <f t="shared" si="151"/>
        <v>1.0000020271180514</v>
      </c>
      <c r="Y243" s="160">
        <f t="shared" si="152"/>
        <v>-2.0135116722396888E-3</v>
      </c>
      <c r="Z243" s="98" t="str">
        <f t="shared" si="142"/>
        <v>0.998735088935933-0.0473334012474041i</v>
      </c>
      <c r="AA243" s="160">
        <f t="shared" si="153"/>
        <v>0.99985610401973024</v>
      </c>
      <c r="AB243" s="160">
        <f t="shared" si="154"/>
        <v>-4.7357913495644388E-2</v>
      </c>
      <c r="AC243" s="171" t="str">
        <f t="shared" si="155"/>
        <v>8.65363994330913-2.3250551020848i</v>
      </c>
      <c r="AD243" s="190">
        <f t="shared" si="156"/>
        <v>19.046688439213423</v>
      </c>
      <c r="AE243" s="169">
        <f t="shared" si="157"/>
        <v>-15.039030020077901</v>
      </c>
      <c r="AF243" s="98" t="str">
        <f t="shared" si="143"/>
        <v>-0.0000114342530449913</v>
      </c>
      <c r="AG243" s="98" t="str">
        <f t="shared" si="144"/>
        <v>0.00134134975029905i</v>
      </c>
      <c r="AH243" s="98">
        <f t="shared" si="158"/>
        <v>1.34134975029905E-3</v>
      </c>
      <c r="AI243" s="98">
        <f t="shared" si="159"/>
        <v>1.5707963267948966</v>
      </c>
      <c r="AJ243" s="98" t="str">
        <f t="shared" si="145"/>
        <v>1+0.0122854660231619i</v>
      </c>
      <c r="AK243" s="98">
        <f t="shared" si="160"/>
        <v>1.0000754634903339</v>
      </c>
      <c r="AL243" s="98">
        <f t="shared" si="161"/>
        <v>1.2284847986378272E-2</v>
      </c>
      <c r="AM243" s="98" t="str">
        <f t="shared" si="146"/>
        <v>1+29.4974039216118i</v>
      </c>
      <c r="AN243" s="98">
        <f t="shared" si="162"/>
        <v>29.514349698319954</v>
      </c>
      <c r="AO243" s="98">
        <f t="shared" si="163"/>
        <v>1.5369080169118892</v>
      </c>
      <c r="AP243" s="168" t="str">
        <f t="shared" si="164"/>
        <v>-0.251306139654047+0.0116118512356449i</v>
      </c>
      <c r="AQ243" s="98">
        <f t="shared" si="165"/>
        <v>-11.986675742124211</v>
      </c>
      <c r="AR243" s="169">
        <f t="shared" si="166"/>
        <v>177.35447292729293</v>
      </c>
      <c r="AS243" s="168" t="str">
        <f t="shared" si="167"/>
        <v>-2.147714654149+0.684785401856417i</v>
      </c>
      <c r="AT243" s="190">
        <f t="shared" si="168"/>
        <v>7.0600126970892196</v>
      </c>
      <c r="AU243" s="169">
        <f t="shared" si="169"/>
        <v>162.31544290721507</v>
      </c>
      <c r="AV243" s="225"/>
      <c r="AX243">
        <f t="shared" si="170"/>
        <v>0</v>
      </c>
      <c r="AY243">
        <f t="shared" si="171"/>
        <v>0</v>
      </c>
    </row>
    <row r="244" spans="14:51" x14ac:dyDescent="0.2">
      <c r="N244" s="170">
        <v>26</v>
      </c>
      <c r="O244" s="199">
        <f t="shared" si="172"/>
        <v>1819.7008586099832</v>
      </c>
      <c r="P244" s="189" t="str">
        <f t="shared" si="138"/>
        <v>1757.57575757576</v>
      </c>
      <c r="Q244" s="160" t="str">
        <f t="shared" si="139"/>
        <v>1+659.332853934166i</v>
      </c>
      <c r="R244" s="160">
        <f t="shared" si="147"/>
        <v>659.33361227604064</v>
      </c>
      <c r="S244" s="160">
        <f t="shared" si="148"/>
        <v>1.5692796433363723</v>
      </c>
      <c r="T244" s="160" t="str">
        <f t="shared" si="140"/>
        <v>1+3.20138495551849i</v>
      </c>
      <c r="U244" s="160">
        <f t="shared" si="149"/>
        <v>3.3539328606011365</v>
      </c>
      <c r="V244" s="160">
        <f t="shared" si="150"/>
        <v>1.2680346265380675</v>
      </c>
      <c r="W244" s="98" t="str">
        <f t="shared" si="141"/>
        <v>1-0.00206041516854426i</v>
      </c>
      <c r="X244" s="160">
        <f t="shared" si="151"/>
        <v>1.0000021226530806</v>
      </c>
      <c r="Y244" s="160">
        <f t="shared" si="152"/>
        <v>-2.0604122528508559E-3</v>
      </c>
      <c r="Z244" s="98" t="str">
        <f t="shared" si="142"/>
        <v>0.99867547551407-0.0484359377972814i</v>
      </c>
      <c r="AA244" s="160">
        <f t="shared" si="153"/>
        <v>0.99984936138578195</v>
      </c>
      <c r="AB244" s="160">
        <f t="shared" si="154"/>
        <v>-4.8462202592634722E-2</v>
      </c>
      <c r="AC244" s="171" t="str">
        <f t="shared" si="155"/>
        <v>8.6530967799764-2.25419532852597i</v>
      </c>
      <c r="AD244" s="190">
        <f t="shared" si="156"/>
        <v>19.028591006243097</v>
      </c>
      <c r="AE244" s="169">
        <f t="shared" si="157"/>
        <v>-14.601441313569861</v>
      </c>
      <c r="AF244" s="98" t="str">
        <f t="shared" si="143"/>
        <v>-0.0000114342530449913</v>
      </c>
      <c r="AG244" s="98" t="str">
        <f t="shared" si="144"/>
        <v>0.00137259379967855i</v>
      </c>
      <c r="AH244" s="98">
        <f t="shared" si="158"/>
        <v>1.37259379967855E-3</v>
      </c>
      <c r="AI244" s="98">
        <f t="shared" si="159"/>
        <v>1.5707963267948966</v>
      </c>
      <c r="AJ244" s="98" t="str">
        <f t="shared" si="145"/>
        <v>1+0.0125716312884048i</v>
      </c>
      <c r="AK244" s="98">
        <f t="shared" si="160"/>
        <v>1.0000790198345586</v>
      </c>
      <c r="AL244" s="98">
        <f t="shared" si="161"/>
        <v>1.2570969052885824E-2</v>
      </c>
      <c r="AM244" s="98" t="str">
        <f t="shared" si="146"/>
        <v>1+30.18448672346i</v>
      </c>
      <c r="AN244" s="98">
        <f t="shared" si="162"/>
        <v>30.201046981168268</v>
      </c>
      <c r="AO244" s="98">
        <f t="shared" si="163"/>
        <v>1.5376788385605566</v>
      </c>
      <c r="AP244" s="168" t="str">
        <f t="shared" si="164"/>
        <v>-0.251304352336181+0.0114897039511348i</v>
      </c>
      <c r="AQ244" s="98">
        <f t="shared" si="165"/>
        <v>-11.986931024740553</v>
      </c>
      <c r="AR244" s="169">
        <f t="shared" si="166"/>
        <v>177.38224422497822</v>
      </c>
      <c r="AS244" s="168" t="str">
        <f t="shared" si="167"/>
        <v>-2.14866084502147+0.66591061733691i</v>
      </c>
      <c r="AT244" s="190">
        <f t="shared" si="168"/>
        <v>7.0416599815025567</v>
      </c>
      <c r="AU244" s="169">
        <f t="shared" si="169"/>
        <v>162.78080291140839</v>
      </c>
      <c r="AV244" s="225"/>
      <c r="AX244">
        <f t="shared" si="170"/>
        <v>0</v>
      </c>
      <c r="AY244">
        <f t="shared" si="171"/>
        <v>0</v>
      </c>
    </row>
    <row r="245" spans="14:51" x14ac:dyDescent="0.2">
      <c r="N245" s="170">
        <v>27</v>
      </c>
      <c r="O245" s="199">
        <f t="shared" si="172"/>
        <v>1862.0871366628687</v>
      </c>
      <c r="P245" s="189" t="str">
        <f t="shared" si="138"/>
        <v>1757.57575757576</v>
      </c>
      <c r="Q245" s="160" t="str">
        <f t="shared" si="139"/>
        <v>1+674.690689011301i</v>
      </c>
      <c r="R245" s="160">
        <f t="shared" si="147"/>
        <v>674.69143009122615</v>
      </c>
      <c r="S245" s="160">
        <f t="shared" si="148"/>
        <v>1.5693141672156683</v>
      </c>
      <c r="T245" s="160" t="str">
        <f t="shared" si="140"/>
        <v>1+3.2759547905751i</v>
      </c>
      <c r="U245" s="160">
        <f t="shared" si="149"/>
        <v>3.4251831761078049</v>
      </c>
      <c r="V245" s="160">
        <f t="shared" si="150"/>
        <v>1.2745258725026016</v>
      </c>
      <c r="W245" s="98" t="str">
        <f t="shared" si="141"/>
        <v>1-0.00210840840316031i</v>
      </c>
      <c r="X245" s="160">
        <f t="shared" si="151"/>
        <v>1.000002222690527</v>
      </c>
      <c r="Y245" s="160">
        <f t="shared" si="152"/>
        <v>-2.1084052789389143E-3</v>
      </c>
      <c r="Z245" s="98" t="str">
        <f t="shared" si="142"/>
        <v>0.99861305259819-0.0495641557225045i</v>
      </c>
      <c r="AA245" s="160">
        <f t="shared" si="153"/>
        <v>0.99984230474208269</v>
      </c>
      <c r="AB245" s="160">
        <f t="shared" si="154"/>
        <v>-4.9592298338482659E-2</v>
      </c>
      <c r="AC245" s="171" t="str">
        <f t="shared" si="155"/>
        <v>8.65254541111398-2.18453011102863i</v>
      </c>
      <c r="AD245" s="190">
        <f t="shared" si="156"/>
        <v>19.011242378975503</v>
      </c>
      <c r="AE245" s="169">
        <f t="shared" si="157"/>
        <v>-14.169498469754942</v>
      </c>
      <c r="AF245" s="98" t="str">
        <f t="shared" si="143"/>
        <v>-0.0000114342530449913</v>
      </c>
      <c r="AG245" s="98" t="str">
        <f t="shared" si="144"/>
        <v>0.00140456561645908i</v>
      </c>
      <c r="AH245" s="98">
        <f t="shared" si="158"/>
        <v>1.4045656164590799E-3</v>
      </c>
      <c r="AI245" s="98">
        <f t="shared" si="159"/>
        <v>1.5707963267948966</v>
      </c>
      <c r="AJ245" s="98" t="str">
        <f t="shared" si="145"/>
        <v>1+0.0128644621989621i</v>
      </c>
      <c r="AK245" s="98">
        <f t="shared" si="160"/>
        <v>1.0000827437705684</v>
      </c>
      <c r="AL245" s="98">
        <f t="shared" si="161"/>
        <v>1.2863752603989725E-2</v>
      </c>
      <c r="AM245" s="98" t="str">
        <f t="shared" si="146"/>
        <v>1+30.887573739708i</v>
      </c>
      <c r="AN245" s="98">
        <f t="shared" si="162"/>
        <v>30.903757239628632</v>
      </c>
      <c r="AO245" s="98">
        <f t="shared" si="163"/>
        <v>1.5384321522099267</v>
      </c>
      <c r="AP245" s="168" t="str">
        <f t="shared" si="164"/>
        <v>-0.251302480811868+0.0113736465416227i</v>
      </c>
      <c r="AQ245" s="98">
        <f t="shared" si="165"/>
        <v>-11.987177674196101</v>
      </c>
      <c r="AR245" s="169">
        <f t="shared" si="166"/>
        <v>177.40863065594763</v>
      </c>
      <c r="AS245" s="168" t="str">
        <f t="shared" si="167"/>
        <v>-2.14956005380792+0.64738882950107i</v>
      </c>
      <c r="AT245" s="190">
        <f t="shared" si="168"/>
        <v>7.0240647047794189</v>
      </c>
      <c r="AU245" s="169">
        <f t="shared" si="169"/>
        <v>163.23913218619273</v>
      </c>
      <c r="AV245" s="225"/>
      <c r="AX245">
        <f t="shared" si="170"/>
        <v>0</v>
      </c>
      <c r="AY245">
        <f t="shared" si="171"/>
        <v>0</v>
      </c>
    </row>
    <row r="246" spans="14:51" x14ac:dyDescent="0.2">
      <c r="N246" s="170">
        <v>28</v>
      </c>
      <c r="O246" s="199">
        <f t="shared" si="172"/>
        <v>1905.4607179632501</v>
      </c>
      <c r="P246" s="189" t="str">
        <f t="shared" si="138"/>
        <v>1757.57575757576</v>
      </c>
      <c r="Q246" s="160" t="str">
        <f t="shared" si="139"/>
        <v>1+690.406254022344i</v>
      </c>
      <c r="R246" s="160">
        <f t="shared" si="147"/>
        <v>690.40697823324854</v>
      </c>
      <c r="S246" s="160">
        <f t="shared" si="148"/>
        <v>1.5693479052389423</v>
      </c>
      <c r="T246" s="160" t="str">
        <f t="shared" si="140"/>
        <v>1+3.35226158022409i</v>
      </c>
      <c r="U246" s="160">
        <f t="shared" si="149"/>
        <v>3.4982363702652388</v>
      </c>
      <c r="V246" s="160">
        <f t="shared" si="150"/>
        <v>1.2808943140233457</v>
      </c>
      <c r="W246" s="98" t="str">
        <f t="shared" si="141"/>
        <v>1-0.00215751954381982i</v>
      </c>
      <c r="X246" s="160">
        <f t="shared" si="151"/>
        <v>1.0000023274425824</v>
      </c>
      <c r="Y246" s="160">
        <f t="shared" si="152"/>
        <v>-2.1575161961567015E-3</v>
      </c>
      <c r="Z246" s="98" t="str">
        <f t="shared" si="142"/>
        <v>0.99854768778092-0.0507186532191513i</v>
      </c>
      <c r="AA246" s="160">
        <f t="shared" si="153"/>
        <v>0.99983491965273241</v>
      </c>
      <c r="AB246" s="160">
        <f t="shared" si="154"/>
        <v>-5.0748807880493442E-2</v>
      </c>
      <c r="AC246" s="171" t="str">
        <f t="shared" si="155"/>
        <v>8.65198465643456-2.11602246981944i</v>
      </c>
      <c r="AD246" s="190">
        <f t="shared" si="156"/>
        <v>18.994614845532617</v>
      </c>
      <c r="AE246" s="169">
        <f t="shared" si="157"/>
        <v>-13.743097427443981</v>
      </c>
      <c r="AF246" s="98" t="str">
        <f t="shared" si="143"/>
        <v>-0.0000114342530449913</v>
      </c>
      <c r="AG246" s="98" t="str">
        <f t="shared" si="144"/>
        <v>0.00143728215252107i</v>
      </c>
      <c r="AH246" s="98">
        <f t="shared" si="158"/>
        <v>1.43728215252107E-3</v>
      </c>
      <c r="AI246" s="98">
        <f t="shared" si="159"/>
        <v>1.5707963267948966</v>
      </c>
      <c r="AJ246" s="98" t="str">
        <f t="shared" si="145"/>
        <v>1+0.0131641140176587i</v>
      </c>
      <c r="AK246" s="98">
        <f t="shared" si="160"/>
        <v>1.0000866431954134</v>
      </c>
      <c r="AL246" s="98">
        <f t="shared" si="161"/>
        <v>1.3163353676504582E-2</v>
      </c>
      <c r="AM246" s="98" t="str">
        <f t="shared" si="146"/>
        <v>1+31.6070377563985i</v>
      </c>
      <c r="AN246" s="98">
        <f t="shared" si="162"/>
        <v>31.622853061265683</v>
      </c>
      <c r="AO246" s="98">
        <f t="shared" si="163"/>
        <v>1.5391683538549803</v>
      </c>
      <c r="AP246" s="168" t="str">
        <f t="shared" si="164"/>
        <v>-0.25130052111521+0.0112636173204985i</v>
      </c>
      <c r="AQ246" s="98">
        <f t="shared" si="165"/>
        <v>-11.987416212172556</v>
      </c>
      <c r="AR246" s="169">
        <f t="shared" si="166"/>
        <v>177.43364602608708</v>
      </c>
      <c r="AS246" s="168" t="str">
        <f t="shared" si="167"/>
        <v>-2.15041418550118+0.629210193590023i</v>
      </c>
      <c r="AT246" s="190">
        <f t="shared" si="168"/>
        <v>7.0071986333600425</v>
      </c>
      <c r="AU246" s="169">
        <f t="shared" si="169"/>
        <v>163.69054859864306</v>
      </c>
      <c r="AV246" s="225"/>
      <c r="AX246">
        <f t="shared" si="170"/>
        <v>0</v>
      </c>
      <c r="AY246">
        <f t="shared" si="171"/>
        <v>0</v>
      </c>
    </row>
    <row r="247" spans="14:51" x14ac:dyDescent="0.2">
      <c r="N247" s="170">
        <v>29</v>
      </c>
      <c r="O247" s="199">
        <f t="shared" si="172"/>
        <v>1949.8445997580463</v>
      </c>
      <c r="P247" s="189" t="str">
        <f t="shared" si="138"/>
        <v>1757.57575757576</v>
      </c>
      <c r="Q247" s="160" t="str">
        <f t="shared" si="139"/>
        <v>1+706.487881567866i</v>
      </c>
      <c r="R247" s="160">
        <f t="shared" si="147"/>
        <v>706.48858929373444</v>
      </c>
      <c r="S247" s="160">
        <f t="shared" si="148"/>
        <v>1.5693808752942335</v>
      </c>
      <c r="T247" s="160" t="str">
        <f t="shared" si="140"/>
        <v>1+3.4303457833353i</v>
      </c>
      <c r="U247" s="160">
        <f t="shared" si="149"/>
        <v>3.5731319865415379</v>
      </c>
      <c r="V247" s="160">
        <f t="shared" si="150"/>
        <v>1.2871412606830333</v>
      </c>
      <c r="W247" s="98" t="str">
        <f t="shared" si="141"/>
        <v>1-0.00220777462989958i</v>
      </c>
      <c r="X247" s="160">
        <f t="shared" si="151"/>
        <v>1.0000024371314384</v>
      </c>
      <c r="Y247" s="160">
        <f t="shared" si="152"/>
        <v>-2.2077710428143934E-3</v>
      </c>
      <c r="Z247" s="98" t="str">
        <f t="shared" si="142"/>
        <v>0.998479242414718-0.0519000424170749i</v>
      </c>
      <c r="AA247" s="160">
        <f t="shared" si="153"/>
        <v>0.99982719103651263</v>
      </c>
      <c r="AB247" s="160">
        <f t="shared" si="154"/>
        <v>-5.1932352938923669E-2</v>
      </c>
      <c r="AC247" s="171" t="str">
        <f t="shared" si="155"/>
        <v>8.65141331470434-2.04863603567092i</v>
      </c>
      <c r="AD247" s="190">
        <f t="shared" si="156"/>
        <v>18.978681509867847</v>
      </c>
      <c r="AE247" s="169">
        <f t="shared" si="157"/>
        <v>-13.322130047920988</v>
      </c>
      <c r="AF247" s="98" t="str">
        <f t="shared" si="143"/>
        <v>-0.0000114342530449913</v>
      </c>
      <c r="AG247" s="98" t="str">
        <f t="shared" si="144"/>
        <v>0.00147076075460501i</v>
      </c>
      <c r="AH247" s="98">
        <f t="shared" si="158"/>
        <v>1.47076075460501E-3</v>
      </c>
      <c r="AI247" s="98">
        <f t="shared" si="159"/>
        <v>1.5707963267948966</v>
      </c>
      <c r="AJ247" s="98" t="str">
        <f t="shared" si="145"/>
        <v>1+0.0134707456238549i</v>
      </c>
      <c r="AK247" s="98">
        <f t="shared" si="160"/>
        <v>1.0000907263781935</v>
      </c>
      <c r="AL247" s="98">
        <f t="shared" si="161"/>
        <v>1.3469930907621434E-2</v>
      </c>
      <c r="AM247" s="98" t="str">
        <f t="shared" si="146"/>
        <v>1+32.3432602428756i</v>
      </c>
      <c r="AN247" s="98">
        <f t="shared" si="162"/>
        <v>32.358715721399967</v>
      </c>
      <c r="AO247" s="98">
        <f t="shared" si="163"/>
        <v>1.5398878306456201</v>
      </c>
      <c r="AP247" s="168" t="str">
        <f t="shared" si="164"/>
        <v>-0.25129846909365+0.0111595577865523i</v>
      </c>
      <c r="AQ247" s="98">
        <f t="shared" si="165"/>
        <v>-11.987647143271484</v>
      </c>
      <c r="AR247" s="169">
        <f t="shared" si="166"/>
        <v>177.45730342821057</v>
      </c>
      <c r="AS247" s="168" t="str">
        <f t="shared" si="167"/>
        <v>-2.15122504925794+0.611365046314977i</v>
      </c>
      <c r="AT247" s="190">
        <f t="shared" si="168"/>
        <v>6.9910343665963701</v>
      </c>
      <c r="AU247" s="169">
        <f t="shared" si="169"/>
        <v>164.13517338028961</v>
      </c>
      <c r="AV247" s="225"/>
      <c r="AX247">
        <f t="shared" si="170"/>
        <v>0</v>
      </c>
      <c r="AY247">
        <f t="shared" si="171"/>
        <v>0</v>
      </c>
    </row>
    <row r="248" spans="14:51" x14ac:dyDescent="0.2">
      <c r="N248" s="170">
        <v>30</v>
      </c>
      <c r="O248" s="199">
        <f t="shared" si="172"/>
        <v>1995.2623149688804</v>
      </c>
      <c r="P248" s="189" t="str">
        <f t="shared" si="138"/>
        <v>1757.57575757576</v>
      </c>
      <c r="Q248" s="160" t="str">
        <f t="shared" si="139"/>
        <v>1+722.944098339674i</v>
      </c>
      <c r="R248" s="160">
        <f t="shared" si="147"/>
        <v>722.94478995575048</v>
      </c>
      <c r="S248" s="160">
        <f t="shared" si="148"/>
        <v>1.5694130948624143</v>
      </c>
      <c r="T248" s="160" t="str">
        <f t="shared" si="140"/>
        <v>1+3.51024880118685i</v>
      </c>
      <c r="U248" s="160">
        <f t="shared" si="149"/>
        <v>3.649910498386737</v>
      </c>
      <c r="V248" s="160">
        <f t="shared" si="150"/>
        <v>1.2932680736919666</v>
      </c>
      <c r="W248" s="98" t="str">
        <f t="shared" si="141"/>
        <v>1-0.00225920030731148i</v>
      </c>
      <c r="X248" s="160">
        <f t="shared" si="151"/>
        <v>1.000002551989758</v>
      </c>
      <c r="Y248" s="160">
        <f t="shared" si="152"/>
        <v>-2.2591964636809827E-3</v>
      </c>
      <c r="Z248" s="98" t="str">
        <f t="shared" si="142"/>
        <v>0.998407571317786-0.0531089497044667i</v>
      </c>
      <c r="AA248" s="160">
        <f t="shared" si="153"/>
        <v>0.99981910313985878</v>
      </c>
      <c r="AB248" s="160">
        <f t="shared" si="154"/>
        <v>-5.3143570177133954E-2</v>
      </c>
      <c r="AC248" s="171" t="str">
        <f t="shared" si="155"/>
        <v>8.65083016109508-1.98233503041003i</v>
      </c>
      <c r="AD248" s="190">
        <f t="shared" si="156"/>
        <v>18.963416287340408</v>
      </c>
      <c r="AE248" s="169">
        <f t="shared" si="157"/>
        <v>-12.90648438967014</v>
      </c>
      <c r="AF248" s="98" t="str">
        <f t="shared" si="143"/>
        <v>-0.0000114342530449913</v>
      </c>
      <c r="AG248" s="98" t="str">
        <f t="shared" si="144"/>
        <v>0.00150501917350886i</v>
      </c>
      <c r="AH248" s="98">
        <f t="shared" si="158"/>
        <v>1.5050191735088601E-3</v>
      </c>
      <c r="AI248" s="98">
        <f t="shared" si="159"/>
        <v>1.5707963267948966</v>
      </c>
      <c r="AJ248" s="98" t="str">
        <f t="shared" si="145"/>
        <v>1+0.0137845195976874i</v>
      </c>
      <c r="AK248" s="98">
        <f t="shared" si="160"/>
        <v>1.0000950019775816</v>
      </c>
      <c r="AL248" s="98">
        <f t="shared" si="161"/>
        <v>1.3783646617993705E-2</v>
      </c>
      <c r="AM248" s="98" t="str">
        <f t="shared" si="146"/>
        <v>1+33.0966315540474i</v>
      </c>
      <c r="AN248" s="98">
        <f t="shared" si="162"/>
        <v>33.111735385273391</v>
      </c>
      <c r="AO248" s="98">
        <f t="shared" si="163"/>
        <v>1.5405909610767816</v>
      </c>
      <c r="AP248" s="168" t="str">
        <f t="shared" si="164"/>
        <v>-0.251296320399212+0.011061412592184i</v>
      </c>
      <c r="AQ248" s="98">
        <f t="shared" si="165"/>
        <v>-11.987870956072623</v>
      </c>
      <c r="AR248" s="169">
        <f t="shared" si="166"/>
        <v>177.47961524819206</v>
      </c>
      <c r="AS248" s="168" t="str">
        <f t="shared" si="167"/>
        <v>-2.15199436221441+0.593843900617283i</v>
      </c>
      <c r="AT248" s="190">
        <f t="shared" si="168"/>
        <v>6.9755453312677798</v>
      </c>
      <c r="AU248" s="169">
        <f t="shared" si="169"/>
        <v>164.57313085852189</v>
      </c>
      <c r="AV248" s="225"/>
      <c r="AX248">
        <f t="shared" si="170"/>
        <v>0</v>
      </c>
      <c r="AY248">
        <f t="shared" si="171"/>
        <v>0</v>
      </c>
    </row>
    <row r="249" spans="14:51" x14ac:dyDescent="0.2">
      <c r="N249" s="170">
        <v>31</v>
      </c>
      <c r="O249" s="199">
        <f t="shared" si="172"/>
        <v>2041.7379446695318</v>
      </c>
      <c r="P249" s="189" t="str">
        <f t="shared" si="138"/>
        <v>1757.57575757576</v>
      </c>
      <c r="Q249" s="160" t="str">
        <f t="shared" si="139"/>
        <v>1+739.783629641715i</v>
      </c>
      <c r="R249" s="160">
        <f t="shared" si="147"/>
        <v>739.78430551470206</v>
      </c>
      <c r="S249" s="160">
        <f t="shared" si="148"/>
        <v>1.5694445810264588</v>
      </c>
      <c r="T249" s="160" t="str">
        <f t="shared" si="140"/>
        <v>1+3.59201299941641i</v>
      </c>
      <c r="U249" s="160">
        <f t="shared" si="149"/>
        <v>3.7286133331275417</v>
      </c>
      <c r="V249" s="160">
        <f t="shared" si="150"/>
        <v>1.2992761609575567</v>
      </c>
      <c r="W249" s="98" t="str">
        <f t="shared" si="141"/>
        <v>1-0.00231182384263035i</v>
      </c>
      <c r="X249" s="160">
        <f t="shared" si="151"/>
        <v>1.0000026722611692</v>
      </c>
      <c r="Y249" s="160">
        <f t="shared" si="152"/>
        <v>-2.3118197241066641E-3</v>
      </c>
      <c r="Z249" s="98" t="str">
        <f t="shared" si="142"/>
        <v>0.998332522466119-0.0543460160599716i</v>
      </c>
      <c r="AA249" s="160">
        <f t="shared" si="153"/>
        <v>0.99981063950887961</v>
      </c>
      <c r="AB249" s="160">
        <f t="shared" si="154"/>
        <v>-5.4383111582539195E-2</v>
      </c>
      <c r="AC249" s="171" t="str">
        <f t="shared" si="155"/>
        <v>8.65023394447662-1.91708424772536i</v>
      </c>
      <c r="AD249" s="190">
        <f t="shared" si="156"/>
        <v>18.948793898507688</v>
      </c>
      <c r="AE249" s="169">
        <f t="shared" si="157"/>
        <v>-12.496044970383497</v>
      </c>
      <c r="AF249" s="98" t="str">
        <f t="shared" si="143"/>
        <v>-0.0000114342530449913</v>
      </c>
      <c r="AG249" s="98" t="str">
        <f t="shared" si="144"/>
        <v>0.00154007557349979i</v>
      </c>
      <c r="AH249" s="98">
        <f t="shared" si="158"/>
        <v>1.5400755734997901E-3</v>
      </c>
      <c r="AI249" s="98">
        <f t="shared" si="159"/>
        <v>1.5707963267948966</v>
      </c>
      <c r="AJ249" s="98" t="str">
        <f t="shared" si="145"/>
        <v>1+0.0141056023062702i</v>
      </c>
      <c r="AK249" s="98">
        <f t="shared" si="160"/>
        <v>1.0000994790601696</v>
      </c>
      <c r="AL249" s="98">
        <f t="shared" si="161"/>
        <v>1.4104666896700506E-2</v>
      </c>
      <c r="AM249" s="98" t="str">
        <f t="shared" si="146"/>
        <v>1+33.8675511373547i</v>
      </c>
      <c r="AN249" s="98">
        <f t="shared" si="162"/>
        <v>33.882311314922653</v>
      </c>
      <c r="AO249" s="98">
        <f t="shared" si="163"/>
        <v>1.5412781151749562</v>
      </c>
      <c r="AP249" s="168" t="str">
        <f t="shared" si="164"/>
        <v>-0.251294070479307+0.0109691295132279i</v>
      </c>
      <c r="AQ249" s="98">
        <f t="shared" si="165"/>
        <v>-11.988088124159976</v>
      </c>
      <c r="AR249" s="169">
        <f t="shared" si="166"/>
        <v>177.50059317078455</v>
      </c>
      <c r="AS249" s="168" t="str">
        <f t="shared" si="167"/>
        <v>-2.15272375310473+0.57663744051935i</v>
      </c>
      <c r="AT249" s="190">
        <f t="shared" si="168"/>
        <v>6.9607057743477005</v>
      </c>
      <c r="AU249" s="169">
        <f t="shared" si="169"/>
        <v>165.00454820040105</v>
      </c>
      <c r="AV249" s="225"/>
      <c r="AX249">
        <f t="shared" si="170"/>
        <v>0</v>
      </c>
      <c r="AY249">
        <f t="shared" si="171"/>
        <v>0</v>
      </c>
    </row>
    <row r="250" spans="14:51" x14ac:dyDescent="0.2">
      <c r="N250" s="170">
        <v>32</v>
      </c>
      <c r="O250" s="199">
        <f t="shared" si="172"/>
        <v>2089.2961308540398</v>
      </c>
      <c r="P250" s="189" t="str">
        <f t="shared" si="138"/>
        <v>1757.57575757576</v>
      </c>
      <c r="Q250" s="160" t="str">
        <f t="shared" si="139"/>
        <v>1+757.015404016392i</v>
      </c>
      <c r="R250" s="160">
        <f t="shared" si="147"/>
        <v>757.01606450464521</v>
      </c>
      <c r="S250" s="160">
        <f t="shared" si="148"/>
        <v>1.5694753504804981</v>
      </c>
      <c r="T250" s="160" t="str">
        <f t="shared" si="140"/>
        <v>1+3.67568173048421i</v>
      </c>
      <c r="U250" s="160">
        <f t="shared" si="149"/>
        <v>3.8092828962700307</v>
      </c>
      <c r="V250" s="160">
        <f t="shared" si="150"/>
        <v>1.3051669723669954</v>
      </c>
      <c r="W250" s="98" t="str">
        <f t="shared" si="141"/>
        <v>1-0.00236567313755122i</v>
      </c>
      <c r="X250" s="160">
        <f t="shared" si="151"/>
        <v>1.000002798200782</v>
      </c>
      <c r="Y250" s="160">
        <f t="shared" si="152"/>
        <v>-2.3656687244742484E-3</v>
      </c>
      <c r="Z250" s="98" t="str">
        <f t="shared" si="142"/>
        <v>0.998253936671039-0.0556118973925466i</v>
      </c>
      <c r="AA250" s="160">
        <f t="shared" si="153"/>
        <v>0.99980178296041544</v>
      </c>
      <c r="AB250" s="160">
        <f t="shared" si="154"/>
        <v>-5.5651644858777979E-2</v>
      </c>
      <c r="AC250" s="171" t="str">
        <f t="shared" si="155"/>
        <v>8.64962338464309-1.85284903426111i</v>
      </c>
      <c r="AD250" s="190">
        <f t="shared" si="156"/>
        <v>18.934789861308328</v>
      </c>
      <c r="AE250" s="169">
        <f t="shared" si="157"/>
        <v>-12.090693016121266</v>
      </c>
      <c r="AF250" s="98" t="str">
        <f t="shared" si="143"/>
        <v>-0.0000114342530449913</v>
      </c>
      <c r="AG250" s="98" t="str">
        <f t="shared" si="144"/>
        <v>0.0015759485419451i</v>
      </c>
      <c r="AH250" s="98">
        <f t="shared" si="158"/>
        <v>1.5759485419451001E-3</v>
      </c>
      <c r="AI250" s="98">
        <f t="shared" si="159"/>
        <v>1.5707963267948966</v>
      </c>
      <c r="AJ250" s="98" t="str">
        <f t="shared" si="145"/>
        <v>1+0.0144341639919056i</v>
      </c>
      <c r="AK250" s="98">
        <f t="shared" si="160"/>
        <v>1.0001041671196782</v>
      </c>
      <c r="AL250" s="98">
        <f t="shared" si="161"/>
        <v>1.4433161688131637E-2</v>
      </c>
      <c r="AM250" s="98" t="str">
        <f t="shared" si="146"/>
        <v>1+34.6564277445653i</v>
      </c>
      <c r="AN250" s="98">
        <f t="shared" si="162"/>
        <v>34.670852080880209</v>
      </c>
      <c r="AO250" s="98">
        <f t="shared" si="163"/>
        <v>1.5419496546811704</v>
      </c>
      <c r="AP250" s="168" t="str">
        <f t="shared" si="164"/>
        <v>-0.251291714567126+0.0108826594203755i</v>
      </c>
      <c r="AQ250" s="98">
        <f t="shared" si="165"/>
        <v>-11.988299107116365</v>
      </c>
      <c r="AR250" s="169">
        <f t="shared" si="166"/>
        <v>177.52024818512589</v>
      </c>
      <c r="AS250" s="168" t="str">
        <f t="shared" si="167"/>
        <v>-2.15341476568963+0.559736516063104i</v>
      </c>
      <c r="AT250" s="190">
        <f t="shared" si="168"/>
        <v>6.9464907541919461</v>
      </c>
      <c r="AU250" s="169">
        <f t="shared" si="169"/>
        <v>165.4295551690046</v>
      </c>
      <c r="AV250" s="225"/>
      <c r="AX250">
        <f t="shared" si="170"/>
        <v>0</v>
      </c>
      <c r="AY250">
        <f t="shared" si="171"/>
        <v>0</v>
      </c>
    </row>
    <row r="251" spans="14:51" x14ac:dyDescent="0.2">
      <c r="N251" s="170">
        <v>33</v>
      </c>
      <c r="O251" s="199">
        <f t="shared" si="172"/>
        <v>2137.9620895022344</v>
      </c>
      <c r="P251" s="189" t="str">
        <f t="shared" si="138"/>
        <v>1757.57575757576</v>
      </c>
      <c r="Q251" s="160" t="str">
        <f t="shared" si="139"/>
        <v>1+774.648557978555i</v>
      </c>
      <c r="R251" s="160">
        <f t="shared" si="147"/>
        <v>774.64920343227266</v>
      </c>
      <c r="S251" s="160">
        <f t="shared" si="148"/>
        <v>1.5695054195386708</v>
      </c>
      <c r="T251" s="160" t="str">
        <f t="shared" si="140"/>
        <v>1+3.76129935665887i</v>
      </c>
      <c r="U251" s="160">
        <f t="shared" si="149"/>
        <v>3.8919625962234567</v>
      </c>
      <c r="V251" s="160">
        <f t="shared" si="150"/>
        <v>1.3109419952834664</v>
      </c>
      <c r="W251" s="98" t="str">
        <f t="shared" si="141"/>
        <v>1-0.00242077674368298i</v>
      </c>
      <c r="X251" s="160">
        <f t="shared" si="151"/>
        <v>1.0000029300757287</v>
      </c>
      <c r="Y251" s="160">
        <f t="shared" si="152"/>
        <v>-2.4207720149865583E-3</v>
      </c>
      <c r="Z251" s="98" t="str">
        <f t="shared" si="142"/>
        <v>0.998171647241541-0.0569072648892292i</v>
      </c>
      <c r="AA251" s="160">
        <f t="shared" si="153"/>
        <v>0.99979251555213411</v>
      </c>
      <c r="AB251" s="160">
        <f t="shared" si="154"/>
        <v>-5.6949853829513272E-2</v>
      </c>
      <c r="AC251" s="171" t="str">
        <f t="shared" si="155"/>
        <v>8.6489971694656-1.78959527098743i</v>
      </c>
      <c r="AD251" s="190">
        <f t="shared" si="156"/>
        <v>18.921380481800799</v>
      </c>
      <c r="AE251" s="169">
        <f t="shared" si="157"/>
        <v>-11.690306697577862</v>
      </c>
      <c r="AF251" s="98" t="str">
        <f t="shared" si="143"/>
        <v>-0.0000114342530449913</v>
      </c>
      <c r="AG251" s="98" t="str">
        <f t="shared" si="144"/>
        <v>0.00161265709916749i</v>
      </c>
      <c r="AH251" s="98">
        <f t="shared" si="158"/>
        <v>1.61265709916749E-3</v>
      </c>
      <c r="AI251" s="98">
        <f t="shared" si="159"/>
        <v>1.5707963267948966</v>
      </c>
      <c r="AJ251" s="98" t="str">
        <f t="shared" si="145"/>
        <v>1+0.0147703788623482i</v>
      </c>
      <c r="AK251" s="98">
        <f t="shared" si="160"/>
        <v>1.0001090760970712</v>
      </c>
      <c r="AL251" s="98">
        <f t="shared" si="161"/>
        <v>1.4769304880830844E-2</v>
      </c>
      <c r="AM251" s="98" t="str">
        <f t="shared" si="146"/>
        <v>1+35.4636796484979i</v>
      </c>
      <c r="AN251" s="98">
        <f t="shared" si="162"/>
        <v>35.477775778806716</v>
      </c>
      <c r="AO251" s="98">
        <f t="shared" si="163"/>
        <v>1.542605933230444</v>
      </c>
      <c r="AP251" s="168" t="str">
        <f t="shared" si="164"/>
        <v>-0.251289247671569+0.0108019562521752i</v>
      </c>
      <c r="AQ251" s="98">
        <f t="shared" si="165"/>
        <v>-11.988504351489533</v>
      </c>
      <c r="AR251" s="169">
        <f t="shared" si="166"/>
        <v>177.53859058993055</v>
      </c>
      <c r="AS251" s="168" t="str">
        <f t="shared" si="167"/>
        <v>-2.15406886200223+0.543132138332784i</v>
      </c>
      <c r="AT251" s="190">
        <f t="shared" si="168"/>
        <v>6.9328761303112483</v>
      </c>
      <c r="AU251" s="169">
        <f t="shared" si="169"/>
        <v>165.84828389235264</v>
      </c>
      <c r="AV251" s="225"/>
      <c r="AX251">
        <f t="shared" si="170"/>
        <v>0</v>
      </c>
      <c r="AY251">
        <f t="shared" si="171"/>
        <v>0</v>
      </c>
    </row>
    <row r="252" spans="14:51" x14ac:dyDescent="0.2">
      <c r="N252" s="170">
        <v>34</v>
      </c>
      <c r="O252" s="199">
        <f t="shared" si="172"/>
        <v>2187.7616239495528</v>
      </c>
      <c r="P252" s="189" t="str">
        <f t="shared" si="138"/>
        <v>1757.57575757576</v>
      </c>
      <c r="Q252" s="160" t="str">
        <f t="shared" si="139"/>
        <v>1+792.692440859848i</v>
      </c>
      <c r="R252" s="160">
        <f t="shared" si="147"/>
        <v>792.69307162125722</v>
      </c>
      <c r="S252" s="160">
        <f t="shared" si="148"/>
        <v>1.5695348041437718</v>
      </c>
      <c r="T252" s="160" t="str">
        <f t="shared" si="140"/>
        <v>1+3.84891127353914i</v>
      </c>
      <c r="U252" s="160">
        <f t="shared" si="149"/>
        <v>3.9766968694604681</v>
      </c>
      <c r="V252" s="160">
        <f t="shared" si="150"/>
        <v>1.3166027502552771</v>
      </c>
      <c r="W252" s="98" t="str">
        <f t="shared" si="141"/>
        <v>1-0.00247716387768702i</v>
      </c>
      <c r="X252" s="160">
        <f t="shared" si="151"/>
        <v>1.0000030681657317</v>
      </c>
      <c r="Y252" s="160">
        <f t="shared" si="152"/>
        <v>-2.4771588107983548E-3</v>
      </c>
      <c r="Z252" s="98" t="str">
        <f t="shared" si="142"/>
        <v>0.998085479630709-0.0582328053710129i</v>
      </c>
      <c r="AA252" s="160">
        <f t="shared" si="153"/>
        <v>0.99978281855162954</v>
      </c>
      <c r="AB252" s="160">
        <f t="shared" si="154"/>
        <v>-5.8278438854327055E-2</v>
      </c>
      <c r="AC252" s="171" t="str">
        <f t="shared" si="155"/>
        <v>8.64835395196502-1.7272893548358i</v>
      </c>
      <c r="AD252" s="190">
        <f t="shared" si="156"/>
        <v>18.908542843615187</v>
      </c>
      <c r="AE252" s="169">
        <f t="shared" si="157"/>
        <v>-11.294761353464471</v>
      </c>
      <c r="AF252" s="98" t="str">
        <f t="shared" si="143"/>
        <v>-0.0000114342530449913</v>
      </c>
      <c r="AG252" s="98" t="str">
        <f t="shared" si="144"/>
        <v>0.0016502207085299i</v>
      </c>
      <c r="AH252" s="98">
        <f t="shared" si="158"/>
        <v>1.6502207085299001E-3</v>
      </c>
      <c r="AI252" s="98">
        <f t="shared" si="159"/>
        <v>1.5707963267948966</v>
      </c>
      <c r="AJ252" s="98" t="str">
        <f t="shared" si="145"/>
        <v>1+0.0151144251831727i</v>
      </c>
      <c r="AK252" s="98">
        <f t="shared" si="160"/>
        <v>1.0001142164016157</v>
      </c>
      <c r="AL252" s="98">
        <f t="shared" si="161"/>
        <v>1.5113274398341347E-2</v>
      </c>
      <c r="AM252" s="98" t="str">
        <f t="shared" si="146"/>
        <v>1+36.2897348647975i</v>
      </c>
      <c r="AN252" s="98">
        <f t="shared" si="162"/>
        <v>36.303510251176803</v>
      </c>
      <c r="AO252" s="98">
        <f t="shared" si="163"/>
        <v>1.5432472965277755</v>
      </c>
      <c r="AP252" s="168" t="str">
        <f t="shared" si="164"/>
        <v>-0.251286664566717+0.0107269769895906i</v>
      </c>
      <c r="AQ252" s="98">
        <f t="shared" si="165"/>
        <v>-11.988704291730844</v>
      </c>
      <c r="AR252" s="169">
        <f t="shared" si="166"/>
        <v>177.55562999836775</v>
      </c>
      <c r="AS252" s="168" t="str">
        <f t="shared" si="167"/>
        <v>-2.15468742541799+0.526815474558848i</v>
      </c>
      <c r="AT252" s="190">
        <f t="shared" si="168"/>
        <v>6.9198385518843555</v>
      </c>
      <c r="AU252" s="169">
        <f t="shared" si="169"/>
        <v>166.26086864490327</v>
      </c>
      <c r="AV252" s="225"/>
      <c r="AX252">
        <f t="shared" si="170"/>
        <v>0</v>
      </c>
      <c r="AY252">
        <f t="shared" si="171"/>
        <v>0</v>
      </c>
    </row>
    <row r="253" spans="14:51" x14ac:dyDescent="0.2">
      <c r="N253" s="170">
        <v>35</v>
      </c>
      <c r="O253" s="199">
        <f t="shared" si="172"/>
        <v>2238.7211385683418</v>
      </c>
      <c r="P253" s="189" t="str">
        <f t="shared" si="138"/>
        <v>1757.57575757576</v>
      </c>
      <c r="Q253" s="160" t="str">
        <f t="shared" si="139"/>
        <v>1+811.15661976581i</v>
      </c>
      <c r="R253" s="160">
        <f t="shared" si="147"/>
        <v>811.15723616934758</v>
      </c>
      <c r="S253" s="160">
        <f t="shared" si="148"/>
        <v>1.5695635198757047</v>
      </c>
      <c r="T253" s="160" t="str">
        <f t="shared" si="140"/>
        <v>1+3.938563934123i</v>
      </c>
      <c r="U253" s="160">
        <f t="shared" si="149"/>
        <v>4.0635312061277986</v>
      </c>
      <c r="V253" s="160">
        <f t="shared" si="150"/>
        <v>1.3221507869361224</v>
      </c>
      <c r="W253" s="98" t="str">
        <f t="shared" si="141"/>
        <v>1-0.00253486443676815i</v>
      </c>
      <c r="X253" s="160">
        <f t="shared" si="151"/>
        <v>1.0000032127636955</v>
      </c>
      <c r="Y253" s="160">
        <f t="shared" si="152"/>
        <v>-2.5348590075000696E-3</v>
      </c>
      <c r="Z253" s="98" t="str">
        <f t="shared" si="142"/>
        <v>0.997995251065491-0.0595892216570067i</v>
      </c>
      <c r="AA253" s="160">
        <f t="shared" si="153"/>
        <v>0.99977267240456225</v>
      </c>
      <c r="AB253" s="160">
        <f t="shared" si="154"/>
        <v>-5.9638117257166001E-2</v>
      </c>
      <c r="AC253" s="171" t="str">
        <f t="shared" si="155"/>
        <v>8.6476923472965-1.665898180589i</v>
      </c>
      <c r="AD253" s="190">
        <f t="shared" si="156"/>
        <v>18.896254796265872</v>
      </c>
      <c r="AE253" s="169">
        <f t="shared" si="157"/>
        <v>-10.903929701083941</v>
      </c>
      <c r="AF253" s="98" t="str">
        <f t="shared" si="143"/>
        <v>-0.0000114342530449913</v>
      </c>
      <c r="AG253" s="98" t="str">
        <f t="shared" si="144"/>
        <v>0.00168865928675523i</v>
      </c>
      <c r="AH253" s="98">
        <f t="shared" si="158"/>
        <v>1.6886592867552299E-3</v>
      </c>
      <c r="AI253" s="98">
        <f t="shared" si="159"/>
        <v>1.5707963267948966</v>
      </c>
      <c r="AJ253" s="98" t="str">
        <f t="shared" si="145"/>
        <v>1+0.0154664853722924i</v>
      </c>
      <c r="AK253" s="98">
        <f t="shared" si="160"/>
        <v>1.0001195989329332</v>
      </c>
      <c r="AL253" s="98">
        <f t="shared" si="161"/>
        <v>1.5465252292093355E-2</v>
      </c>
      <c r="AM253" s="98" t="str">
        <f t="shared" si="146"/>
        <v>1+37.135031378874i</v>
      </c>
      <c r="AN253" s="98">
        <f t="shared" si="162"/>
        <v>37.148493314129936</v>
      </c>
      <c r="AO253" s="98">
        <f t="shared" si="163"/>
        <v>1.543874082520684</v>
      </c>
      <c r="AP253" s="168" t="str">
        <f t="shared" si="164"/>
        <v>-0.251283959780803+0.0106576816320998i</v>
      </c>
      <c r="AQ253" s="98">
        <f t="shared" si="165"/>
        <v>-11.988899351109225</v>
      </c>
      <c r="AR253" s="169">
        <f t="shared" si="166"/>
        <v>177.5713753426254</v>
      </c>
      <c r="AS253" s="168" t="str">
        <f t="shared" si="167"/>
        <v>-2.1552717635546+0.510777843299871i</v>
      </c>
      <c r="AT253" s="190">
        <f t="shared" si="168"/>
        <v>6.9073554451566501</v>
      </c>
      <c r="AU253" s="169">
        <f t="shared" si="169"/>
        <v>166.66744564154146</v>
      </c>
      <c r="AV253" s="225"/>
      <c r="AX253">
        <f t="shared" si="170"/>
        <v>0</v>
      </c>
      <c r="AY253">
        <f t="shared" si="171"/>
        <v>0</v>
      </c>
    </row>
    <row r="254" spans="14:51" x14ac:dyDescent="0.2">
      <c r="N254" s="170">
        <v>36</v>
      </c>
      <c r="O254" s="199">
        <f t="shared" si="172"/>
        <v>2290.8676527677749</v>
      </c>
      <c r="P254" s="189" t="str">
        <f t="shared" si="138"/>
        <v>1757.57575757576</v>
      </c>
      <c r="Q254" s="160" t="str">
        <f t="shared" si="139"/>
        <v>1+830.050884648497i</v>
      </c>
      <c r="R254" s="160">
        <f t="shared" si="147"/>
        <v>830.05148702098757</v>
      </c>
      <c r="S254" s="160">
        <f t="shared" si="148"/>
        <v>1.569591581959741</v>
      </c>
      <c r="T254" s="160" t="str">
        <f t="shared" si="140"/>
        <v>1+4.03030487343778i</v>
      </c>
      <c r="U254" s="160">
        <f t="shared" si="149"/>
        <v>4.1525121761237882</v>
      </c>
      <c r="V254" s="160">
        <f t="shared" si="150"/>
        <v>1.3275876802139253</v>
      </c>
      <c r="W254" s="98" t="str">
        <f t="shared" si="141"/>
        <v>1-0.00259390901452655i</v>
      </c>
      <c r="X254" s="160">
        <f t="shared" si="151"/>
        <v>1.0000033641763291</v>
      </c>
      <c r="Y254" s="160">
        <f t="shared" si="152"/>
        <v>-2.5939031969620455E-3</v>
      </c>
      <c r="Z254" s="98" t="str">
        <f t="shared" si="142"/>
        <v>0.997900770159001-0.0609772329370794i</v>
      </c>
      <c r="AA254" s="160">
        <f t="shared" si="153"/>
        <v>0.99976205670178842</v>
      </c>
      <c r="AB254" s="160">
        <f t="shared" si="154"/>
        <v>-6.1029623767843891E-2</v>
      </c>
      <c r="AC254" s="171" t="str">
        <f t="shared" si="155"/>
        <v>8.64701092963883-1.60538912301449i</v>
      </c>
      <c r="AD254" s="190">
        <f t="shared" si="156"/>
        <v>18.884494942465999</v>
      </c>
      <c r="AE254" s="169">
        <f t="shared" si="157"/>
        <v>-10.517682034216591</v>
      </c>
      <c r="AF254" s="98" t="str">
        <f t="shared" si="143"/>
        <v>-0.0000114342530449913</v>
      </c>
      <c r="AG254" s="98" t="str">
        <f t="shared" si="144"/>
        <v>0.00172799321448644i</v>
      </c>
      <c r="AH254" s="98">
        <f t="shared" si="158"/>
        <v>1.72799321448644E-3</v>
      </c>
      <c r="AI254" s="98">
        <f t="shared" si="159"/>
        <v>1.5707963267948966</v>
      </c>
      <c r="AJ254" s="98" t="str">
        <f t="shared" si="145"/>
        <v>1+0.0158267460966796i</v>
      </c>
      <c r="AK254" s="98">
        <f t="shared" si="160"/>
        <v>1.0001252351040888</v>
      </c>
      <c r="AL254" s="98">
        <f t="shared" si="161"/>
        <v>1.5825424836376948E-2</v>
      </c>
      <c r="AM254" s="98" t="str">
        <f t="shared" si="146"/>
        <v>1+38.0000173781276i</v>
      </c>
      <c r="AN254" s="98">
        <f t="shared" si="162"/>
        <v>38.013172989609792</v>
      </c>
      <c r="AO254" s="98">
        <f t="shared" si="163"/>
        <v>1.5444866215683548</v>
      </c>
      <c r="AP254" s="168" t="str">
        <f t="shared" si="164"/>
        <v>-0.251281127584663+0.0105940331753164i</v>
      </c>
      <c r="AQ254" s="98">
        <f t="shared" si="165"/>
        <v>-11.989089942602099</v>
      </c>
      <c r="AR254" s="169">
        <f t="shared" si="166"/>
        <v>177.58583487815997</v>
      </c>
      <c r="AS254" s="168" t="str">
        <f t="shared" si="167"/>
        <v>-2.15582311100804+0.495010709699152i</v>
      </c>
      <c r="AT254" s="190">
        <f t="shared" si="168"/>
        <v>6.8954049998638851</v>
      </c>
      <c r="AU254" s="169">
        <f t="shared" si="169"/>
        <v>167.06815284394335</v>
      </c>
      <c r="AV254" s="225"/>
      <c r="AX254">
        <f t="shared" si="170"/>
        <v>0</v>
      </c>
      <c r="AY254">
        <f t="shared" si="171"/>
        <v>0</v>
      </c>
    </row>
    <row r="255" spans="14:51" x14ac:dyDescent="0.2">
      <c r="N255" s="170">
        <v>37</v>
      </c>
      <c r="O255" s="199">
        <f t="shared" si="172"/>
        <v>2344.2288153199238</v>
      </c>
      <c r="P255" s="189" t="str">
        <f t="shared" si="138"/>
        <v>1757.57575757576</v>
      </c>
      <c r="Q255" s="160" t="str">
        <f t="shared" si="139"/>
        <v>1+849.385253497249i</v>
      </c>
      <c r="R255" s="160">
        <f t="shared" si="147"/>
        <v>849.38584215807714</v>
      </c>
      <c r="S255" s="160">
        <f t="shared" si="148"/>
        <v>1.5696190052745924</v>
      </c>
      <c r="T255" s="160" t="str">
        <f t="shared" si="140"/>
        <v>1+4.12418273374386i</v>
      </c>
      <c r="U255" s="160">
        <f t="shared" si="149"/>
        <v>4.2436874556582245</v>
      </c>
      <c r="V255" s="160">
        <f t="shared" si="150"/>
        <v>1.3329150265448064</v>
      </c>
      <c r="W255" s="98" t="str">
        <f t="shared" si="141"/>
        <v>1-0.00265432891717889i</v>
      </c>
      <c r="X255" s="160">
        <f t="shared" si="151"/>
        <v>1.0000035227247954</v>
      </c>
      <c r="Y255" s="160">
        <f t="shared" si="152"/>
        <v>-2.6543226835474003E-3</v>
      </c>
      <c r="Z255" s="98" t="str">
        <f t="shared" si="142"/>
        <v>0.997801836504569-0.0623975751531846i</v>
      </c>
      <c r="AA255" s="160">
        <f t="shared" si="153"/>
        <v>0.99975095014552906</v>
      </c>
      <c r="AB255" s="160">
        <f t="shared" si="154"/>
        <v>-6.2453710977117757E-2</v>
      </c>
      <c r="AC255" s="171" t="str">
        <f t="shared" si="155"/>
        <v>8.64630822897991-1.54573001923071i</v>
      </c>
      <c r="AD255" s="190">
        <f t="shared" si="156"/>
        <v>18.873242624574765</v>
      </c>
      <c r="AE255" s="169">
        <f t="shared" si="157"/>
        <v>-10.13588640848559</v>
      </c>
      <c r="AF255" s="98" t="str">
        <f t="shared" si="143"/>
        <v>-0.0000114342530449913</v>
      </c>
      <c r="AG255" s="98" t="str">
        <f t="shared" si="144"/>
        <v>0.00176824334709267i</v>
      </c>
      <c r="AH255" s="98">
        <f t="shared" si="158"/>
        <v>1.76824334709267E-3</v>
      </c>
      <c r="AI255" s="98">
        <f t="shared" si="159"/>
        <v>1.5707963267948966</v>
      </c>
      <c r="AJ255" s="98" t="str">
        <f t="shared" si="145"/>
        <v>1+0.016195398371339i</v>
      </c>
      <c r="AK255" s="98">
        <f t="shared" si="160"/>
        <v>1.0001311368657644</v>
      </c>
      <c r="AL255" s="98">
        <f t="shared" si="161"/>
        <v>1.619398262544313E-2</v>
      </c>
      <c r="AM255" s="98" t="str">
        <f t="shared" si="146"/>
        <v>1+38.8851514895849i</v>
      </c>
      <c r="AN255" s="98">
        <f t="shared" si="162"/>
        <v>38.898007742916171</v>
      </c>
      <c r="AO255" s="98">
        <f t="shared" si="163"/>
        <v>1.545085236607429</v>
      </c>
      <c r="AP255" s="168" t="str">
        <f t="shared" si="164"/>
        <v>-0.251278161979657+0.010535997590117i</v>
      </c>
      <c r="AQ255" s="98">
        <f t="shared" si="165"/>
        <v>-11.989276469764686</v>
      </c>
      <c r="AR255" s="169">
        <f t="shared" si="166"/>
        <v>177.5990161876318</v>
      </c>
      <c r="AS255" s="168" t="str">
        <f t="shared" si="167"/>
        <v>-2.15634263193007+0.479505680813014i</v>
      </c>
      <c r="AT255" s="190">
        <f t="shared" si="168"/>
        <v>6.8839661548100803</v>
      </c>
      <c r="AU255" s="169">
        <f t="shared" si="169"/>
        <v>167.46312977914621</v>
      </c>
      <c r="AV255" s="225"/>
      <c r="AX255">
        <f t="shared" si="170"/>
        <v>0</v>
      </c>
      <c r="AY255">
        <f t="shared" si="171"/>
        <v>0</v>
      </c>
    </row>
    <row r="256" spans="14:51" x14ac:dyDescent="0.2">
      <c r="N256" s="170">
        <v>38</v>
      </c>
      <c r="O256" s="199">
        <f t="shared" si="172"/>
        <v>2398.8329190194918</v>
      </c>
      <c r="P256" s="189" t="str">
        <f t="shared" si="138"/>
        <v>1757.57575757576</v>
      </c>
      <c r="Q256" s="160" t="str">
        <f t="shared" si="139"/>
        <v>1+869.169977650344i</v>
      </c>
      <c r="R256" s="160">
        <f t="shared" si="147"/>
        <v>869.17055291162478</v>
      </c>
      <c r="S256" s="160">
        <f t="shared" si="148"/>
        <v>1.5696458043602983</v>
      </c>
      <c r="T256" s="160" t="str">
        <f t="shared" si="140"/>
        <v>1+4.22024729032536i</v>
      </c>
      <c r="U256" s="160">
        <f t="shared" si="149"/>
        <v>4.3371058543109759</v>
      </c>
      <c r="V256" s="160">
        <f t="shared" si="150"/>
        <v>1.3381344404881004</v>
      </c>
      <c r="W256" s="98" t="str">
        <f t="shared" si="141"/>
        <v>1-0.00271615618015732i</v>
      </c>
      <c r="X256" s="160">
        <f t="shared" si="151"/>
        <v>1.000003688745394</v>
      </c>
      <c r="Y256" s="160">
        <f t="shared" si="152"/>
        <v>-2.7161495007021678E-3</v>
      </c>
      <c r="Z256" s="98" t="str">
        <f t="shared" si="142"/>
        <v>0.997698240250651-0.0638510013895653i</v>
      </c>
      <c r="AA256" s="160">
        <f t="shared" si="153"/>
        <v>0.99973933051455766</v>
      </c>
      <c r="AB256" s="160">
        <f t="shared" si="154"/>
        <v>-6.3911149805884457E-2</v>
      </c>
      <c r="AC256" s="171" t="str">
        <f t="shared" si="155"/>
        <v>8.64558272779039-1.48688915129577i</v>
      </c>
      <c r="AD256" s="190">
        <f t="shared" si="156"/>
        <v>18.862477910301287</v>
      </c>
      <c r="AE256" s="169">
        <f t="shared" si="157"/>
        <v>-9.7584088144056942</v>
      </c>
      <c r="AF256" s="98" t="str">
        <f t="shared" si="143"/>
        <v>-0.0000114342530449913</v>
      </c>
      <c r="AG256" s="98" t="str">
        <f t="shared" si="144"/>
        <v>0.001809431025727i</v>
      </c>
      <c r="AH256" s="98">
        <f t="shared" si="158"/>
        <v>1.809431025727E-3</v>
      </c>
      <c r="AI256" s="98">
        <f t="shared" si="159"/>
        <v>1.5707963267948966</v>
      </c>
      <c r="AJ256" s="98" t="str">
        <f t="shared" si="145"/>
        <v>1+0.0165726376605863i</v>
      </c>
      <c r="AK256" s="98">
        <f t="shared" si="160"/>
        <v>1.0001373167315721</v>
      </c>
      <c r="AL256" s="98">
        <f t="shared" si="161"/>
        <v>1.657112067277635E-2</v>
      </c>
      <c r="AM256" s="98" t="str">
        <f t="shared" si="146"/>
        <v>1+39.7909030230677i</v>
      </c>
      <c r="AN256" s="98">
        <f t="shared" si="162"/>
        <v>39.803466725791331</v>
      </c>
      <c r="AO256" s="98">
        <f t="shared" si="163"/>
        <v>1.5456702433144796</v>
      </c>
      <c r="AP256" s="168" t="str">
        <f t="shared" si="164"/>
        <v>-0.251275056685018+0.0104835438032547i</v>
      </c>
      <c r="AQ256" s="98">
        <f t="shared" si="165"/>
        <v>-11.989459327580009</v>
      </c>
      <c r="AR256" s="169">
        <f t="shared" si="166"/>
        <v>177.61092618452668</v>
      </c>
      <c r="AS256" s="168" t="str">
        <f t="shared" si="167"/>
        <v>-2.15683142245235+0.464254501007636i</v>
      </c>
      <c r="AT256" s="190">
        <f t="shared" si="168"/>
        <v>6.8730185827212811</v>
      </c>
      <c r="AU256" s="169">
        <f t="shared" si="169"/>
        <v>167.85251737012098</v>
      </c>
      <c r="AV256" s="225"/>
      <c r="AX256">
        <f t="shared" si="170"/>
        <v>0</v>
      </c>
      <c r="AY256">
        <f t="shared" si="171"/>
        <v>0</v>
      </c>
    </row>
    <row r="257" spans="14:51" x14ac:dyDescent="0.2">
      <c r="N257" s="170">
        <v>39</v>
      </c>
      <c r="O257" s="199">
        <f t="shared" si="172"/>
        <v>2454.7089156850338</v>
      </c>
      <c r="P257" s="189" t="str">
        <f t="shared" si="138"/>
        <v>1757.57575757576</v>
      </c>
      <c r="Q257" s="160" t="str">
        <f t="shared" si="139"/>
        <v>1+889.415547230415i</v>
      </c>
      <c r="R257" s="160">
        <f t="shared" si="147"/>
        <v>889.41610939715872</v>
      </c>
      <c r="S257" s="160">
        <f t="shared" si="148"/>
        <v>1.5696719934259347</v>
      </c>
      <c r="T257" s="160" t="str">
        <f t="shared" si="140"/>
        <v>1+4.31854947788177i</v>
      </c>
      <c r="U257" s="160">
        <f t="shared" si="149"/>
        <v>4.4328173426064943</v>
      </c>
      <c r="V257" s="160">
        <f t="shared" si="150"/>
        <v>1.3432475514377618</v>
      </c>
      <c r="W257" s="98" t="str">
        <f t="shared" si="141"/>
        <v>1-0.00277942358509504i</v>
      </c>
      <c r="X257" s="160">
        <f t="shared" si="151"/>
        <v>1.000003862590273</v>
      </c>
      <c r="Y257" s="160">
        <f t="shared" si="152"/>
        <v>-2.7794164279313889E-3</v>
      </c>
      <c r="Z257" s="98" t="str">
        <f t="shared" si="142"/>
        <v>0.997589761655703-0.0653382822720508i</v>
      </c>
      <c r="AA257" s="160">
        <f t="shared" si="153"/>
        <v>0.99972717462843064</v>
      </c>
      <c r="AB257" s="160">
        <f t="shared" si="154"/>
        <v>-6.5402729989080602E-2</v>
      </c>
      <c r="AC257" s="171" t="str">
        <f t="shared" si="155"/>
        <v>8.64483285757649-1.4288352290076i</v>
      </c>
      <c r="AD257" s="190">
        <f t="shared" si="156"/>
        <v>18.852181577779625</v>
      </c>
      <c r="AE257" s="169">
        <f t="shared" si="157"/>
        <v>-9.3851133383488659</v>
      </c>
      <c r="AF257" s="98" t="str">
        <f t="shared" si="143"/>
        <v>-0.0000114342530449913</v>
      </c>
      <c r="AG257" s="98" t="str">
        <f t="shared" si="144"/>
        <v>0.00185157808864181i</v>
      </c>
      <c r="AH257" s="98">
        <f t="shared" si="158"/>
        <v>1.85157808864181E-3</v>
      </c>
      <c r="AI257" s="98">
        <f t="shared" si="159"/>
        <v>1.5707963267948966</v>
      </c>
      <c r="AJ257" s="98" t="str">
        <f t="shared" si="145"/>
        <v>1+0.016958663981686i</v>
      </c>
      <c r="AK257" s="98">
        <f t="shared" si="160"/>
        <v>1.0001437878045554</v>
      </c>
      <c r="AL257" s="98">
        <f t="shared" si="161"/>
        <v>1.6957038512582946E-2</v>
      </c>
      <c r="AM257" s="98" t="str">
        <f t="shared" si="146"/>
        <v>1+40.7177522200281i</v>
      </c>
      <c r="AN257" s="98">
        <f t="shared" si="162"/>
        <v>40.730030025174351</v>
      </c>
      <c r="AO257" s="98">
        <f t="shared" si="163"/>
        <v>1.5462419502652205</v>
      </c>
      <c r="AP257" s="168" t="str">
        <f t="shared" si="164"/>
        <v>-0.251271805124611+0.0104366436794465i</v>
      </c>
      <c r="AQ257" s="98">
        <f t="shared" si="165"/>
        <v>-11.989638903291063</v>
      </c>
      <c r="AR257" s="169">
        <f t="shared" si="166"/>
        <v>177.62157111646266</v>
      </c>
      <c r="AS257" s="168" t="str">
        <f t="shared" si="167"/>
        <v>-2.157290512962+0.449249047421274i</v>
      </c>
      <c r="AT257" s="190">
        <f t="shared" si="168"/>
        <v>6.8625426744885587</v>
      </c>
      <c r="AU257" s="169">
        <f t="shared" si="169"/>
        <v>168.23645777811379</v>
      </c>
      <c r="AV257" s="225"/>
      <c r="AX257">
        <f t="shared" si="170"/>
        <v>0</v>
      </c>
      <c r="AY257">
        <f t="shared" si="171"/>
        <v>0</v>
      </c>
    </row>
    <row r="258" spans="14:51" x14ac:dyDescent="0.2">
      <c r="N258" s="170">
        <v>40</v>
      </c>
      <c r="O258" s="199">
        <f t="shared" si="172"/>
        <v>2511.8864315095811</v>
      </c>
      <c r="P258" s="189" t="str">
        <f t="shared" si="138"/>
        <v>1757.57575757576</v>
      </c>
      <c r="Q258" s="160" t="str">
        <f t="shared" si="139"/>
        <v>1+910.132696706439i</v>
      </c>
      <c r="R258" s="160">
        <f t="shared" si="147"/>
        <v>910.13324607671314</v>
      </c>
      <c r="S258" s="160">
        <f t="shared" si="148"/>
        <v>1.5696975863571467</v>
      </c>
      <c r="T258" s="160" t="str">
        <f t="shared" si="140"/>
        <v>1+4.41914141753415i</v>
      </c>
      <c r="U258" s="160">
        <f t="shared" si="149"/>
        <v>4.5308730801210642</v>
      </c>
      <c r="V258" s="160">
        <f t="shared" si="150"/>
        <v>1.3482560005449844</v>
      </c>
      <c r="W258" s="98" t="str">
        <f t="shared" si="141"/>
        <v>1-0.00284416467720761i</v>
      </c>
      <c r="X258" s="160">
        <f t="shared" si="151"/>
        <v>1.0000040446281759</v>
      </c>
      <c r="Y258" s="160">
        <f t="shared" si="152"/>
        <v>-2.8441570081702626E-3</v>
      </c>
      <c r="Z258" s="98" t="str">
        <f t="shared" si="142"/>
        <v>0.997476170622079-0.0668602063766516i</v>
      </c>
      <c r="AA258" s="160">
        <f t="shared" si="153"/>
        <v>0.99971445831077954</v>
      </c>
      <c r="AB258" s="160">
        <f t="shared" si="154"/>
        <v>-6.6929260574887808E-2</v>
      </c>
      <c r="AC258" s="171" t="str">
        <f t="shared" si="155"/>
        <v>8.64405699530275-1.37153737290516i</v>
      </c>
      <c r="AD258" s="190">
        <f t="shared" si="156"/>
        <v>18.842335100121808</v>
      </c>
      <c r="AE258" s="169">
        <f t="shared" si="157"/>
        <v>-9.0158623116892702</v>
      </c>
      <c r="AF258" s="98" t="str">
        <f t="shared" si="143"/>
        <v>-0.0000114342530449913</v>
      </c>
      <c r="AG258" s="98" t="str">
        <f t="shared" si="144"/>
        <v>0.00189470688276776i</v>
      </c>
      <c r="AH258" s="98">
        <f t="shared" si="158"/>
        <v>1.8947068827677601E-3</v>
      </c>
      <c r="AI258" s="98">
        <f t="shared" si="159"/>
        <v>1.5707963267948966</v>
      </c>
      <c r="AJ258" s="98" t="str">
        <f t="shared" si="145"/>
        <v>1+0.0173536820109034i</v>
      </c>
      <c r="AK258" s="98">
        <f t="shared" si="160"/>
        <v>1.0001505638049382</v>
      </c>
      <c r="AL258" s="98">
        <f t="shared" si="161"/>
        <v>1.7351940303540269E-2</v>
      </c>
      <c r="AM258" s="98" t="str">
        <f t="shared" si="146"/>
        <v>1+41.666190508179i</v>
      </c>
      <c r="AN258" s="98">
        <f t="shared" si="162"/>
        <v>41.678188917752486</v>
      </c>
      <c r="AO258" s="98">
        <f t="shared" si="163"/>
        <v>1.5468006590904941</v>
      </c>
      <c r="AP258" s="168" t="str">
        <f t="shared" si="164"/>
        <v>-0.251268400413078+0.0103952720049136i</v>
      </c>
      <c r="AQ258" s="98">
        <f t="shared" si="165"/>
        <v>-11.989815577216827</v>
      </c>
      <c r="AR258" s="169">
        <f t="shared" si="166"/>
        <v>177.63095656818356</v>
      </c>
      <c r="AS258" s="168" t="str">
        <f t="shared" si="167"/>
        <v>-2.15772087023295+0.434481325488783i</v>
      </c>
      <c r="AT258" s="190">
        <f t="shared" si="168"/>
        <v>6.8525195229049976</v>
      </c>
      <c r="AU258" s="169">
        <f t="shared" si="169"/>
        <v>168.6150942564943</v>
      </c>
      <c r="AV258" s="225"/>
      <c r="AX258">
        <f t="shared" si="170"/>
        <v>0</v>
      </c>
      <c r="AY258">
        <f t="shared" si="171"/>
        <v>0</v>
      </c>
    </row>
    <row r="259" spans="14:51" x14ac:dyDescent="0.2">
      <c r="N259" s="170">
        <v>41</v>
      </c>
      <c r="O259" s="199">
        <f t="shared" si="172"/>
        <v>2570.3957827688669</v>
      </c>
      <c r="P259" s="189" t="str">
        <f t="shared" si="138"/>
        <v>1757.57575757576</v>
      </c>
      <c r="Q259" s="160" t="str">
        <f t="shared" si="139"/>
        <v>1+931.332410585282i</v>
      </c>
      <c r="R259" s="160">
        <f t="shared" si="147"/>
        <v>931.33294745036937</v>
      </c>
      <c r="S259" s="160">
        <f t="shared" si="148"/>
        <v>1.5697225967235113</v>
      </c>
      <c r="T259" s="160" t="str">
        <f t="shared" si="140"/>
        <v>1+4.52207644446032i</v>
      </c>
      <c r="U259" s="160">
        <f t="shared" si="149"/>
        <v>4.631325444140467</v>
      </c>
      <c r="V259" s="160">
        <f t="shared" si="150"/>
        <v>1.3531614378264811</v>
      </c>
      <c r="W259" s="98" t="str">
        <f t="shared" si="141"/>
        <v>1-0.002910413783079i</v>
      </c>
      <c r="X259" s="160">
        <f t="shared" si="151"/>
        <v>1.0000042352452256</v>
      </c>
      <c r="Y259" s="160">
        <f t="shared" si="152"/>
        <v>-2.910405565559309E-3</v>
      </c>
      <c r="Z259" s="98" t="str">
        <f t="shared" si="142"/>
        <v>0.99735722620797-0.0684175806476724i</v>
      </c>
      <c r="AA259" s="160">
        <f t="shared" si="153"/>
        <v>0.99970115635170509</v>
      </c>
      <c r="AB259" s="160">
        <f t="shared" si="154"/>
        <v>-6.8491570439887267E-2</v>
      </c>
      <c r="AC259" s="171" t="str">
        <f t="shared" si="155"/>
        <v>8.64325345967488-1.31496509746031i</v>
      </c>
      <c r="AD259" s="190">
        <f t="shared" si="156"/>
        <v>18.832920629547495</v>
      </c>
      <c r="AE259" s="169">
        <f t="shared" si="157"/>
        <v>-8.6505164484112527</v>
      </c>
      <c r="AF259" s="98" t="str">
        <f t="shared" si="143"/>
        <v>-0.0000114342530449913</v>
      </c>
      <c r="AG259" s="98" t="str">
        <f t="shared" si="144"/>
        <v>0.00193884027556236i</v>
      </c>
      <c r="AH259" s="98">
        <f t="shared" si="158"/>
        <v>1.9388402755623601E-3</v>
      </c>
      <c r="AI259" s="98">
        <f t="shared" si="159"/>
        <v>1.5707963267948966</v>
      </c>
      <c r="AJ259" s="98" t="str">
        <f t="shared" si="145"/>
        <v>1+0.017757901192026i</v>
      </c>
      <c r="AK259" s="98">
        <f t="shared" si="160"/>
        <v>1.0001576590991772</v>
      </c>
      <c r="AL259" s="98">
        <f t="shared" si="161"/>
        <v>1.7756034934850763E-2</v>
      </c>
      <c r="AM259" s="98" t="str">
        <f t="shared" si="146"/>
        <v>1+42.6367207620544i</v>
      </c>
      <c r="AN259" s="98">
        <f t="shared" si="162"/>
        <v>42.648446130444199</v>
      </c>
      <c r="AO259" s="98">
        <f t="shared" si="163"/>
        <v>1.5473466646290832</v>
      </c>
      <c r="AP259" s="168" t="str">
        <f t="shared" si="164"/>
        <v>-0.251264835341324+0.0103594064723623i</v>
      </c>
      <c r="AQ259" s="98">
        <f t="shared" si="165"/>
        <v>-11.989989723554277</v>
      </c>
      <c r="AR259" s="169">
        <f t="shared" si="166"/>
        <v>177.63908746423749</v>
      </c>
      <c r="AS259" s="168" t="str">
        <f t="shared" si="167"/>
        <v>-2.15812339941698+0.419943464525377i</v>
      </c>
      <c r="AT259" s="190">
        <f t="shared" si="168"/>
        <v>6.8429309059932288</v>
      </c>
      <c r="AU259" s="169">
        <f t="shared" si="169"/>
        <v>168.98857101582624</v>
      </c>
      <c r="AV259" s="225"/>
      <c r="AX259">
        <f t="shared" si="170"/>
        <v>0</v>
      </c>
      <c r="AY259">
        <f t="shared" si="171"/>
        <v>0</v>
      </c>
    </row>
    <row r="260" spans="14:51" x14ac:dyDescent="0.2">
      <c r="N260" s="170">
        <v>42</v>
      </c>
      <c r="O260" s="199">
        <f t="shared" si="172"/>
        <v>2630.2679918953822</v>
      </c>
      <c r="P260" s="189" t="str">
        <f t="shared" si="138"/>
        <v>1757.57575757576</v>
      </c>
      <c r="Q260" s="160" t="str">
        <f t="shared" si="139"/>
        <v>1+953.02592923586i</v>
      </c>
      <c r="R260" s="160">
        <f t="shared" si="147"/>
        <v>953.02645388041265</v>
      </c>
      <c r="S260" s="160">
        <f t="shared" si="148"/>
        <v>1.5697470377857305</v>
      </c>
      <c r="T260" s="160" t="str">
        <f t="shared" si="140"/>
        <v>1+4.62740913617411i</v>
      </c>
      <c r="U260" s="160">
        <f t="shared" si="149"/>
        <v>4.7342280588864352</v>
      </c>
      <c r="V260" s="160">
        <f t="shared" si="150"/>
        <v>1.3579655194525659</v>
      </c>
      <c r="W260" s="98" t="str">
        <f t="shared" si="141"/>
        <v>1-0.00297820602886205i</v>
      </c>
      <c r="X260" s="160">
        <f t="shared" si="151"/>
        <v>1.0000044348457413</v>
      </c>
      <c r="Y260" s="160">
        <f t="shared" si="152"/>
        <v>-2.978197223633169E-3</v>
      </c>
      <c r="Z260" s="98" t="str">
        <f t="shared" si="142"/>
        <v>0.997232676116324-0.0700112308255664i</v>
      </c>
      <c r="AA260" s="160">
        <f t="shared" si="153"/>
        <v>0.99968724246928142</v>
      </c>
      <c r="AB260" s="160">
        <f t="shared" si="154"/>
        <v>-7.0090508820842543E-2</v>
      </c>
      <c r="AC260" s="171" t="str">
        <f t="shared" si="155"/>
        <v>8.64242050727306-1.25908829444938i</v>
      </c>
      <c r="AD260" s="190">
        <f t="shared" si="156"/>
        <v>18.823920981181828</v>
      </c>
      <c r="AE260" s="169">
        <f t="shared" si="157"/>
        <v>-8.2889349714758751</v>
      </c>
      <c r="AF260" s="98" t="str">
        <f t="shared" si="143"/>
        <v>-0.0000114342530449913</v>
      </c>
      <c r="AG260" s="98" t="str">
        <f t="shared" si="144"/>
        <v>0.00198400166713465i</v>
      </c>
      <c r="AH260" s="98">
        <f t="shared" si="158"/>
        <v>1.98400166713465E-3</v>
      </c>
      <c r="AI260" s="98">
        <f t="shared" si="159"/>
        <v>1.5707963267948966</v>
      </c>
      <c r="AJ260" s="98" t="str">
        <f t="shared" si="145"/>
        <v>1+0.0181715358474142i</v>
      </c>
      <c r="AK260" s="98">
        <f t="shared" si="160"/>
        <v>1.0001650887303826</v>
      </c>
      <c r="AL260" s="98">
        <f t="shared" si="161"/>
        <v>1.8169536134649139E-2</v>
      </c>
      <c r="AM260" s="98" t="str">
        <f t="shared" si="146"/>
        <v>1+43.6298575696415i</v>
      </c>
      <c r="AN260" s="98">
        <f t="shared" si="162"/>
        <v>43.641316106955394</v>
      </c>
      <c r="AO260" s="98">
        <f t="shared" si="163"/>
        <v>1.5478802550773949</v>
      </c>
      <c r="AP260" s="168" t="str">
        <f t="shared" si="164"/>
        <v>-0.25126110236134+0.0103290276673875i</v>
      </c>
      <c r="AQ260" s="98">
        <f t="shared" si="165"/>
        <v>-11.9901617111672</v>
      </c>
      <c r="AR260" s="169">
        <f t="shared" si="166"/>
        <v>177.64596807134222</v>
      </c>
      <c r="AS260" s="168" t="str">
        <f t="shared" si="167"/>
        <v>-2.15849894589863+0.405627713366431i</v>
      </c>
      <c r="AT260" s="190">
        <f t="shared" si="168"/>
        <v>6.8337592700146335</v>
      </c>
      <c r="AU260" s="169">
        <f t="shared" si="169"/>
        <v>169.35703309986633</v>
      </c>
      <c r="AV260" s="225"/>
      <c r="AX260">
        <f t="shared" si="170"/>
        <v>0</v>
      </c>
      <c r="AY260">
        <f t="shared" si="171"/>
        <v>0</v>
      </c>
    </row>
    <row r="261" spans="14:51" x14ac:dyDescent="0.2">
      <c r="N261" s="170">
        <v>43</v>
      </c>
      <c r="O261" s="199">
        <f t="shared" si="172"/>
        <v>2691.5348039269184</v>
      </c>
      <c r="P261" s="189" t="str">
        <f t="shared" si="138"/>
        <v>1757.57575757576</v>
      </c>
      <c r="Q261" s="160" t="str">
        <f t="shared" si="139"/>
        <v>1+975.224754848911i</v>
      </c>
      <c r="R261" s="160">
        <f t="shared" si="147"/>
        <v>975.22526755110198</v>
      </c>
      <c r="S261" s="160">
        <f t="shared" si="148"/>
        <v>1.5697709225026621</v>
      </c>
      <c r="T261" s="160" t="str">
        <f t="shared" si="140"/>
        <v>1+4.73519534146291i</v>
      </c>
      <c r="U261" s="160">
        <f t="shared" si="149"/>
        <v>4.8396358253294283</v>
      </c>
      <c r="V261" s="160">
        <f t="shared" si="150"/>
        <v>1.3626699052088689</v>
      </c>
      <c r="W261" s="98" t="str">
        <f t="shared" si="141"/>
        <v>1-0.00304757735890284i</v>
      </c>
      <c r="X261" s="160">
        <f t="shared" si="151"/>
        <v>1.0000046438530965</v>
      </c>
      <c r="Y261" s="160">
        <f t="shared" si="152"/>
        <v>-3.0475679239324732E-3</v>
      </c>
      <c r="Z261" s="98" t="str">
        <f t="shared" si="142"/>
        <v>0.9971022561597-0.0716420018847526i</v>
      </c>
      <c r="AA261" s="160">
        <f t="shared" si="153"/>
        <v>0.99967268927025266</v>
      </c>
      <c r="AB261" s="160">
        <f t="shared" si="154"/>
        <v>-7.172694586381527E-2</v>
      </c>
      <c r="AC261" s="171" t="str">
        <f t="shared" si="155"/>
        <v>8.64155632852415-1.20387721649439i</v>
      </c>
      <c r="AD261" s="190">
        <f t="shared" si="156"/>
        <v>18.81531961660443</v>
      </c>
      <c r="AE261" s="169">
        <f t="shared" si="157"/>
        <v>-7.9309757282610995</v>
      </c>
      <c r="AF261" s="98" t="str">
        <f t="shared" si="143"/>
        <v>-0.0000114342530449913</v>
      </c>
      <c r="AG261" s="98" t="str">
        <f t="shared" si="144"/>
        <v>0.00203021500265222i</v>
      </c>
      <c r="AH261" s="98">
        <f t="shared" si="158"/>
        <v>2.0302150026522202E-3</v>
      </c>
      <c r="AI261" s="98">
        <f t="shared" si="159"/>
        <v>1.5707963267948966</v>
      </c>
      <c r="AJ261" s="98" t="str">
        <f t="shared" si="145"/>
        <v>1+0.0185948052916375i</v>
      </c>
      <c r="AK261" s="98">
        <f t="shared" si="160"/>
        <v>1.0001728684501663</v>
      </c>
      <c r="AL261" s="98">
        <f t="shared" si="161"/>
        <v>1.8592662580806309E-2</v>
      </c>
      <c r="AM261" s="98" t="str">
        <f t="shared" si="146"/>
        <v>1+44.6461275052217i</v>
      </c>
      <c r="AN261" s="98">
        <f t="shared" si="162"/>
        <v>44.657325280546232</v>
      </c>
      <c r="AO261" s="98">
        <f t="shared" si="163"/>
        <v>1.5484017121360658</v>
      </c>
      <c r="AP261" s="168" t="str">
        <f t="shared" si="164"/>
        <v>-0.251257193570314+0.0103041190562845i</v>
      </c>
      <c r="AQ261" s="98">
        <f t="shared" si="165"/>
        <v>-11.990331904364071</v>
      </c>
      <c r="AR261" s="169">
        <f t="shared" si="166"/>
        <v>177.65160200043618</v>
      </c>
      <c r="AS261" s="168" t="str">
        <f t="shared" si="167"/>
        <v>-2.15884829701686+0.391526436060323i</v>
      </c>
      <c r="AT261" s="190">
        <f t="shared" si="168"/>
        <v>6.824987712240369</v>
      </c>
      <c r="AU261" s="169">
        <f t="shared" si="169"/>
        <v>169.72062627217508</v>
      </c>
      <c r="AV261" s="225"/>
      <c r="AX261">
        <f t="shared" si="170"/>
        <v>0</v>
      </c>
      <c r="AY261">
        <f t="shared" si="171"/>
        <v>0</v>
      </c>
    </row>
    <row r="262" spans="14:51" x14ac:dyDescent="0.2">
      <c r="N262" s="170">
        <v>44</v>
      </c>
      <c r="O262" s="199">
        <f t="shared" si="172"/>
        <v>2754.228703338169</v>
      </c>
      <c r="P262" s="189" t="str">
        <f t="shared" si="138"/>
        <v>1757.57575757576</v>
      </c>
      <c r="Q262" s="160" t="str">
        <f t="shared" si="139"/>
        <v>1+997.940657535609i</v>
      </c>
      <c r="R262" s="160">
        <f t="shared" si="147"/>
        <v>997.94115856727933</v>
      </c>
      <c r="S262" s="160">
        <f t="shared" si="148"/>
        <v>1.5697942635381903</v>
      </c>
      <c r="T262" s="160" t="str">
        <f t="shared" si="140"/>
        <v>1+4.84549220999948i</v>
      </c>
      <c r="U262" s="160">
        <f t="shared" si="149"/>
        <v>4.9476049516069533</v>
      </c>
      <c r="V262" s="160">
        <f t="shared" si="150"/>
        <v>1.3672762561253979</v>
      </c>
      <c r="W262" s="98" t="str">
        <f t="shared" si="141"/>
        <v>1-0.00311856455479877i</v>
      </c>
      <c r="X262" s="160">
        <f t="shared" si="151"/>
        <v>1.0000048627106184</v>
      </c>
      <c r="Y262" s="160">
        <f t="shared" si="152"/>
        <v>-3.1185544450485331E-3</v>
      </c>
      <c r="Z262" s="98" t="str">
        <f t="shared" si="142"/>
        <v>0.996965689699883-0.0733107584816321i</v>
      </c>
      <c r="AA262" s="160">
        <f t="shared" si="153"/>
        <v>0.99965746820994428</v>
      </c>
      <c r="AB262" s="160">
        <f t="shared" si="154"/>
        <v>-7.3401773191372269E-2</v>
      </c>
      <c r="AC262" s="171" t="str">
        <f t="shared" si="155"/>
        <v>8.64065904350228-1.1493024607632i</v>
      </c>
      <c r="AD262" s="190">
        <f t="shared" si="156"/>
        <v>18.807100627226774</v>
      </c>
      <c r="AE262" s="169">
        <f t="shared" si="157"/>
        <v>-7.5764952953930393</v>
      </c>
      <c r="AF262" s="98" t="str">
        <f t="shared" si="143"/>
        <v>-0.0000114342530449913</v>
      </c>
      <c r="AG262" s="98" t="str">
        <f t="shared" si="144"/>
        <v>0.00207750478503727i</v>
      </c>
      <c r="AH262" s="98">
        <f t="shared" si="158"/>
        <v>2.07750478503727E-3</v>
      </c>
      <c r="AI262" s="98">
        <f t="shared" si="159"/>
        <v>1.5707963267948966</v>
      </c>
      <c r="AJ262" s="98" t="str">
        <f t="shared" si="145"/>
        <v>1+0.0190279339477578i</v>
      </c>
      <c r="AK262" s="98">
        <f t="shared" si="160"/>
        <v>1.0001810147519898</v>
      </c>
      <c r="AL262" s="98">
        <f t="shared" si="161"/>
        <v>1.9025638014178177E-2</v>
      </c>
      <c r="AM262" s="98" t="str">
        <f t="shared" si="146"/>
        <v>1+45.6860694085665i</v>
      </c>
      <c r="AN262" s="98">
        <f t="shared" si="162"/>
        <v>45.697012353154506</v>
      </c>
      <c r="AO262" s="98">
        <f t="shared" si="163"/>
        <v>1.548911311153534</v>
      </c>
      <c r="AP262" s="168" t="str">
        <f t="shared" si="164"/>
        <v>-0.251253100693989+0.0102846669752522i</v>
      </c>
      <c r="AQ262" s="98">
        <f t="shared" si="165"/>
        <v>-11.990500663666886</v>
      </c>
      <c r="AR262" s="169">
        <f t="shared" si="166"/>
        <v>177.65599220841608</v>
      </c>
      <c r="AS262" s="168" t="str">
        <f t="shared" si="167"/>
        <v>-2.15917218365672+0.377632107611108i</v>
      </c>
      <c r="AT262" s="190">
        <f t="shared" si="168"/>
        <v>6.8165999635598968</v>
      </c>
      <c r="AU262" s="169">
        <f t="shared" si="169"/>
        <v>170.07949691302304</v>
      </c>
      <c r="AV262" s="225"/>
      <c r="AX262">
        <f t="shared" si="170"/>
        <v>0</v>
      </c>
      <c r="AY262">
        <f t="shared" si="171"/>
        <v>0</v>
      </c>
    </row>
    <row r="263" spans="14:51" x14ac:dyDescent="0.2">
      <c r="N263" s="170">
        <v>45</v>
      </c>
      <c r="O263" s="199">
        <f t="shared" si="172"/>
        <v>2818.3829312644561</v>
      </c>
      <c r="P263" s="189" t="str">
        <f t="shared" si="138"/>
        <v>1757.57575757576</v>
      </c>
      <c r="Q263" s="160" t="str">
        <f t="shared" si="139"/>
        <v>1+1021.18568156824i</v>
      </c>
      <c r="R263" s="160">
        <f t="shared" si="147"/>
        <v>1021.1861711950427</v>
      </c>
      <c r="S263" s="160">
        <f t="shared" si="148"/>
        <v>1.5698170732679391</v>
      </c>
      <c r="T263" s="160" t="str">
        <f t="shared" si="140"/>
        <v>1+4.95835822264345i</v>
      </c>
      <c r="U263" s="160">
        <f t="shared" si="149"/>
        <v>5.0581929840661388</v>
      </c>
      <c r="V263" s="160">
        <f t="shared" si="150"/>
        <v>1.3717862322664858</v>
      </c>
      <c r="W263" s="98" t="str">
        <f t="shared" si="141"/>
        <v>1-0.00319120525490073i</v>
      </c>
      <c r="X263" s="160">
        <f t="shared" si="151"/>
        <v>1.0000050918825258</v>
      </c>
      <c r="Y263" s="160">
        <f t="shared" si="152"/>
        <v>-3.191194422111159E-3</v>
      </c>
      <c r="Z263" s="98" t="str">
        <f t="shared" si="142"/>
        <v>0.996822687061103-0.0750183854130409i</v>
      </c>
      <c r="AA263" s="160">
        <f t="shared" si="153"/>
        <v>0.99964154955148665</v>
      </c>
      <c r="AB263" s="160">
        <f t="shared" si="154"/>
        <v>-7.5115904488674778E-2</v>
      </c>
      <c r="AC263" s="171" t="str">
        <f t="shared" si="155"/>
        <v>8.63972669754534-1.09533495281804i</v>
      </c>
      <c r="AD263" s="190">
        <f t="shared" si="156"/>
        <v>18.799248717567053</v>
      </c>
      <c r="AE263" s="169">
        <f t="shared" si="157"/>
        <v>-7.2253490732932812</v>
      </c>
      <c r="AF263" s="98" t="str">
        <f t="shared" si="143"/>
        <v>-0.0000114342530449913</v>
      </c>
      <c r="AG263" s="98" t="str">
        <f t="shared" si="144"/>
        <v>0.00212589608795837i</v>
      </c>
      <c r="AH263" s="98">
        <f t="shared" si="158"/>
        <v>2.1258960879583701E-3</v>
      </c>
      <c r="AI263" s="98">
        <f t="shared" si="159"/>
        <v>1.5707963267948966</v>
      </c>
      <c r="AJ263" s="98" t="str">
        <f t="shared" si="145"/>
        <v>1+0.0194711514663216i</v>
      </c>
      <c r="AK263" s="98">
        <f t="shared" si="160"/>
        <v>1.0001895449060765</v>
      </c>
      <c r="AL263" s="98">
        <f t="shared" si="161"/>
        <v>1.9468691354346715E-2</v>
      </c>
      <c r="AM263" s="98" t="str">
        <f t="shared" si="146"/>
        <v>1+46.7502346706382i</v>
      </c>
      <c r="AN263" s="98">
        <f t="shared" si="162"/>
        <v>46.760928581025226</v>
      </c>
      <c r="AO263" s="98">
        <f t="shared" si="163"/>
        <v>1.5494093212666304</v>
      </c>
      <c r="AP263" s="168" t="str">
        <f t="shared" si="164"/>
        <v>-0.251248815069259+0.0102706606209739i</v>
      </c>
      <c r="AQ263" s="98">
        <f t="shared" si="165"/>
        <v>-11.990668346571633</v>
      </c>
      <c r="AR263" s="169">
        <f t="shared" si="166"/>
        <v>177.65914099956049</v>
      </c>
      <c r="AS263" s="168" t="str">
        <f t="shared" si="167"/>
        <v>-2.15947128171382+0.363937309767931i</v>
      </c>
      <c r="AT263" s="190">
        <f t="shared" si="168"/>
        <v>6.8085803709954025</v>
      </c>
      <c r="AU263" s="169">
        <f t="shared" si="169"/>
        <v>170.43379192626719</v>
      </c>
      <c r="AV263" s="225"/>
      <c r="AX263">
        <f t="shared" si="170"/>
        <v>0</v>
      </c>
      <c r="AY263">
        <f t="shared" si="171"/>
        <v>0</v>
      </c>
    </row>
    <row r="264" spans="14:51" x14ac:dyDescent="0.2">
      <c r="N264" s="170">
        <v>46</v>
      </c>
      <c r="O264" s="199">
        <f t="shared" si="172"/>
        <v>2884.0315031266077</v>
      </c>
      <c r="P264" s="189" t="str">
        <f t="shared" si="138"/>
        <v>1757.57575757576</v>
      </c>
      <c r="Q264" s="160" t="str">
        <f t="shared" si="139"/>
        <v>1+1044.97215176622i</v>
      </c>
      <c r="R264" s="160">
        <f t="shared" si="147"/>
        <v>1044.9726302477609</v>
      </c>
      <c r="S264" s="160">
        <f t="shared" si="148"/>
        <v>1.5698393637858343</v>
      </c>
      <c r="T264" s="160" t="str">
        <f t="shared" si="140"/>
        <v>1+5.0738532224487i</v>
      </c>
      <c r="U264" s="160">
        <f t="shared" si="149"/>
        <v>5.171458838949901</v>
      </c>
      <c r="V264" s="160">
        <f t="shared" si="150"/>
        <v>1.3762014906751099</v>
      </c>
      <c r="W264" s="98" t="str">
        <f t="shared" si="141"/>
        <v>1-0.00326553797426944i</v>
      </c>
      <c r="X264" s="160">
        <f t="shared" si="151"/>
        <v>1.0000053318549162</v>
      </c>
      <c r="Y264" s="160">
        <f t="shared" si="152"/>
        <v>-3.2655263667296279E-3</v>
      </c>
      <c r="Z264" s="98" t="str">
        <f t="shared" si="142"/>
        <v>0.996672944915589-0.0767657880853816i</v>
      </c>
      <c r="AA264" s="160">
        <f t="shared" si="153"/>
        <v>0.99962490232440804</v>
      </c>
      <c r="AB264" s="160">
        <f t="shared" si="154"/>
        <v>-7.6870276109288857E-2</v>
      </c>
      <c r="AC264" s="171" t="str">
        <f t="shared" si="155"/>
        <v>8.63875725667507-1.04194593060201i</v>
      </c>
      <c r="AD264" s="190">
        <f t="shared" si="156"/>
        <v>18.791749188486129</v>
      </c>
      <c r="AE264" s="169">
        <f t="shared" si="157"/>
        <v>-6.877391370769014</v>
      </c>
      <c r="AF264" s="98" t="str">
        <f t="shared" si="143"/>
        <v>-0.0000114342530449913</v>
      </c>
      <c r="AG264" s="98" t="str">
        <f t="shared" si="144"/>
        <v>0.00217541456912487i</v>
      </c>
      <c r="AH264" s="98">
        <f t="shared" si="158"/>
        <v>2.1754145691248701E-3</v>
      </c>
      <c r="AI264" s="98">
        <f t="shared" si="159"/>
        <v>1.5707963267948966</v>
      </c>
      <c r="AJ264" s="98" t="str">
        <f t="shared" si="145"/>
        <v>1+0.0199246928471241i</v>
      </c>
      <c r="AK264" s="98">
        <f t="shared" si="160"/>
        <v>1.0001984769959671</v>
      </c>
      <c r="AL264" s="98">
        <f t="shared" si="161"/>
        <v>1.9922056817900817E-2</v>
      </c>
      <c r="AM264" s="98" t="str">
        <f t="shared" si="146"/>
        <v>1+47.8391875259448i</v>
      </c>
      <c r="AN264" s="98">
        <f t="shared" si="162"/>
        <v>47.849638066996</v>
      </c>
      <c r="AO264" s="98">
        <f t="shared" si="163"/>
        <v>1.5498960055382345</v>
      </c>
      <c r="AP264" s="168" t="str">
        <f t="shared" si="164"/>
        <v>-0.251244327625951+0.0102620920425599i</v>
      </c>
      <c r="AQ264" s="98">
        <f t="shared" si="165"/>
        <v>-11.990835308302614</v>
      </c>
      <c r="AR264" s="169">
        <f t="shared" si="166"/>
        <v>177.66105002664014</v>
      </c>
      <c r="AS264" s="168" t="str">
        <f t="shared" si="167"/>
        <v>-2.15974621343392+0.35043472685803i</v>
      </c>
      <c r="AT264" s="190">
        <f t="shared" si="168"/>
        <v>6.8009138801834945</v>
      </c>
      <c r="AU264" s="169">
        <f t="shared" si="169"/>
        <v>170.78365865587108</v>
      </c>
      <c r="AV264" s="225"/>
      <c r="AX264">
        <f t="shared" si="170"/>
        <v>0</v>
      </c>
      <c r="AY264">
        <f t="shared" si="171"/>
        <v>0</v>
      </c>
    </row>
    <row r="265" spans="14:51" x14ac:dyDescent="0.2">
      <c r="N265" s="170">
        <v>47</v>
      </c>
      <c r="O265" s="199">
        <f t="shared" si="172"/>
        <v>2951.2092266663876</v>
      </c>
      <c r="P265" s="189" t="str">
        <f t="shared" si="138"/>
        <v>1757.57575757576</v>
      </c>
      <c r="Q265" s="160" t="str">
        <f t="shared" si="139"/>
        <v>1+1069.31268003092i</v>
      </c>
      <c r="R265" s="160">
        <f t="shared" si="147"/>
        <v>1069.3131476208962</v>
      </c>
      <c r="S265" s="160">
        <f t="shared" si="148"/>
        <v>1.5698611469105146</v>
      </c>
      <c r="T265" s="160" t="str">
        <f t="shared" si="140"/>
        <v>1+5.19203844639287i</v>
      </c>
      <c r="U265" s="160">
        <f t="shared" si="149"/>
        <v>5.2874628347461403</v>
      </c>
      <c r="V265" s="160">
        <f t="shared" si="150"/>
        <v>1.3805236834650196</v>
      </c>
      <c r="W265" s="98" t="str">
        <f t="shared" si="141"/>
        <v>1-0.0033416021250966i</v>
      </c>
      <c r="X265" s="160">
        <f t="shared" si="151"/>
        <v>1.0000055831367956</v>
      </c>
      <c r="Y265" s="160">
        <f t="shared" si="152"/>
        <v>-3.3415896873973555E-3</v>
      </c>
      <c r="Z265" s="98" t="str">
        <f t="shared" si="142"/>
        <v>0.996516145640176-0.0785538929946803i</v>
      </c>
      <c r="AA265" s="160">
        <f t="shared" si="153"/>
        <v>0.999607494282717</v>
      </c>
      <c r="AB265" s="160">
        <f t="shared" si="154"/>
        <v>-7.8665847701596903E-2</v>
      </c>
      <c r="AC265" s="171" t="str">
        <f t="shared" si="155"/>
        <v>8.63774860280704-0.989106928552934i</v>
      </c>
      <c r="AD265" s="190">
        <f t="shared" si="156"/>
        <v>18.784587920441091</v>
      </c>
      <c r="AE265" s="169">
        <f t="shared" si="157"/>
        <v>-6.5324754799712546</v>
      </c>
      <c r="AF265" s="98" t="str">
        <f t="shared" si="143"/>
        <v>-0.0000114342530449913</v>
      </c>
      <c r="AG265" s="98" t="str">
        <f t="shared" si="144"/>
        <v>0.00222608648389094i</v>
      </c>
      <c r="AH265" s="98">
        <f t="shared" si="158"/>
        <v>2.2260864838909399E-3</v>
      </c>
      <c r="AI265" s="98">
        <f t="shared" si="159"/>
        <v>1.5707963267948966</v>
      </c>
      <c r="AJ265" s="98" t="str">
        <f t="shared" si="145"/>
        <v>1+0.0203887985638085i</v>
      </c>
      <c r="AK265" s="98">
        <f t="shared" si="160"/>
        <v>1.0002078299567925</v>
      </c>
      <c r="AL265" s="98">
        <f t="shared" si="161"/>
        <v>2.0385974039303725E-2</v>
      </c>
      <c r="AM265" s="98" t="str">
        <f t="shared" si="146"/>
        <v>1+48.9535053517042i</v>
      </c>
      <c r="AN265" s="98">
        <f t="shared" si="162"/>
        <v>48.963718059593191</v>
      </c>
      <c r="AO265" s="98">
        <f t="shared" si="163"/>
        <v>1.5503716210920455</v>
      </c>
      <c r="AP265" s="168" t="str">
        <f t="shared" si="164"/>
        <v>-0.25123962886776+0.0102589561348357i</v>
      </c>
      <c r="AQ265" s="98">
        <f t="shared" si="165"/>
        <v>-11.991001902561981</v>
      </c>
      <c r="AR265" s="169">
        <f t="shared" si="166"/>
        <v>177.66172029171446</v>
      </c>
      <c r="AS265" s="168" t="str">
        <f t="shared" si="167"/>
        <v>-2.15999754862957+0.337117141660105i</v>
      </c>
      <c r="AT265" s="190">
        <f t="shared" si="168"/>
        <v>6.7935860178791172</v>
      </c>
      <c r="AU265" s="169">
        <f t="shared" si="169"/>
        <v>171.12924481174323</v>
      </c>
      <c r="AV265" s="225"/>
      <c r="AX265">
        <f t="shared" si="170"/>
        <v>0</v>
      </c>
      <c r="AY265">
        <f t="shared" si="171"/>
        <v>0</v>
      </c>
    </row>
    <row r="266" spans="14:51" x14ac:dyDescent="0.2">
      <c r="N266" s="170">
        <v>48</v>
      </c>
      <c r="O266" s="199">
        <f t="shared" si="172"/>
        <v>3019.9517204020176</v>
      </c>
      <c r="P266" s="189" t="str">
        <f t="shared" si="138"/>
        <v>1757.57575757576</v>
      </c>
      <c r="Q266" s="160" t="str">
        <f t="shared" si="139"/>
        <v>1+1094.22017203259i</v>
      </c>
      <c r="R266" s="160">
        <f t="shared" si="147"/>
        <v>1094.2206289789235</v>
      </c>
      <c r="S266" s="160">
        <f t="shared" si="148"/>
        <v>1.5698824341915987</v>
      </c>
      <c r="T266" s="160" t="str">
        <f t="shared" si="140"/>
        <v>1+5.31297655784608i</v>
      </c>
      <c r="U266" s="160">
        <f t="shared" si="149"/>
        <v>5.4062667252200916</v>
      </c>
      <c r="V266" s="160">
        <f t="shared" si="150"/>
        <v>1.38475445605414</v>
      </c>
      <c r="W266" s="98" t="str">
        <f t="shared" si="141"/>
        <v>1-0.00341943803760183i</v>
      </c>
      <c r="X266" s="160">
        <f t="shared" si="151"/>
        <v>1.0000058462611572</v>
      </c>
      <c r="Y266" s="160">
        <f t="shared" si="152"/>
        <v>-3.4194247103711845E-3</v>
      </c>
      <c r="Z266" s="98" t="str">
        <f t="shared" si="142"/>
        <v>0.996351956642576-0.0803836482178286i</v>
      </c>
      <c r="AA266" s="160">
        <f t="shared" si="153"/>
        <v>0.99958929186256162</v>
      </c>
      <c r="AB266" s="160">
        <f t="shared" si="154"/>
        <v>-8.050360285675269E-2</v>
      </c>
      <c r="AC266" s="171" t="str">
        <f t="shared" si="155"/>
        <v>8.63669852873727-0.936789761834292i</v>
      </c>
      <c r="AD266" s="190">
        <f t="shared" si="156"/>
        <v>18.777751356808508</v>
      </c>
      <c r="AE266" s="169">
        <f t="shared" si="157"/>
        <v>-6.190453742044296</v>
      </c>
      <c r="AF266" s="98" t="str">
        <f t="shared" si="143"/>
        <v>-0.0000114342530449913</v>
      </c>
      <c r="AG266" s="98" t="str">
        <f t="shared" si="144"/>
        <v>0.0022779386991765i</v>
      </c>
      <c r="AH266" s="98">
        <f t="shared" si="158"/>
        <v>2.2779386991764999E-3</v>
      </c>
      <c r="AI266" s="98">
        <f t="shared" si="159"/>
        <v>1.5707963267948966</v>
      </c>
      <c r="AJ266" s="98" t="str">
        <f t="shared" si="145"/>
        <v>1+0.0208637146913691i</v>
      </c>
      <c r="AK266" s="98">
        <f t="shared" si="160"/>
        <v>1.0002176236153424</v>
      </c>
      <c r="AL266" s="98">
        <f t="shared" si="161"/>
        <v>2.0860688194397927E-2</v>
      </c>
      <c r="AM266" s="98" t="str">
        <f t="shared" si="146"/>
        <v>1+50.0937789739773i</v>
      </c>
      <c r="AN266" s="98">
        <f t="shared" si="162"/>
        <v>50.103759259098425</v>
      </c>
      <c r="AO266" s="98">
        <f t="shared" si="163"/>
        <v>1.5508364192445199</v>
      </c>
      <c r="AP266" s="168" t="str">
        <f t="shared" si="164"/>
        <v>-0.251234708852285+0.0102612506329621i</v>
      </c>
      <c r="AQ266" s="98">
        <f t="shared" si="165"/>
        <v>-11.991168482276509</v>
      </c>
      <c r="AR266" s="169">
        <f t="shared" si="166"/>
        <v>177.66115214661471</v>
      </c>
      <c r="AS266" s="168" t="str">
        <f t="shared" si="167"/>
        <v>-2.16022580577569+0.323977431314948i</v>
      </c>
      <c r="AT266" s="190">
        <f t="shared" si="168"/>
        <v>6.7865828745319963</v>
      </c>
      <c r="AU266" s="169">
        <f t="shared" si="169"/>
        <v>171.47069840457041</v>
      </c>
      <c r="AV266" s="225"/>
      <c r="AX266">
        <f t="shared" si="170"/>
        <v>0</v>
      </c>
      <c r="AY266">
        <f t="shared" si="171"/>
        <v>0</v>
      </c>
    </row>
    <row r="267" spans="14:51" x14ac:dyDescent="0.2">
      <c r="N267" s="170">
        <v>49</v>
      </c>
      <c r="O267" s="199">
        <f t="shared" si="172"/>
        <v>3090.295432513592</v>
      </c>
      <c r="P267" s="189" t="str">
        <f t="shared" si="138"/>
        <v>1757.57575757576</v>
      </c>
      <c r="Q267" s="160" t="str">
        <f t="shared" si="139"/>
        <v>1+1119.70783405319i</v>
      </c>
      <c r="R267" s="160">
        <f t="shared" si="147"/>
        <v>1119.7082805981593</v>
      </c>
      <c r="S267" s="160">
        <f t="shared" si="148"/>
        <v>1.569903236915807</v>
      </c>
      <c r="T267" s="160" t="str">
        <f t="shared" si="140"/>
        <v>1+5.43673167979581i</v>
      </c>
      <c r="U267" s="160">
        <f t="shared" si="149"/>
        <v>5.5279337331497889</v>
      </c>
      <c r="V267" s="160">
        <f t="shared" si="150"/>
        <v>1.3888954455327454</v>
      </c>
      <c r="W267" s="98" t="str">
        <f t="shared" si="141"/>
        <v>1-0.0034990869814162i</v>
      </c>
      <c r="X267" s="160">
        <f t="shared" si="151"/>
        <v>1.0000061217861136</v>
      </c>
      <c r="Y267" s="160">
        <f t="shared" si="152"/>
        <v>-3.4990727010359994E-3</v>
      </c>
      <c r="Z267" s="98" t="str">
        <f t="shared" si="142"/>
        <v>0.996180029655914-0.0822560239152652i</v>
      </c>
      <c r="AA267" s="160">
        <f t="shared" si="153"/>
        <v>0.99957026013962946</v>
      </c>
      <c r="AB267" s="160">
        <f t="shared" si="154"/>
        <v>-8.2384549779158253E-2</v>
      </c>
      <c r="AC267" s="171" t="str">
        <f t="shared" si="155"/>
        <v>8.63560473288896-0.88496651067229i</v>
      </c>
      <c r="AD267" s="190">
        <f t="shared" si="156"/>
        <v>18.771226487321414</v>
      </c>
      <c r="AE267" s="169">
        <f t="shared" si="157"/>
        <v>-5.8511776037815251</v>
      </c>
      <c r="AF267" s="98" t="str">
        <f t="shared" si="143"/>
        <v>-0.0000114342530449913</v>
      </c>
      <c r="AG267" s="98" t="str">
        <f t="shared" si="144"/>
        <v>0.00233099870771245i</v>
      </c>
      <c r="AH267" s="98">
        <f t="shared" si="158"/>
        <v>2.3309987077124502E-3</v>
      </c>
      <c r="AI267" s="98">
        <f t="shared" si="159"/>
        <v>1.5707963267948966</v>
      </c>
      <c r="AJ267" s="98" t="str">
        <f t="shared" si="145"/>
        <v>1+0.021349693036623i</v>
      </c>
      <c r="AK267" s="98">
        <f t="shared" si="160"/>
        <v>1.0002278787320207</v>
      </c>
      <c r="AL267" s="98">
        <f t="shared" si="161"/>
        <v>2.1346450126593256E-2</v>
      </c>
      <c r="AM267" s="98" t="str">
        <f t="shared" si="146"/>
        <v>1+51.2606129809319i</v>
      </c>
      <c r="AN267" s="98">
        <f t="shared" si="162"/>
        <v>51.270366130747334</v>
      </c>
      <c r="AO267" s="98">
        <f t="shared" si="163"/>
        <v>1.5512906456340196</v>
      </c>
      <c r="AP267" s="168" t="str">
        <f t="shared" si="164"/>
        <v>-0.251229557170154+0.0102689761083701i</v>
      </c>
      <c r="AQ267" s="98">
        <f t="shared" si="165"/>
        <v>-11.991335400342143</v>
      </c>
      <c r="AR267" s="169">
        <f t="shared" si="166"/>
        <v>177.6593452931136</v>
      </c>
      <c r="AS267" s="168" t="str">
        <f t="shared" si="167"/>
        <v>-2.16043145298538+0.31100856326998i</v>
      </c>
      <c r="AT267" s="190">
        <f t="shared" si="168"/>
        <v>6.7798910869792808</v>
      </c>
      <c r="AU267" s="169">
        <f t="shared" si="169"/>
        <v>171.80816768933209</v>
      </c>
      <c r="AV267" s="225"/>
      <c r="AX267">
        <f t="shared" si="170"/>
        <v>0</v>
      </c>
      <c r="AY267">
        <f t="shared" si="171"/>
        <v>0</v>
      </c>
    </row>
    <row r="268" spans="14:51" x14ac:dyDescent="0.2">
      <c r="N268" s="170">
        <v>50</v>
      </c>
      <c r="O268" s="199">
        <f t="shared" si="172"/>
        <v>3162.2776601683804</v>
      </c>
      <c r="P268" s="189" t="str">
        <f t="shared" si="138"/>
        <v>1757.57575757576</v>
      </c>
      <c r="Q268" s="160" t="str">
        <f t="shared" si="139"/>
        <v>1+1145.78917998849i</v>
      </c>
      <c r="R268" s="160">
        <f t="shared" si="147"/>
        <v>1145.7896163688586</v>
      </c>
      <c r="S268" s="160">
        <f t="shared" si="148"/>
        <v>1.5699235661129478</v>
      </c>
      <c r="T268" s="160" t="str">
        <f t="shared" si="140"/>
        <v>1+5.56336942884582i</v>
      </c>
      <c r="U268" s="160">
        <f t="shared" si="149"/>
        <v>5.6525285847854212</v>
      </c>
      <c r="V268" s="160">
        <f t="shared" si="150"/>
        <v>1.3929482791599868</v>
      </c>
      <c r="W268" s="98" t="str">
        <f t="shared" si="141"/>
        <v>1-0.00358059118746401i</v>
      </c>
      <c r="X268" s="160">
        <f t="shared" si="151"/>
        <v>1.00000641029608</v>
      </c>
      <c r="Y268" s="160">
        <f t="shared" si="152"/>
        <v>-3.5805758857662367E-3</v>
      </c>
      <c r="Z268" s="98" t="str">
        <f t="shared" si="142"/>
        <v>0.996-0.0841720128453689i</v>
      </c>
      <c r="AA268" s="160">
        <f t="shared" si="153"/>
        <v>0.99955036278640863</v>
      </c>
      <c r="AB268" s="160">
        <f t="shared" si="154"/>
        <v>-8.4309721980515034E-2</v>
      </c>
      <c r="AC268" s="171" t="str">
        <f t="shared" si="155"/>
        <v>8.63446481380493-0.833609504788779i</v>
      </c>
      <c r="AD268" s="190">
        <f t="shared" si="156"/>
        <v>18.765000831661848</v>
      </c>
      <c r="AE268" s="169">
        <f t="shared" si="157"/>
        <v>-5.5144976655971716</v>
      </c>
      <c r="AF268" s="98" t="str">
        <f t="shared" si="143"/>
        <v>-0.0000114342530449913</v>
      </c>
      <c r="AG268" s="98" t="str">
        <f t="shared" si="144"/>
        <v>0.00238529464261765i</v>
      </c>
      <c r="AH268" s="98">
        <f t="shared" si="158"/>
        <v>2.3852946426176501E-3</v>
      </c>
      <c r="AI268" s="98">
        <f t="shared" si="159"/>
        <v>1.5707963267948966</v>
      </c>
      <c r="AJ268" s="98" t="str">
        <f t="shared" si="145"/>
        <v>1+0.0218469912717215i</v>
      </c>
      <c r="AK268" s="98">
        <f t="shared" si="160"/>
        <v>1.0002386170447664</v>
      </c>
      <c r="AL268" s="98">
        <f t="shared" si="161"/>
        <v>2.184351647578904E-2</v>
      </c>
      <c r="AM268" s="98" t="str">
        <f t="shared" si="146"/>
        <v>1+52.4546260434034i</v>
      </c>
      <c r="AN268" s="98">
        <f t="shared" si="162"/>
        <v>52.464157225226579</v>
      </c>
      <c r="AO268" s="98">
        <f t="shared" si="163"/>
        <v>1.5517345403472249</v>
      </c>
      <c r="AP268" s="168" t="str">
        <f t="shared" si="164"/>
        <v>-0.251224162923164+0.010282135965996i</v>
      </c>
      <c r="AQ268" s="98">
        <f t="shared" si="165"/>
        <v>-11.991503010369035</v>
      </c>
      <c r="AR268" s="169">
        <f t="shared" si="166"/>
        <v>177.65629878278156</v>
      </c>
      <c r="AS268" s="168" t="str">
        <f t="shared" si="167"/>
        <v>-2.16061490886687+0.298203591254505i</v>
      </c>
      <c r="AT268" s="190">
        <f t="shared" si="168"/>
        <v>6.7734978212928043</v>
      </c>
      <c r="AU268" s="169">
        <f t="shared" si="169"/>
        <v>172.14180111718437</v>
      </c>
      <c r="AV268" s="225"/>
      <c r="AX268">
        <f t="shared" si="170"/>
        <v>0</v>
      </c>
      <c r="AY268">
        <f t="shared" si="171"/>
        <v>0</v>
      </c>
    </row>
    <row r="269" spans="14:51" x14ac:dyDescent="0.2">
      <c r="N269" s="170">
        <v>51</v>
      </c>
      <c r="O269" s="199">
        <f t="shared" si="172"/>
        <v>3235.9365692962833</v>
      </c>
      <c r="P269" s="189" t="str">
        <f t="shared" si="138"/>
        <v>1757.57575757576</v>
      </c>
      <c r="Q269" s="160" t="str">
        <f t="shared" si="139"/>
        <v>1+1172.47803851333i</v>
      </c>
      <c r="R269" s="160">
        <f t="shared" si="147"/>
        <v>1172.4784649604726</v>
      </c>
      <c r="S269" s="160">
        <f t="shared" si="148"/>
        <v>1.5699434325617629</v>
      </c>
      <c r="T269" s="160" t="str">
        <f t="shared" si="140"/>
        <v>1+5.6929569500069i</v>
      </c>
      <c r="U269" s="160">
        <f t="shared" si="149"/>
        <v>5.7801175450532032</v>
      </c>
      <c r="V269" s="160">
        <f t="shared" si="150"/>
        <v>1.3969145729824524</v>
      </c>
      <c r="W269" s="98" t="str">
        <f t="shared" si="141"/>
        <v>1-0.00366399387035414i</v>
      </c>
      <c r="X269" s="160">
        <f t="shared" si="151"/>
        <v>1.0000067124030128</v>
      </c>
      <c r="Y269" s="160">
        <f t="shared" si="152"/>
        <v>-3.6639774742955166E-3</v>
      </c>
      <c r="Z269" s="98" t="str">
        <f t="shared" si="142"/>
        <v>0.995811485807796-0.0861326308908315i</v>
      </c>
      <c r="AA269" s="160">
        <f t="shared" si="153"/>
        <v>0.99952956202951115</v>
      </c>
      <c r="AB269" s="160">
        <f t="shared" si="154"/>
        <v>-8.628017899854605E-2</v>
      </c>
      <c r="AC269" s="171" t="str">
        <f t="shared" si="155"/>
        <v>8.63327626436811-0.782691307919463i</v>
      </c>
      <c r="AD269" s="190">
        <f t="shared" si="156"/>
        <v>18.759062423243783</v>
      </c>
      <c r="AE269" s="169">
        <f t="shared" si="157"/>
        <v>-5.180263721114426</v>
      </c>
      <c r="AF269" s="98" t="str">
        <f t="shared" si="143"/>
        <v>-0.0000114342530449913</v>
      </c>
      <c r="AG269" s="98" t="str">
        <f t="shared" si="144"/>
        <v>0.00244085529231546i</v>
      </c>
      <c r="AH269" s="98">
        <f t="shared" si="158"/>
        <v>2.4408552923154601E-3</v>
      </c>
      <c r="AI269" s="98">
        <f t="shared" si="159"/>
        <v>1.5707963267948966</v>
      </c>
      <c r="AJ269" s="98" t="str">
        <f t="shared" si="145"/>
        <v>1+0.0223558730707714i</v>
      </c>
      <c r="AK269" s="98">
        <f t="shared" si="160"/>
        <v>1.0002498613150399</v>
      </c>
      <c r="AL269" s="98">
        <f t="shared" si="161"/>
        <v>2.2352149810078707E-2</v>
      </c>
      <c r="AM269" s="98" t="str">
        <f t="shared" si="146"/>
        <v>1+53.6764512429222i</v>
      </c>
      <c r="AN269" s="98">
        <f t="shared" si="162"/>
        <v>53.685765506638759</v>
      </c>
      <c r="AO269" s="98">
        <f t="shared" si="163"/>
        <v>1.5521683380428586</v>
      </c>
      <c r="AP269" s="168" t="str">
        <f t="shared" si="164"/>
        <v>-0.251218514701417+0.0103007364428002i</v>
      </c>
      <c r="AQ269" s="98">
        <f t="shared" si="165"/>
        <v>-11.991671667427632</v>
      </c>
      <c r="AR269" s="169">
        <f t="shared" si="166"/>
        <v>177.6520110165294</v>
      </c>
      <c r="AS269" s="168" t="str">
        <f t="shared" si="167"/>
        <v>-2.16077654326261+0.285555651282375i</v>
      </c>
      <c r="AT269" s="190">
        <f t="shared" si="168"/>
        <v>6.7673907558161686</v>
      </c>
      <c r="AU269" s="169">
        <f t="shared" si="169"/>
        <v>172.47174729541501</v>
      </c>
      <c r="AV269" s="225"/>
      <c r="AX269">
        <f t="shared" si="170"/>
        <v>0</v>
      </c>
      <c r="AY269">
        <f t="shared" si="171"/>
        <v>0</v>
      </c>
    </row>
    <row r="270" spans="14:51" x14ac:dyDescent="0.2">
      <c r="N270" s="170">
        <v>52</v>
      </c>
      <c r="O270" s="199">
        <f t="shared" si="172"/>
        <v>3311.3112148259115</v>
      </c>
      <c r="P270" s="189" t="str">
        <f t="shared" si="138"/>
        <v>1757.57575757576</v>
      </c>
      <c r="Q270" s="160" t="str">
        <f t="shared" si="139"/>
        <v>1+1199.78856041378i</v>
      </c>
      <c r="R270" s="160">
        <f t="shared" si="147"/>
        <v>1199.7889771538039</v>
      </c>
      <c r="S270" s="160">
        <f t="shared" si="148"/>
        <v>1.5699628467956439</v>
      </c>
      <c r="T270" s="160" t="str">
        <f t="shared" si="140"/>
        <v>1+5.8255629522981i</v>
      </c>
      <c r="U270" s="160">
        <f t="shared" si="149"/>
        <v>5.9107684535251552</v>
      </c>
      <c r="V270" s="160">
        <f t="shared" si="150"/>
        <v>1.4007959305685647</v>
      </c>
      <c r="W270" s="98" t="str">
        <f t="shared" si="141"/>
        <v>1-0.00374933925129304i</v>
      </c>
      <c r="X270" s="160">
        <f t="shared" si="151"/>
        <v>1.000007028747709</v>
      </c>
      <c r="Y270" s="160">
        <f t="shared" si="152"/>
        <v>-3.749321682606365E-3</v>
      </c>
      <c r="Z270" s="98" t="str">
        <f t="shared" si="142"/>
        <v>0.995614087215427-0.088138917597293i</v>
      </c>
      <c r="AA270" s="160">
        <f t="shared" si="153"/>
        <v>0.99950781860725357</v>
      </c>
      <c r="AB270" s="160">
        <f t="shared" si="154"/>
        <v>-8.8297007141561037E-2</v>
      </c>
      <c r="AC270" s="171" t="str">
        <f>(IMDIV(IMPRODUCT(P270,T270,W270),IMPRODUCT(Q270,Z270)))</f>
        <v>8.63203646573213-0.732184702406558i</v>
      </c>
      <c r="AD270" s="190">
        <f t="shared" si="156"/>
        <v>18.75339979321717</v>
      </c>
      <c r="AE270" s="169">
        <f t="shared" si="157"/>
        <v>-4.8483247886571528</v>
      </c>
      <c r="AF270" s="98" t="str">
        <f t="shared" si="143"/>
        <v>-0.0000114342530449913</v>
      </c>
      <c r="AG270" s="98" t="str">
        <f t="shared" si="144"/>
        <v>0.0024977101157978i</v>
      </c>
      <c r="AH270" s="98">
        <f t="shared" si="158"/>
        <v>2.4977101157977999E-3</v>
      </c>
      <c r="AI270" s="98">
        <f t="shared" si="159"/>
        <v>1.5707963267948966</v>
      </c>
      <c r="AJ270" s="98" t="str">
        <f t="shared" si="145"/>
        <v>1+0.0228766082496385i</v>
      </c>
      <c r="AK270" s="98">
        <f t="shared" si="160"/>
        <v>1.0002616353759688</v>
      </c>
      <c r="AL270" s="98">
        <f t="shared" si="161"/>
        <v>2.2872618760285762E-2</v>
      </c>
      <c r="AM270" s="98" t="str">
        <f t="shared" si="146"/>
        <v>1+54.926736407382i</v>
      </c>
      <c r="AN270" s="98">
        <f t="shared" si="162"/>
        <v>54.935838688109826</v>
      </c>
      <c r="AO270" s="98">
        <f t="shared" si="163"/>
        <v>1.5525922680727677</v>
      </c>
      <c r="AP270" s="168" t="str">
        <f t="shared" si="164"/>
        <v>-0.251212600559387+0.0103247866075537i</v>
      </c>
      <c r="AQ270" s="98">
        <f t="shared" si="165"/>
        <v>-11.991841728798043</v>
      </c>
      <c r="AR270" s="169">
        <f t="shared" si="166"/>
        <v>177.64647974383757</v>
      </c>
      <c r="AS270" s="168" t="str">
        <f t="shared" si="167"/>
        <v>-2.16091667787037+0.273057957678659i</v>
      </c>
      <c r="AT270" s="190">
        <f t="shared" si="168"/>
        <v>6.7615580644191455</v>
      </c>
      <c r="AU270" s="169">
        <f t="shared" si="169"/>
        <v>172.79815495518042</v>
      </c>
      <c r="AV270" s="225"/>
      <c r="AX270">
        <f t="shared" si="170"/>
        <v>0</v>
      </c>
      <c r="AY270">
        <f t="shared" si="171"/>
        <v>0</v>
      </c>
    </row>
    <row r="271" spans="14:51" x14ac:dyDescent="0.2">
      <c r="N271" s="170">
        <v>53</v>
      </c>
      <c r="O271" s="199">
        <f t="shared" si="172"/>
        <v>3388.4415613920314</v>
      </c>
      <c r="P271" s="189" t="str">
        <f t="shared" si="138"/>
        <v>1757.57575757576</v>
      </c>
      <c r="Q271" s="160" t="str">
        <f t="shared" si="139"/>
        <v>1+1227.73522609003i</v>
      </c>
      <c r="R271" s="160">
        <f t="shared" si="147"/>
        <v>1227.7356333438959</v>
      </c>
      <c r="S271" s="160">
        <f t="shared" si="148"/>
        <v>1.5699818191082158</v>
      </c>
      <c r="T271" s="160" t="str">
        <f t="shared" si="140"/>
        <v>1+5.96125774517703i</v>
      </c>
      <c r="U271" s="160">
        <f t="shared" si="149"/>
        <v>6.0445507611759801</v>
      </c>
      <c r="V271" s="160">
        <f t="shared" si="150"/>
        <v>1.4045939418527644</v>
      </c>
      <c r="W271" s="98" t="str">
        <f t="shared" si="141"/>
        <v>1-0.00383667258153135i</v>
      </c>
      <c r="X271" s="160">
        <f t="shared" si="151"/>
        <v>1.0000073600011641</v>
      </c>
      <c r="Y271" s="160">
        <f t="shared" si="152"/>
        <v>-3.8366537563518932E-3</v>
      </c>
      <c r="Z271" s="98" t="str">
        <f t="shared" si="142"/>
        <v>0.995407385514012-0.0901919367245209i</v>
      </c>
      <c r="AA271" s="160">
        <f t="shared" si="153"/>
        <v>0.99948509172771594</v>
      </c>
      <c r="AB271" s="160">
        <f t="shared" si="154"/>
        <v>-9.0361320260095454E-2</v>
      </c>
      <c r="AC271" s="171" t="str">
        <f t="shared" si="155"/>
        <v>8.63074268094312-0.682062673855572i</v>
      </c>
      <c r="AD271" s="190">
        <f t="shared" si="156"/>
        <v>18.748001954719982</v>
      </c>
      <c r="AE271" s="169">
        <f t="shared" si="157"/>
        <v>-4.5185291349236891</v>
      </c>
      <c r="AF271" s="98" t="str">
        <f t="shared" si="143"/>
        <v>-0.0000114342530449913</v>
      </c>
      <c r="AG271" s="98" t="str">
        <f t="shared" si="144"/>
        <v>0.00255588925824465i</v>
      </c>
      <c r="AH271" s="98">
        <f t="shared" si="158"/>
        <v>2.55588925824465E-3</v>
      </c>
      <c r="AI271" s="98">
        <f t="shared" si="159"/>
        <v>1.5707963267948966</v>
      </c>
      <c r="AJ271" s="98" t="str">
        <f t="shared" si="145"/>
        <v>1+0.0234094729090072i</v>
      </c>
      <c r="AK271" s="98">
        <f t="shared" si="160"/>
        <v>1.0002739641827521</v>
      </c>
      <c r="AL271" s="98">
        <f t="shared" si="161"/>
        <v>2.3405198157380146E-2</v>
      </c>
      <c r="AM271" s="98" t="str">
        <f t="shared" si="146"/>
        <v>1+56.2061444545262i</v>
      </c>
      <c r="AN271" s="98">
        <f t="shared" si="162"/>
        <v>56.215039575215691</v>
      </c>
      <c r="AO271" s="98">
        <f t="shared" si="163"/>
        <v>1.5530065546004181</v>
      </c>
      <c r="AP271" s="168" t="str">
        <f t="shared" si="164"/>
        <v>-0.251206407990874+0.0103542983618748i</v>
      </c>
      <c r="AQ271" s="98">
        <f t="shared" si="165"/>
        <v>-11.99201355472416</v>
      </c>
      <c r="AR271" s="169">
        <f t="shared" si="166"/>
        <v>177.63970206167193</v>
      </c>
      <c r="AS271" s="168" t="str">
        <f t="shared" si="167"/>
        <v>-2.16103558674665+0.260703799126962i</v>
      </c>
      <c r="AT271" s="190">
        <f t="shared" si="168"/>
        <v>6.7559883999958279</v>
      </c>
      <c r="AU271" s="169">
        <f t="shared" si="169"/>
        <v>173.12117292674824</v>
      </c>
      <c r="AV271" s="225"/>
      <c r="AX271">
        <f t="shared" si="170"/>
        <v>0</v>
      </c>
      <c r="AY271">
        <f t="shared" si="171"/>
        <v>0</v>
      </c>
    </row>
    <row r="272" spans="14:51" x14ac:dyDescent="0.2">
      <c r="N272" s="170">
        <v>54</v>
      </c>
      <c r="O272" s="199">
        <f t="shared" si="172"/>
        <v>3467.3685045253224</v>
      </c>
      <c r="P272" s="189" t="str">
        <f t="shared" si="138"/>
        <v>1757.57575757576</v>
      </c>
      <c r="Q272" s="160" t="str">
        <f t="shared" si="139"/>
        <v>1+1256.33285323416i</v>
      </c>
      <c r="R272" s="160">
        <f t="shared" si="147"/>
        <v>1256.3332512177992</v>
      </c>
      <c r="S272" s="160">
        <f t="shared" si="148"/>
        <v>1.5700003595587952</v>
      </c>
      <c r="T272" s="160" t="str">
        <f t="shared" si="140"/>
        <v>1+6.10011327581903i</v>
      </c>
      <c r="U272" s="160">
        <f t="shared" si="149"/>
        <v>6.1815355679494051</v>
      </c>
      <c r="V272" s="160">
        <f t="shared" si="150"/>
        <v>1.4083101820835977</v>
      </c>
      <c r="W272" s="98" t="str">
        <f t="shared" si="141"/>
        <v>1-0.00392604016635674i</v>
      </c>
      <c r="X272" s="160">
        <f t="shared" si="151"/>
        <v>1.000007706865996</v>
      </c>
      <c r="Y272" s="160">
        <f t="shared" si="152"/>
        <v>-3.926019994821923E-3</v>
      </c>
      <c r="Z272" s="98" t="str">
        <f t="shared" si="142"/>
        <v>0.99519094226153-0.0922927768104314i</v>
      </c>
      <c r="AA272" s="160">
        <f t="shared" si="153"/>
        <v>0.99946133902756451</v>
      </c>
      <c r="AB272" s="160">
        <f t="shared" si="154"/>
        <v>-9.2474260546935041E-2</v>
      </c>
      <c r="AC272" s="171" t="str">
        <f t="shared" si="155"/>
        <v>8.62939204823199-0.632298395845337i</v>
      </c>
      <c r="AD272" s="190">
        <f t="shared" si="156"/>
        <v>18.742858387400268</v>
      </c>
      <c r="AE272" s="169">
        <f t="shared" si="157"/>
        <v>-4.1907242911048677</v>
      </c>
      <c r="AF272" s="98" t="str">
        <f t="shared" si="143"/>
        <v>-0.0000114342530449913</v>
      </c>
      <c r="AG272" s="98" t="str">
        <f t="shared" si="144"/>
        <v>0.0026154235670074i</v>
      </c>
      <c r="AH272" s="98">
        <f t="shared" si="158"/>
        <v>2.6154235670074002E-3</v>
      </c>
      <c r="AI272" s="98">
        <f t="shared" si="159"/>
        <v>1.5707963267948966</v>
      </c>
      <c r="AJ272" s="98" t="str">
        <f t="shared" si="145"/>
        <v>1+0.0239547495807732i</v>
      </c>
      <c r="AK272" s="98">
        <f t="shared" si="160"/>
        <v>1.0002868738654314</v>
      </c>
      <c r="AL272" s="98">
        <f t="shared" si="161"/>
        <v>2.395016917282513E-2</v>
      </c>
      <c r="AM272" s="98" t="str">
        <f t="shared" si="146"/>
        <v>1+57.5153537434365i</v>
      </c>
      <c r="AN272" s="98">
        <f t="shared" si="162"/>
        <v>57.524046417412563</v>
      </c>
      <c r="AO272" s="98">
        <f t="shared" si="163"/>
        <v>1.5534114167168407</v>
      </c>
      <c r="AP272" s="168" t="str">
        <f t="shared" si="164"/>
        <v>-0.251199923902816+0.010389286442501i</v>
      </c>
      <c r="AQ272" s="98">
        <f t="shared" si="165"/>
        <v>-11.99218750917324</v>
      </c>
      <c r="AR272" s="169">
        <f t="shared" si="166"/>
        <v>177.63167441308573</v>
      </c>
      <c r="AS272" s="168" t="str">
        <f t="shared" si="167"/>
        <v>-2.16113349669187+0.248486534733944i</v>
      </c>
      <c r="AT272" s="190">
        <f t="shared" si="168"/>
        <v>6.7506708782270275</v>
      </c>
      <c r="AU272" s="169">
        <f t="shared" si="169"/>
        <v>173.44095012198085</v>
      </c>
      <c r="AV272" s="225"/>
      <c r="AX272">
        <f t="shared" si="170"/>
        <v>0</v>
      </c>
      <c r="AY272">
        <f t="shared" si="171"/>
        <v>0</v>
      </c>
    </row>
    <row r="273" spans="14:51" x14ac:dyDescent="0.2">
      <c r="N273" s="170">
        <v>55</v>
      </c>
      <c r="O273" s="199">
        <f t="shared" si="172"/>
        <v>3548.1338923357539</v>
      </c>
      <c r="P273" s="189" t="str">
        <f t="shared" si="138"/>
        <v>1757.57575757576</v>
      </c>
      <c r="Q273" s="160" t="str">
        <f t="shared" si="139"/>
        <v>1+1285.59660468659i</v>
      </c>
      <c r="R273" s="160">
        <f t="shared" si="147"/>
        <v>1285.5969936110182</v>
      </c>
      <c r="S273" s="160">
        <f t="shared" si="148"/>
        <v>1.5700184779777235</v>
      </c>
      <c r="T273" s="160" t="str">
        <f t="shared" si="140"/>
        <v>1+6.24220316726437i</v>
      </c>
      <c r="U273" s="160">
        <f t="shared" si="149"/>
        <v>6.3217956611555657</v>
      </c>
      <c r="V273" s="160">
        <f t="shared" si="150"/>
        <v>1.4119462108699743</v>
      </c>
      <c r="W273" s="98" t="str">
        <f t="shared" si="141"/>
        <v>1-0.0040174893896456i</v>
      </c>
      <c r="X273" s="160">
        <f t="shared" si="151"/>
        <v>1.0000080700779348</v>
      </c>
      <c r="Y273" s="160">
        <f t="shared" si="152"/>
        <v>-4.0174677754660475E-3</v>
      </c>
      <c r="Z273" s="98" t="str">
        <f t="shared" si="142"/>
        <v>0.994964298352823-0.0944425517482457i</v>
      </c>
      <c r="AA273" s="160">
        <f t="shared" si="153"/>
        <v>0.99943651653191323</v>
      </c>
      <c r="AB273" s="160">
        <f t="shared" si="154"/>
        <v>-9.4636999366903618E-2</v>
      </c>
      <c r="AC273" s="171" t="str">
        <f t="shared" si="155"/>
        <v>8.62798157395589-0.582865214680912i</v>
      </c>
      <c r="AD273" s="190">
        <f t="shared" si="156"/>
        <v>18.737959022227429</v>
      </c>
      <c r="AE273" s="169">
        <f t="shared" si="157"/>
        <v>-3.8647570616968938</v>
      </c>
      <c r="AF273" s="98" t="str">
        <f t="shared" si="143"/>
        <v>-0.0000114342530449913</v>
      </c>
      <c r="AG273" s="98" t="str">
        <f t="shared" si="144"/>
        <v>0.0026763446079646i</v>
      </c>
      <c r="AH273" s="98">
        <f t="shared" si="158"/>
        <v>2.6763446079645999E-3</v>
      </c>
      <c r="AI273" s="98">
        <f t="shared" si="159"/>
        <v>1.5707963267948966</v>
      </c>
      <c r="AJ273" s="98" t="str">
        <f t="shared" si="145"/>
        <v>1+0.0245127273778455i</v>
      </c>
      <c r="AK273" s="98">
        <f t="shared" si="160"/>
        <v>1.0003003917841382</v>
      </c>
      <c r="AL273" s="98">
        <f t="shared" si="161"/>
        <v>2.4507819461902332E-2</v>
      </c>
      <c r="AM273" s="98" t="str">
        <f t="shared" si="146"/>
        <v>1+58.8550584342069i</v>
      </c>
      <c r="AN273" s="98">
        <f t="shared" si="162"/>
        <v>58.863553267653742</v>
      </c>
      <c r="AO273" s="98">
        <f t="shared" si="163"/>
        <v>1.5538070685540857</v>
      </c>
      <c r="AP273" s="168" t="str">
        <f t="shared" si="164"/>
        <v>-0.251193134587857+0.0104297684247745i</v>
      </c>
      <c r="AQ273" s="98">
        <f t="shared" si="165"/>
        <v>-11.992363960604299</v>
      </c>
      <c r="AR273" s="169">
        <f t="shared" si="166"/>
        <v>177.62239258550809</v>
      </c>
      <c r="AS273" s="168" t="str">
        <f t="shared" si="167"/>
        <v>-2.16121058751627+0.236399590107504i</v>
      </c>
      <c r="AT273" s="190">
        <f t="shared" si="168"/>
        <v>6.7455950616231144</v>
      </c>
      <c r="AU273" s="169">
        <f t="shared" si="169"/>
        <v>173.75763552381119</v>
      </c>
      <c r="AV273" s="225"/>
      <c r="AX273">
        <f t="shared" si="170"/>
        <v>0</v>
      </c>
      <c r="AY273">
        <f t="shared" si="171"/>
        <v>0</v>
      </c>
    </row>
    <row r="274" spans="14:51" x14ac:dyDescent="0.2">
      <c r="N274" s="170">
        <v>56</v>
      </c>
      <c r="O274" s="199">
        <f t="shared" si="172"/>
        <v>3630.7805477010188</v>
      </c>
      <c r="P274" s="189" t="str">
        <f t="shared" si="138"/>
        <v>1757.57575757576</v>
      </c>
      <c r="Q274" s="160" t="str">
        <f t="shared" si="139"/>
        <v>1+1315.54199647573i</v>
      </c>
      <c r="R274" s="160">
        <f t="shared" si="147"/>
        <v>1315.5423765471598</v>
      </c>
      <c r="S274" s="160">
        <f t="shared" si="148"/>
        <v>1.5700361839715788</v>
      </c>
      <c r="T274" s="160" t="str">
        <f t="shared" si="140"/>
        <v>1+6.38760275745438i</v>
      </c>
      <c r="U274" s="160">
        <f t="shared" si="149"/>
        <v>6.4654055547226736</v>
      </c>
      <c r="V274" s="160">
        <f t="shared" si="150"/>
        <v>1.415503571320075</v>
      </c>
      <c r="W274" s="98" t="str">
        <f t="shared" si="141"/>
        <v>1-0.00411106873898663i</v>
      </c>
      <c r="X274" s="160">
        <f t="shared" si="151"/>
        <v>1.0000084504073836</v>
      </c>
      <c r="Y274" s="160">
        <f t="shared" si="152"/>
        <v>-4.1110455789865443E-3</v>
      </c>
      <c r="Z274" s="98" t="str">
        <f t="shared" si="142"/>
        <v>0.994726973045774-0.0966424013770926i</v>
      </c>
      <c r="AA274" s="160">
        <f t="shared" si="153"/>
        <v>0.99941057861558524</v>
      </c>
      <c r="AB274" s="160">
        <f t="shared" si="154"/>
        <v>-9.6850738117882085E-2</v>
      </c>
      <c r="AC274" s="171" t="str">
        <f t="shared" si="155"/>
        <v>8.62650812516526-0.533736634178428i</v>
      </c>
      <c r="AD274" s="190">
        <f t="shared" si="156"/>
        <v>18.733294226607299</v>
      </c>
      <c r="AE274" s="169">
        <f t="shared" si="157"/>
        <v>-3.5404735262415583</v>
      </c>
      <c r="AF274" s="98" t="str">
        <f t="shared" si="143"/>
        <v>-0.0000114342530449913</v>
      </c>
      <c r="AG274" s="98" t="str">
        <f t="shared" si="144"/>
        <v>0.00273868468225857i</v>
      </c>
      <c r="AH274" s="98">
        <f t="shared" si="158"/>
        <v>2.7386846822585699E-3</v>
      </c>
      <c r="AI274" s="98">
        <f t="shared" si="159"/>
        <v>1.5707963267948966</v>
      </c>
      <c r="AJ274" s="98" t="str">
        <f t="shared" si="145"/>
        <v>1+0.0250837021474379i</v>
      </c>
      <c r="AK274" s="98">
        <f t="shared" si="160"/>
        <v>1.000314546586933</v>
      </c>
      <c r="AL274" s="98">
        <f t="shared" si="161"/>
        <v>2.5078443310064397E-2</v>
      </c>
      <c r="AM274" s="98" t="str">
        <f t="shared" si="146"/>
        <v>1+60.2259688559984i</v>
      </c>
      <c r="AN274" s="98">
        <f t="shared" si="162"/>
        <v>60.234270350388485</v>
      </c>
      <c r="AO274" s="98">
        <f t="shared" si="163"/>
        <v>1.5541937193962265</v>
      </c>
      <c r="AP274" s="168" t="str">
        <f t="shared" si="164"/>
        <v>-0.25118602569568+0.0104757647273269i</v>
      </c>
      <c r="AQ274" s="98">
        <f t="shared" si="165"/>
        <v>-11.992543282744677</v>
      </c>
      <c r="AR274" s="169">
        <f t="shared" si="166"/>
        <v>177.61185170871875</v>
      </c>
      <c r="AS274" s="168" t="str">
        <f t="shared" si="167"/>
        <v>-2.16126699218574+0.224436453445074i</v>
      </c>
      <c r="AT274" s="190">
        <f t="shared" si="168"/>
        <v>6.7407509438626034</v>
      </c>
      <c r="AU274" s="169">
        <f t="shared" si="169"/>
        <v>174.07137818247713</v>
      </c>
      <c r="AV274" s="225"/>
      <c r="AX274">
        <f t="shared" si="170"/>
        <v>0</v>
      </c>
      <c r="AY274">
        <f t="shared" si="171"/>
        <v>0</v>
      </c>
    </row>
    <row r="275" spans="14:51" x14ac:dyDescent="0.2">
      <c r="N275" s="170">
        <v>57</v>
      </c>
      <c r="O275" s="199">
        <f t="shared" si="172"/>
        <v>3715.352290971724</v>
      </c>
      <c r="P275" s="189" t="str">
        <f t="shared" ref="P275:P338" si="173">COMPLEX(Adc,0)</f>
        <v>1757.57575757576</v>
      </c>
      <c r="Q275" s="160" t="str">
        <f t="shared" ref="Q275:Q338" si="174">IMSUM(COMPLEX(1,0),IMDIV(COMPLEX(0,2*PI()*O275),COMPLEX(wp_lf,0)))</f>
        <v>1+1346.18490604464i</v>
      </c>
      <c r="R275" s="160">
        <f t="shared" si="147"/>
        <v>1346.1852774645906</v>
      </c>
      <c r="S275" s="160">
        <f t="shared" si="148"/>
        <v>1.5700534869282685</v>
      </c>
      <c r="T275" s="160" t="str">
        <f t="shared" ref="T275:T338" si="175">IMSUM(COMPLEX(1,0),IMDIV(COMPLEX(0,2*PI()*O275),COMPLEX(wz_esr,0)))</f>
        <v>1+6.53638913917629i</v>
      </c>
      <c r="U275" s="160">
        <f t="shared" si="149"/>
        <v>6.6124415293249852</v>
      </c>
      <c r="V275" s="160">
        <f t="shared" si="150"/>
        <v>1.4189837892675399</v>
      </c>
      <c r="W275" s="98" t="str">
        <f t="shared" ref="W275:W338" si="176">IMSUB(COMPLEX(1,0),IMDIV(COMPLEX(0,2*PI()*O275),COMPLEX(wz_rhp,0)))</f>
        <v>1-0.0042068278313895i</v>
      </c>
      <c r="X275" s="160">
        <f t="shared" si="151"/>
        <v>1.0000088486610521</v>
      </c>
      <c r="Y275" s="160">
        <f t="shared" si="152"/>
        <v>-4.2068030150141577E-3</v>
      </c>
      <c r="Z275" s="98" t="str">
        <f t="shared" ref="Z275:Z338" si="177">IF(Dc_Mode_Loop="CCM",IMSUM(COMPLEX(1,0),IMDIV(COMPLEX(0,2*PI()*O275),COMPLEX(Q*(wsl/2),0)),IMDIV(IMPOWER(COMPLEX(0,2*PI()*O275),2),IMPOWER(COMPLEX(wsl/2,0),2))),COMPLEX(1,0))</f>
        <v>0.994478462941588-0.0988934920863628i</v>
      </c>
      <c r="AA275" s="160">
        <f t="shared" si="153"/>
        <v>0.99938347796614035</v>
      </c>
      <c r="AB275" s="160">
        <f t="shared" si="154"/>
        <v>-9.9116709124601826E-2</v>
      </c>
      <c r="AC275" s="171" t="str">
        <f t="shared" si="155"/>
        <v>8.62496842177214-0.484886300471707i</v>
      </c>
      <c r="AD275" s="190">
        <f t="shared" si="156"/>
        <v>18.72885478981334</v>
      </c>
      <c r="AE275" s="169">
        <f t="shared" si="157"/>
        <v>-3.2177190342148472</v>
      </c>
      <c r="AF275" s="98" t="str">
        <f t="shared" ref="AF275:AF338" si="178">COMPLEX(Adc_ea,0)</f>
        <v>-0.0000114342530449913</v>
      </c>
      <c r="AG275" s="98" t="str">
        <f t="shared" ref="AG275:AG338" si="179">COMPLEX(0,2*PI()*O275*wp0_ea)</f>
        <v>0.00280247684342183i</v>
      </c>
      <c r="AH275" s="98">
        <f t="shared" si="158"/>
        <v>2.8024768434218301E-3</v>
      </c>
      <c r="AI275" s="98">
        <f t="shared" si="159"/>
        <v>1.5707963267948966</v>
      </c>
      <c r="AJ275" s="98" t="str">
        <f t="shared" ref="AJ275:AJ338" si="180">IMSUM(COMPLEX(1,0),IMDIV(COMPLEX(0,2*PI()*O275),COMPLEX(wp1_ea,0)))</f>
        <v>1+0.0256679766279309i</v>
      </c>
      <c r="AK275" s="98">
        <f t="shared" si="160"/>
        <v>1.0003293682703573</v>
      </c>
      <c r="AL275" s="98">
        <f t="shared" si="161"/>
        <v>2.5662341782363256E-2</v>
      </c>
      <c r="AM275" s="98" t="str">
        <f t="shared" ref="AM275:AM338" si="181">IMSUM(COMPLEX(1,0),IMDIV(COMPLEX(0,2*PI()*O275),COMPLEX(wz_ea,0)))</f>
        <v>1+61.6288118836621i</v>
      </c>
      <c r="AN275" s="98">
        <f t="shared" si="162"/>
        <v>61.636924438130514</v>
      </c>
      <c r="AO275" s="98">
        <f t="shared" si="163"/>
        <v>1.5545715737879608</v>
      </c>
      <c r="AP275" s="168" t="str">
        <f t="shared" si="164"/>
        <v>-0.251178582202987+0.0105272986179402i</v>
      </c>
      <c r="AQ275" s="98">
        <f t="shared" si="165"/>
        <v>-11.992725855378453</v>
      </c>
      <c r="AR275" s="169">
        <f t="shared" si="166"/>
        <v>177.60004625250875</v>
      </c>
      <c r="AS275" s="168" t="str">
        <f t="shared" si="167"/>
        <v>-2.16130279684545+0.212590671628435i</v>
      </c>
      <c r="AT275" s="190">
        <f t="shared" si="168"/>
        <v>6.7361289344349009</v>
      </c>
      <c r="AU275" s="169">
        <f t="shared" si="169"/>
        <v>174.38232721829388</v>
      </c>
      <c r="AV275" s="225"/>
      <c r="AX275">
        <f t="shared" si="170"/>
        <v>0</v>
      </c>
      <c r="AY275">
        <f t="shared" si="171"/>
        <v>0</v>
      </c>
    </row>
    <row r="276" spans="14:51" x14ac:dyDescent="0.2">
      <c r="N276" s="170">
        <v>58</v>
      </c>
      <c r="O276" s="199">
        <f t="shared" si="172"/>
        <v>3801.8939632056172</v>
      </c>
      <c r="P276" s="189" t="str">
        <f t="shared" si="173"/>
        <v>1757.57575757576</v>
      </c>
      <c r="Q276" s="160" t="str">
        <f t="shared" si="174"/>
        <v>1+1377.54158066961i</v>
      </c>
      <c r="R276" s="160">
        <f t="shared" ref="R276:R339" si="182">IMABS(Q276)</f>
        <v>1377.5419436350126</v>
      </c>
      <c r="S276" s="160">
        <f t="shared" ref="S276:S339" si="183">IMARGUMENT(Q276)</f>
        <v>1.5700703960220082</v>
      </c>
      <c r="T276" s="160" t="str">
        <f t="shared" si="175"/>
        <v>1+6.68864120093913i</v>
      </c>
      <c r="U276" s="160">
        <f t="shared" ref="U276:U339" si="184">IMABS(T276)</f>
        <v>6.7629816734115469</v>
      </c>
      <c r="V276" s="160">
        <f t="shared" ref="V276:V339" si="185">IMARGUMENT(T276)</f>
        <v>1.4223883725798128</v>
      </c>
      <c r="W276" s="98" t="str">
        <f t="shared" si="176"/>
        <v>1-0.00430481743959252i</v>
      </c>
      <c r="X276" s="160">
        <f t="shared" ref="X276:X339" si="186">IMABS(W276)</f>
        <v>1.0000092656836677</v>
      </c>
      <c r="Y276" s="160">
        <f t="shared" ref="Y276:Y339" si="187">IMARGUMENT(W276)</f>
        <v>-4.3047908483805622E-3</v>
      </c>
      <c r="Z276" s="98" t="str">
        <f t="shared" si="177"/>
        <v>0.994218240917016-0.101197017434147i</v>
      </c>
      <c r="AA276" s="160">
        <f t="shared" ref="AA276:AA339" si="188">IMABS(Z276)</f>
        <v>0.99935516554911186</v>
      </c>
      <c r="AB276" s="160">
        <f t="shared" ref="AB276:AB339" si="189">IMARGUMENT(Z276)</f>
        <v>-0.10143617656686406</v>
      </c>
      <c r="AC276" s="171" t="str">
        <f t="shared" ref="AC276:AC339" si="190">(IMDIV(IMPRODUCT(P276,T276,W276),IMPRODUCT(Q276,Z276)))</f>
        <v>8.62335902829233-0.436287986829662i</v>
      </c>
      <c r="AD276" s="190">
        <f t="shared" ref="AD276:AD339" si="191">20*LOG(IMABS(AC276))</f>
        <v>18.724631908741603</v>
      </c>
      <c r="AE276" s="169">
        <f t="shared" ref="AE276:AE339" si="192">(180/PI())*IMARGUMENT(AC276)</f>
        <v>-2.8963381932635244</v>
      </c>
      <c r="AF276" s="98" t="str">
        <f t="shared" si="178"/>
        <v>-0.0000114342530449913</v>
      </c>
      <c r="AG276" s="98" t="str">
        <f t="shared" si="179"/>
        <v>0.00286775491490265i</v>
      </c>
      <c r="AH276" s="98">
        <f t="shared" ref="AH276:AH339" si="193">IMABS(AG276)</f>
        <v>2.8677549149026499E-3</v>
      </c>
      <c r="AI276" s="98">
        <f t="shared" ref="AI276:AI339" si="194">IMARGUMENT(AG276)</f>
        <v>1.5707963267948966</v>
      </c>
      <c r="AJ276" s="98" t="str">
        <f t="shared" si="180"/>
        <v>1+0.0262658606093879i</v>
      </c>
      <c r="AK276" s="98">
        <f t="shared" ref="AK276:AK339" si="195">IMABS(AJ276)</f>
        <v>1.0003448882428259</v>
      </c>
      <c r="AL276" s="98">
        <f t="shared" ref="AL276:AL339" si="196">IMARGUMENT(AJ276)</f>
        <v>2.6259822876002821E-2</v>
      </c>
      <c r="AM276" s="98" t="str">
        <f t="shared" si="181"/>
        <v>1+63.0643313231403i</v>
      </c>
      <c r="AN276" s="98">
        <f t="shared" ref="AN276:AN339" si="197">IMABS(AM276)</f>
        <v>63.072259236805643</v>
      </c>
      <c r="AO276" s="98">
        <f t="shared" ref="AO276:AO339" si="198">IMARGUMENT(AM276)</f>
        <v>1.5549408316408593</v>
      </c>
      <c r="AP276" s="168" t="str">
        <f t="shared" ref="AP276:AP339" si="199">IMPRODUCT(AF276,IMDIV(AM276,IMPRODUCT(AG276,AJ276)))</f>
        <v>-0.251170788382104+0.0105843962205668i</v>
      </c>
      <c r="AQ276" s="98">
        <f t="shared" ref="AQ276:AQ339" si="200">20*LOG(IMABS(AP276))</f>
        <v>-11.992912065147072</v>
      </c>
      <c r="AR276" s="169">
        <f t="shared" ref="AR276:AR339" si="201">(180/PI())*IMARGUMENT(AP276)</f>
        <v>177.58697002402747</v>
      </c>
      <c r="AS276" s="168" t="str">
        <f t="shared" ref="AS276:AS339" si="202">IMPRODUCT(AC276,AP276)</f>
        <v>-2.16131804071924+0.200855846321295i</v>
      </c>
      <c r="AT276" s="190">
        <f t="shared" ref="AT276:AT339" si="203">20*LOG(IMABS(AS276))</f>
        <v>6.7317198435945302</v>
      </c>
      <c r="AU276" s="169">
        <f t="shared" ref="AU276:AU339" si="204">(180/PI())*IMARGUMENT(AS276)</f>
        <v>174.69063183076395</v>
      </c>
      <c r="AV276" s="225"/>
      <c r="AX276">
        <f t="shared" ref="AX276:AX339" si="205">SUM((AT277&lt;0)*(AT276&gt;0))*O276</f>
        <v>0</v>
      </c>
      <c r="AY276">
        <f t="shared" ref="AY276:AY339" si="206">IF(AX276&gt;0,AU276,0)</f>
        <v>0</v>
      </c>
    </row>
    <row r="277" spans="14:51" x14ac:dyDescent="0.2">
      <c r="N277" s="170">
        <v>59</v>
      </c>
      <c r="O277" s="199">
        <f t="shared" si="172"/>
        <v>3890.451449942811</v>
      </c>
      <c r="P277" s="189" t="str">
        <f t="shared" si="173"/>
        <v>1757.57575757576</v>
      </c>
      <c r="Q277" s="160" t="str">
        <f t="shared" si="174"/>
        <v>1+1409.62864607456i</v>
      </c>
      <c r="R277" s="160">
        <f t="shared" si="182"/>
        <v>1409.629000777863</v>
      </c>
      <c r="S277" s="160">
        <f t="shared" si="183"/>
        <v>1.5700869202181842</v>
      </c>
      <c r="T277" s="160" t="str">
        <f t="shared" si="175"/>
        <v>1+6.84443966880134i</v>
      </c>
      <c r="U277" s="160">
        <f t="shared" si="184"/>
        <v>6.9171059251583973</v>
      </c>
      <c r="V277" s="160">
        <f t="shared" si="185"/>
        <v>1.4257188105436613</v>
      </c>
      <c r="W277" s="98" t="str">
        <f t="shared" si="176"/>
        <v>1-0.004405089518983i</v>
      </c>
      <c r="X277" s="160">
        <f t="shared" si="186"/>
        <v>1.0000097023597674</v>
      </c>
      <c r="Y277" s="160">
        <f t="shared" si="187"/>
        <v>-4.4050610260009679E-3</v>
      </c>
      <c r="Z277" s="98" t="str">
        <f t="shared" si="177"/>
        <v>0.993945755006255-0.103554198780076i</v>
      </c>
      <c r="AA277" s="160">
        <f t="shared" si="188"/>
        <v>0.99932559057593329</v>
      </c>
      <c r="AB277" s="160">
        <f t="shared" si="189"/>
        <v>-0.10381043744391413</v>
      </c>
      <c r="AC277" s="171" t="str">
        <f t="shared" si="190"/>
        <v>8.62167634513525-0.387915578474314i</v>
      </c>
      <c r="AD277" s="190">
        <f t="shared" si="191"/>
        <v>18.720617173997304</v>
      </c>
      <c r="AE277" s="169">
        <f t="shared" si="192"/>
        <v>-2.5761748509762059</v>
      </c>
      <c r="AF277" s="98" t="str">
        <f t="shared" si="178"/>
        <v>-0.0000114342530449913</v>
      </c>
      <c r="AG277" s="98" t="str">
        <f t="shared" si="179"/>
        <v>0.00293455350799857i</v>
      </c>
      <c r="AH277" s="98">
        <f t="shared" si="193"/>
        <v>2.9345535079985702E-3</v>
      </c>
      <c r="AI277" s="98">
        <f t="shared" si="194"/>
        <v>1.5707963267948966</v>
      </c>
      <c r="AJ277" s="98" t="str">
        <f t="shared" si="180"/>
        <v>1+0.0268776710978097i</v>
      </c>
      <c r="AK277" s="98">
        <f t="shared" si="195"/>
        <v>1.000361139390991</v>
      </c>
      <c r="AL277" s="98">
        <f t="shared" si="196"/>
        <v>2.6871201676062322E-2</v>
      </c>
      <c r="AM277" s="98" t="str">
        <f t="shared" si="181"/>
        <v>1+64.5332883058411i</v>
      </c>
      <c r="AN277" s="98">
        <f t="shared" si="197"/>
        <v>64.541035780074111</v>
      </c>
      <c r="AO277" s="98">
        <f t="shared" si="198"/>
        <v>1.5553016883373014</v>
      </c>
      <c r="AP277" s="168" t="str">
        <f t="shared" si="199"/>
        <v>-0.251162627768139+0.0106470865234847i</v>
      </c>
      <c r="AQ277" s="98">
        <f t="shared" si="200"/>
        <v>-11.99310230636412</v>
      </c>
      <c r="AR277" s="169">
        <f t="shared" si="201"/>
        <v>177.57261616481546</v>
      </c>
      <c r="AS277" s="168" t="str">
        <f t="shared" si="202"/>
        <v>-2.16131271588275+0.189225630065943i</v>
      </c>
      <c r="AT277" s="190">
        <f t="shared" si="203"/>
        <v>6.7275148676331806</v>
      </c>
      <c r="AU277" s="169">
        <f t="shared" si="204"/>
        <v>174.99644131383926</v>
      </c>
      <c r="AV277" s="225"/>
      <c r="AX277">
        <f t="shared" si="205"/>
        <v>0</v>
      </c>
      <c r="AY277">
        <f t="shared" si="206"/>
        <v>0</v>
      </c>
    </row>
    <row r="278" spans="14:51" x14ac:dyDescent="0.2">
      <c r="N278" s="170">
        <v>60</v>
      </c>
      <c r="O278" s="199">
        <f t="shared" si="172"/>
        <v>3981.0717055349769</v>
      </c>
      <c r="P278" s="189" t="str">
        <f t="shared" si="173"/>
        <v>1757.57575757576</v>
      </c>
      <c r="Q278" s="160" t="str">
        <f t="shared" si="174"/>
        <v>1+1442.46311524631i</v>
      </c>
      <c r="R278" s="160">
        <f t="shared" si="182"/>
        <v>1442.4634618755822</v>
      </c>
      <c r="S278" s="160">
        <f t="shared" si="183"/>
        <v>1.5701030682781083</v>
      </c>
      <c r="T278" s="160" t="str">
        <f t="shared" si="175"/>
        <v>1+7.0038671491728i</v>
      </c>
      <c r="U278" s="160">
        <f t="shared" si="184"/>
        <v>7.0748961153688983</v>
      </c>
      <c r="V278" s="160">
        <f t="shared" si="185"/>
        <v>1.4289765733231332</v>
      </c>
      <c r="W278" s="98" t="str">
        <f t="shared" si="176"/>
        <v>1-0.00450769723514469i</v>
      </c>
      <c r="X278" s="160">
        <f t="shared" si="186"/>
        <v>1.000010159615573</v>
      </c>
      <c r="Y278" s="160">
        <f t="shared" si="187"/>
        <v>-4.5076667043811311E-3</v>
      </c>
      <c r="Z278" s="98" t="str">
        <f t="shared" si="177"/>
        <v>0.993660427230156-0.1059662859329i</v>
      </c>
      <c r="AA278" s="160">
        <f t="shared" si="188"/>
        <v>0.99929470047510482</v>
      </c>
      <c r="AB278" s="160">
        <f t="shared" si="189"/>
        <v>-0.10624082257681211</v>
      </c>
      <c r="AC278" s="171" t="str">
        <f t="shared" si="190"/>
        <v>8.61991659940797-0.339743057388964i</v>
      </c>
      <c r="AD278" s="190">
        <f t="shared" si="191"/>
        <v>18.716802556312686</v>
      </c>
      <c r="AE278" s="169">
        <f t="shared" si="192"/>
        <v>-2.2570720703575247</v>
      </c>
      <c r="AF278" s="98" t="str">
        <f t="shared" si="178"/>
        <v>-0.0000114342530449913</v>
      </c>
      <c r="AG278" s="98" t="str">
        <f t="shared" si="179"/>
        <v>0.00300290804020784i</v>
      </c>
      <c r="AH278" s="98">
        <f t="shared" si="193"/>
        <v>3.00290804020784E-3</v>
      </c>
      <c r="AI278" s="98">
        <f t="shared" si="194"/>
        <v>1.5707963267948966</v>
      </c>
      <c r="AJ278" s="98" t="str">
        <f t="shared" si="180"/>
        <v>1+0.0275037324832156i</v>
      </c>
      <c r="AK278" s="98">
        <f t="shared" si="195"/>
        <v>1.0003781561492175</v>
      </c>
      <c r="AL278" s="98">
        <f t="shared" si="196"/>
        <v>2.7496800514438192E-2</v>
      </c>
      <c r="AM278" s="98" t="str">
        <f t="shared" si="181"/>
        <v>1+66.0364616922006i</v>
      </c>
      <c r="AN278" s="98">
        <f t="shared" si="197"/>
        <v>66.044032832841751</v>
      </c>
      <c r="AO278" s="98">
        <f t="shared" si="198"/>
        <v>1.5556543348321494</v>
      </c>
      <c r="AP278" s="168" t="str">
        <f t="shared" si="199"/>
        <v>-0.251154083124626+0.0107154013885677i</v>
      </c>
      <c r="AQ278" s="98">
        <f t="shared" si="200"/>
        <v>-11.993296981846012</v>
      </c>
      <c r="AR278" s="169">
        <f t="shared" si="201"/>
        <v>177.5569771475231</v>
      </c>
      <c r="AS278" s="168" t="str">
        <f t="shared" si="202"/>
        <v>-2.16128676690615+0.177693722375116i</v>
      </c>
      <c r="AT278" s="190">
        <f t="shared" si="203"/>
        <v>6.7235055744666719</v>
      </c>
      <c r="AU278" s="169">
        <f t="shared" si="204"/>
        <v>175.29990507716559</v>
      </c>
      <c r="AV278" s="225"/>
      <c r="AX278">
        <f t="shared" si="205"/>
        <v>0</v>
      </c>
      <c r="AY278">
        <f t="shared" si="206"/>
        <v>0</v>
      </c>
    </row>
    <row r="279" spans="14:51" x14ac:dyDescent="0.2">
      <c r="N279" s="170">
        <v>61</v>
      </c>
      <c r="O279" s="199">
        <f t="shared" si="172"/>
        <v>4073.8027780411317</v>
      </c>
      <c r="P279" s="189" t="str">
        <f t="shared" si="173"/>
        <v>1757.57575757576</v>
      </c>
      <c r="Q279" s="160" t="str">
        <f t="shared" si="174"/>
        <v>1+1476.06239745501i</v>
      </c>
      <c r="R279" s="160">
        <f t="shared" si="182"/>
        <v>1476.0627361940385</v>
      </c>
      <c r="S279" s="160">
        <f t="shared" si="183"/>
        <v>1.5701188487636617</v>
      </c>
      <c r="T279" s="160" t="str">
        <f t="shared" si="175"/>
        <v>1+7.16700817261391i</v>
      </c>
      <c r="U279" s="160">
        <f t="shared" si="184"/>
        <v>7.2364360113466484</v>
      </c>
      <c r="V279" s="160">
        <f t="shared" si="185"/>
        <v>1.4321631114853923</v>
      </c>
      <c r="W279" s="98" t="str">
        <f t="shared" si="176"/>
        <v>1-0.0046126949920469i</v>
      </c>
      <c r="X279" s="160">
        <f t="shared" si="186"/>
        <v>1.0000106384209568</v>
      </c>
      <c r="Y279" s="160">
        <f t="shared" si="187"/>
        <v>-4.6126622777631389E-3</v>
      </c>
      <c r="Z279" s="98" t="str">
        <f t="shared" si="177"/>
        <v>0.99336165237025-0.108434557813155i</v>
      </c>
      <c r="AA279" s="160">
        <f t="shared" si="188"/>
        <v>0.99926244086720661</v>
      </c>
      <c r="AB279" s="160">
        <f t="shared" si="189"/>
        <v>-0.10872869765075489</v>
      </c>
      <c r="AC279" s="171" t="str">
        <f t="shared" si="190"/>
        <v>8.61807583520489-0.291744487106122i</v>
      </c>
      <c r="AD279" s="190">
        <f t="shared" si="191"/>
        <v>18.71318039330043</v>
      </c>
      <c r="AE279" s="169">
        <f t="shared" si="192"/>
        <v>-1.938872099153248</v>
      </c>
      <c r="AF279" s="98" t="str">
        <f t="shared" si="178"/>
        <v>-0.0000114342530449913</v>
      </c>
      <c r="AG279" s="98" t="str">
        <f t="shared" si="179"/>
        <v>0.00307285475400822i</v>
      </c>
      <c r="AH279" s="98">
        <f t="shared" si="193"/>
        <v>3.0728547540082199E-3</v>
      </c>
      <c r="AI279" s="98">
        <f t="shared" si="194"/>
        <v>1.5707963267948966</v>
      </c>
      <c r="AJ279" s="98" t="str">
        <f t="shared" si="180"/>
        <v>1+0.0281443767116391i</v>
      </c>
      <c r="AK279" s="98">
        <f t="shared" si="195"/>
        <v>1.0003959745723123</v>
      </c>
      <c r="AL279" s="98">
        <f t="shared" si="196"/>
        <v>2.8136949132049421E-2</v>
      </c>
      <c r="AM279" s="98" t="str">
        <f t="shared" si="181"/>
        <v>1+67.5746484846454i</v>
      </c>
      <c r="AN279" s="98">
        <f t="shared" si="197"/>
        <v>67.582047304172335</v>
      </c>
      <c r="AO279" s="98">
        <f t="shared" si="198"/>
        <v>1.5559989577522018</v>
      </c>
      <c r="AP279" s="168" t="str">
        <f t="shared" si="199"/>
        <v>-0.251145136407577+0.0107893755616451i</v>
      </c>
      <c r="AQ279" s="98">
        <f t="shared" si="200"/>
        <v>-11.993496503760637</v>
      </c>
      <c r="AR279" s="169">
        <f t="shared" si="201"/>
        <v>177.54004477231533</v>
      </c>
      <c r="AS279" s="168" t="str">
        <f t="shared" si="202"/>
        <v>-2.16124009036395+0.166253865815189i</v>
      </c>
      <c r="AT279" s="190">
        <f t="shared" si="203"/>
        <v>6.719683889539799</v>
      </c>
      <c r="AU279" s="169">
        <f t="shared" si="204"/>
        <v>175.6011726731621</v>
      </c>
      <c r="AV279" s="225"/>
      <c r="AX279">
        <f t="shared" si="205"/>
        <v>0</v>
      </c>
      <c r="AY279">
        <f t="shared" si="206"/>
        <v>0</v>
      </c>
    </row>
    <row r="280" spans="14:51" x14ac:dyDescent="0.2">
      <c r="N280" s="170">
        <v>62</v>
      </c>
      <c r="O280" s="199">
        <f t="shared" si="172"/>
        <v>4168.6938347033583</v>
      </c>
      <c r="P280" s="189" t="str">
        <f t="shared" si="173"/>
        <v>1757.57575757576</v>
      </c>
      <c r="Q280" s="160" t="str">
        <f t="shared" si="174"/>
        <v>1+1510.44430748485i</v>
      </c>
      <c r="R280" s="160">
        <f t="shared" si="182"/>
        <v>1510.4446385132387</v>
      </c>
      <c r="S280" s="160">
        <f t="shared" si="183"/>
        <v>1.570134270041835</v>
      </c>
      <c r="T280" s="160" t="str">
        <f t="shared" si="175"/>
        <v>1+7.33394923865473i</v>
      </c>
      <c r="U280" s="160">
        <f t="shared" si="184"/>
        <v>7.4018113617657324</v>
      </c>
      <c r="V280" s="160">
        <f t="shared" si="185"/>
        <v>1.4352798555900776</v>
      </c>
      <c r="W280" s="98" t="str">
        <f t="shared" si="176"/>
        <v>1-0.00472013846089013i</v>
      </c>
      <c r="X280" s="160">
        <f t="shared" si="186"/>
        <v>1.0000111397914975</v>
      </c>
      <c r="Y280" s="160">
        <f t="shared" si="187"/>
        <v>-4.7201034069246136E-3</v>
      </c>
      <c r="Z280" s="98" t="str">
        <f t="shared" si="177"/>
        <v>0.993048796685002-0.110960323131264i</v>
      </c>
      <c r="AA280" s="160">
        <f t="shared" si="188"/>
        <v>0.99922875554445723</v>
      </c>
      <c r="AB280" s="160">
        <f t="shared" si="189"/>
        <v>-0.11127546429941003</v>
      </c>
      <c r="AC280" s="171" t="str">
        <f t="shared" si="190"/>
        <v>8.61614990334468-0.243893997465304i</v>
      </c>
      <c r="AD280" s="190">
        <f t="shared" si="191"/>
        <v>18.709743376536743</v>
      </c>
      <c r="AE280" s="169">
        <f t="shared" si="192"/>
        <v>-1.6214163331609501</v>
      </c>
      <c r="AF280" s="98" t="str">
        <f t="shared" si="178"/>
        <v>-0.0000114342530449913</v>
      </c>
      <c r="AG280" s="98" t="str">
        <f t="shared" si="179"/>
        <v>0.00314443073607321i</v>
      </c>
      <c r="AH280" s="98">
        <f t="shared" si="193"/>
        <v>3.1444307360732099E-3</v>
      </c>
      <c r="AI280" s="98">
        <f t="shared" si="194"/>
        <v>1.5707963267948966</v>
      </c>
      <c r="AJ280" s="98" t="str">
        <f t="shared" si="180"/>
        <v>1+0.02879994346113i</v>
      </c>
      <c r="AK280" s="98">
        <f t="shared" si="195"/>
        <v>1.0004146324116638</v>
      </c>
      <c r="AL280" s="98">
        <f t="shared" si="196"/>
        <v>2.8791984844351731E-2</v>
      </c>
      <c r="AM280" s="98" t="str">
        <f t="shared" si="181"/>
        <v>1+69.1486642501731i</v>
      </c>
      <c r="AN280" s="98">
        <f t="shared" si="197"/>
        <v>69.155894669819489</v>
      </c>
      <c r="AO280" s="98">
        <f t="shared" si="198"/>
        <v>1.5563357394934711</v>
      </c>
      <c r="AP280" s="168" t="str">
        <f t="shared" si="199"/>
        <v>-0.251135768727894+0.0108690466839267i</v>
      </c>
      <c r="AQ280" s="98">
        <f t="shared" si="200"/>
        <v>-11.993701294494951</v>
      </c>
      <c r="AR280" s="169">
        <f t="shared" si="201"/>
        <v>177.52181016296186</v>
      </c>
      <c r="AS280" s="168" t="str">
        <f t="shared" si="202"/>
        <v>-2.16117253420686+0.154899842076732i</v>
      </c>
      <c r="AT280" s="190">
        <f t="shared" si="203"/>
        <v>6.7160420820418096</v>
      </c>
      <c r="AU280" s="169">
        <f t="shared" si="204"/>
        <v>175.90039382980092</v>
      </c>
      <c r="AV280" s="225"/>
      <c r="AX280">
        <f t="shared" si="205"/>
        <v>0</v>
      </c>
      <c r="AY280">
        <f t="shared" si="206"/>
        <v>0</v>
      </c>
    </row>
    <row r="281" spans="14:51" x14ac:dyDescent="0.2">
      <c r="N281" s="170">
        <v>63</v>
      </c>
      <c r="O281" s="199">
        <f t="shared" si="172"/>
        <v>4265.7951880159299</v>
      </c>
      <c r="P281" s="189" t="str">
        <f t="shared" si="173"/>
        <v>1757.57575757576</v>
      </c>
      <c r="Q281" s="160" t="str">
        <f t="shared" si="174"/>
        <v>1+1545.6270750796i</v>
      </c>
      <c r="R281" s="160">
        <f t="shared" si="182"/>
        <v>1545.6273985728642</v>
      </c>
      <c r="S281" s="160">
        <f t="shared" si="183"/>
        <v>1.5701493402891653</v>
      </c>
      <c r="T281" s="160" t="str">
        <f t="shared" si="175"/>
        <v>1+7.50477886165815i</v>
      </c>
      <c r="U281" s="160">
        <f t="shared" si="184"/>
        <v>7.571109942563969</v>
      </c>
      <c r="V281" s="160">
        <f t="shared" si="185"/>
        <v>1.4383282158380348</v>
      </c>
      <c r="W281" s="98" t="str">
        <f t="shared" si="176"/>
        <v>1-0.00483008460962373i</v>
      </c>
      <c r="X281" s="160">
        <f t="shared" si="186"/>
        <v>1.0000116647906345</v>
      </c>
      <c r="Y281" s="160">
        <f t="shared" si="187"/>
        <v>-4.8300470486466168E-3</v>
      </c>
      <c r="Z281" s="98" t="str">
        <f t="shared" si="177"/>
        <v>0.99272119656556-0.113544921081431i</v>
      </c>
      <c r="AA281" s="160">
        <f t="shared" si="188"/>
        <v>0.99919358645557055</v>
      </c>
      <c r="AB281" s="160">
        <f t="shared" si="189"/>
        <v>-0.1138825612334486</v>
      </c>
      <c r="AC281" s="171" t="str">
        <f t="shared" si="190"/>
        <v>8.61413445052007-0.196165769330791i</v>
      </c>
      <c r="AD281" s="190">
        <f t="shared" si="191"/>
        <v>18.706484538972397</v>
      </c>
      <c r="AE281" s="169">
        <f t="shared" si="192"/>
        <v>-1.3045452736388456</v>
      </c>
      <c r="AF281" s="98" t="str">
        <f t="shared" si="178"/>
        <v>-0.0000114342530449913</v>
      </c>
      <c r="AG281" s="98" t="str">
        <f t="shared" si="179"/>
        <v>0.00321767393693593i</v>
      </c>
      <c r="AH281" s="98">
        <f t="shared" si="193"/>
        <v>3.2176739369359302E-3</v>
      </c>
      <c r="AI281" s="98">
        <f t="shared" si="194"/>
        <v>1.5707963267948966</v>
      </c>
      <c r="AJ281" s="98" t="str">
        <f t="shared" si="180"/>
        <v>1+0.0294707803218562i</v>
      </c>
      <c r="AK281" s="98">
        <f t="shared" si="195"/>
        <v>1.0004341691949445</v>
      </c>
      <c r="AL281" s="98">
        <f t="shared" si="196"/>
        <v>2.9462252710204421E-2</v>
      </c>
      <c r="AM281" s="98" t="str">
        <f t="shared" si="181"/>
        <v>1+70.7593435527768i</v>
      </c>
      <c r="AN281" s="98">
        <f t="shared" si="197"/>
        <v>70.766409404603081</v>
      </c>
      <c r="AO281" s="98">
        <f t="shared" si="198"/>
        <v>1.5566648583163321</v>
      </c>
      <c r="AP281" s="168" t="str">
        <f t="shared" si="199"/>
        <v>-0.251125960312044+0.010954455304466i</v>
      </c>
      <c r="AQ281" s="98">
        <f t="shared" si="200"/>
        <v>-11.99391178754402</v>
      </c>
      <c r="AR281" s="169">
        <f t="shared" si="201"/>
        <v>177.5022637626135</v>
      </c>
      <c r="AS281" s="168" t="str">
        <f t="shared" si="202"/>
        <v>-2.16108389699151+0.143625468028429i</v>
      </c>
      <c r="AT281" s="190">
        <f t="shared" si="203"/>
        <v>6.7125727514283628</v>
      </c>
      <c r="AU281" s="169">
        <f t="shared" si="204"/>
        <v>176.19771848897466</v>
      </c>
      <c r="AV281" s="225"/>
      <c r="AX281">
        <f t="shared" si="205"/>
        <v>0</v>
      </c>
      <c r="AY281">
        <f t="shared" si="206"/>
        <v>0</v>
      </c>
    </row>
    <row r="282" spans="14:51" x14ac:dyDescent="0.2">
      <c r="N282" s="170">
        <v>64</v>
      </c>
      <c r="O282" s="199">
        <f t="shared" si="172"/>
        <v>4365.1583224016631</v>
      </c>
      <c r="P282" s="189" t="str">
        <f t="shared" si="173"/>
        <v>1757.57575757576</v>
      </c>
      <c r="Q282" s="160" t="str">
        <f t="shared" si="174"/>
        <v>1+1581.62935460835i</v>
      </c>
      <c r="R282" s="160">
        <f t="shared" si="182"/>
        <v>1581.62967073801</v>
      </c>
      <c r="S282" s="160">
        <f t="shared" si="183"/>
        <v>1.5701640674960693</v>
      </c>
      <c r="T282" s="160" t="str">
        <f t="shared" si="175"/>
        <v>1+7.67958761775151i</v>
      </c>
      <c r="U282" s="160">
        <f t="shared" si="184"/>
        <v>7.7444216038851028</v>
      </c>
      <c r="V282" s="160">
        <f t="shared" si="185"/>
        <v>1.4413095817754593</v>
      </c>
      <c r="W282" s="98" t="str">
        <f t="shared" si="176"/>
        <v>1-0.00494259173315108i</v>
      </c>
      <c r="X282" s="160">
        <f t="shared" si="186"/>
        <v>1.000012214531923</v>
      </c>
      <c r="Y282" s="160">
        <f t="shared" si="187"/>
        <v>-4.94255148586553E-3</v>
      </c>
      <c r="Z282" s="98" t="str">
        <f t="shared" si="177"/>
        <v>0.992378157128147-0.116189722051699i</v>
      </c>
      <c r="AA282" s="160">
        <f t="shared" si="188"/>
        <v>0.99915687369677253</v>
      </c>
      <c r="AB282" s="160">
        <f t="shared" si="189"/>
        <v>-0.11655146541559781</v>
      </c>
      <c r="AC282" s="171" t="str">
        <f t="shared" si="190"/>
        <v>8.61202490781943-0.14853401925959i</v>
      </c>
      <c r="AD282" s="190">
        <f t="shared" si="191"/>
        <v>18.703397242663769</v>
      </c>
      <c r="AE282" s="169">
        <f t="shared" si="192"/>
        <v>-0.98809847890712699</v>
      </c>
      <c r="AF282" s="98" t="str">
        <f t="shared" si="178"/>
        <v>-0.0000114342530449913</v>
      </c>
      <c r="AG282" s="98" t="str">
        <f t="shared" si="179"/>
        <v>0.00329262319111096i</v>
      </c>
      <c r="AH282" s="98">
        <f t="shared" si="193"/>
        <v>3.2926231911109601E-3</v>
      </c>
      <c r="AI282" s="98">
        <f t="shared" si="194"/>
        <v>1.5707963267948966</v>
      </c>
      <c r="AJ282" s="98" t="str">
        <f t="shared" si="180"/>
        <v>1+0.030157242980401i</v>
      </c>
      <c r="AK282" s="98">
        <f t="shared" si="195"/>
        <v>1.0004546263095488</v>
      </c>
      <c r="AL282" s="98">
        <f t="shared" si="196"/>
        <v>3.0148105704132587E-2</v>
      </c>
      <c r="AM282" s="98" t="str">
        <f t="shared" si="181"/>
        <v>1+72.4075403959427i</v>
      </c>
      <c r="AN282" s="98">
        <f t="shared" si="197"/>
        <v>72.414445424860318</v>
      </c>
      <c r="AO282" s="98">
        <f t="shared" si="198"/>
        <v>1.5569864884385778</v>
      </c>
      <c r="AP282" s="168" t="str">
        <f t="shared" si="199"/>
        <v>-0.251115690460935+0.0110456448936337i</v>
      </c>
      <c r="AQ282" s="98">
        <f t="shared" si="200"/>
        <v>-11.994128428422915</v>
      </c>
      <c r="AR282" s="169">
        <f t="shared" si="201"/>
        <v>177.48139532926396</v>
      </c>
      <c r="AS282" s="168" t="str">
        <f t="shared" si="202"/>
        <v>-2.16097392696248+0.132424591750212i</v>
      </c>
      <c r="AT282" s="190">
        <f t="shared" si="203"/>
        <v>6.7092688142408505</v>
      </c>
      <c r="AU282" s="169">
        <f t="shared" si="204"/>
        <v>176.49329685035684</v>
      </c>
      <c r="AV282" s="225"/>
      <c r="AX282">
        <f t="shared" si="205"/>
        <v>0</v>
      </c>
      <c r="AY282">
        <f t="shared" si="206"/>
        <v>0</v>
      </c>
    </row>
    <row r="283" spans="14:51" x14ac:dyDescent="0.2">
      <c r="N283" s="170">
        <v>65</v>
      </c>
      <c r="O283" s="199">
        <f t="shared" si="172"/>
        <v>4466.8359215096343</v>
      </c>
      <c r="P283" s="189" t="str">
        <f t="shared" si="173"/>
        <v>1757.57575757576</v>
      </c>
      <c r="Q283" s="160" t="str">
        <f t="shared" si="174"/>
        <v>1+1618.47023495626i</v>
      </c>
      <c r="R283" s="160">
        <f t="shared" si="182"/>
        <v>1618.4705438899316</v>
      </c>
      <c r="S283" s="160">
        <f t="shared" si="183"/>
        <v>1.5701784594710817</v>
      </c>
      <c r="T283" s="160" t="str">
        <f t="shared" si="175"/>
        <v>1+7.85846819285117i</v>
      </c>
      <c r="U283" s="160">
        <f t="shared" si="184"/>
        <v>7.9218383180959675</v>
      </c>
      <c r="V283" s="160">
        <f t="shared" si="185"/>
        <v>1.4442253220496788</v>
      </c>
      <c r="W283" s="98" t="str">
        <f t="shared" si="176"/>
        <v>1-0.00505771948423829i</v>
      </c>
      <c r="X283" s="160">
        <f t="shared" si="186"/>
        <v>1.0000127901813962</v>
      </c>
      <c r="Y283" s="160">
        <f t="shared" si="187"/>
        <v>-5.0576763585246298E-3</v>
      </c>
      <c r="Z283" s="98" t="str">
        <f t="shared" si="177"/>
        <v>0.992018950740124-0.118896128350552i</v>
      </c>
      <c r="AA283" s="160">
        <f t="shared" si="188"/>
        <v>0.99911855550994932</v>
      </c>
      <c r="AB283" s="160">
        <f t="shared" si="189"/>
        <v>-0.11928369328467069</v>
      </c>
      <c r="AC283" s="171" t="str">
        <f t="shared" si="190"/>
        <v>8.60981647857726-0.100972984110591i</v>
      </c>
      <c r="AD283" s="190">
        <f t="shared" si="191"/>
        <v>18.700475166814805</v>
      </c>
      <c r="AE283" s="169">
        <f t="shared" si="192"/>
        <v>-0.67191451021956161</v>
      </c>
      <c r="AF283" s="98" t="str">
        <f t="shared" si="178"/>
        <v>-0.0000114342530449913</v>
      </c>
      <c r="AG283" s="98" t="str">
        <f t="shared" si="179"/>
        <v>0.00336931823768494i</v>
      </c>
      <c r="AH283" s="98">
        <f t="shared" si="193"/>
        <v>3.3693182376849399E-3</v>
      </c>
      <c r="AI283" s="98">
        <f t="shared" si="194"/>
        <v>1.5707963267948966</v>
      </c>
      <c r="AJ283" s="98" t="str">
        <f t="shared" si="180"/>
        <v>1+0.0308596954083523i</v>
      </c>
      <c r="AK283" s="98">
        <f t="shared" si="195"/>
        <v>1.0004760470899323</v>
      </c>
      <c r="AL283" s="98">
        <f t="shared" si="196"/>
        <v>3.0849904892024306E-2</v>
      </c>
      <c r="AM283" s="98" t="str">
        <f t="shared" si="181"/>
        <v>1+74.0941286754538i</v>
      </c>
      <c r="AN283" s="98">
        <f t="shared" si="197"/>
        <v>74.100876541203647</v>
      </c>
      <c r="AO283" s="98">
        <f t="shared" si="198"/>
        <v>1.557300800126433</v>
      </c>
      <c r="AP283" s="168" t="str">
        <f t="shared" si="199"/>
        <v>-0.251104937506905+0.0111426618575704i</v>
      </c>
      <c r="AQ283" s="98">
        <f t="shared" si="200"/>
        <v>-11.9943516756035</v>
      </c>
      <c r="AR283" s="169">
        <f t="shared" si="201"/>
        <v>177.45919393089778</v>
      </c>
      <c r="AS283" s="168" t="str">
        <f t="shared" si="202"/>
        <v>-2.16084232098037+0.1212910885415i</v>
      </c>
      <c r="AT283" s="190">
        <f t="shared" si="203"/>
        <v>6.7061234912113044</v>
      </c>
      <c r="AU283" s="169">
        <f t="shared" si="204"/>
        <v>176.78727942067823</v>
      </c>
      <c r="AV283" s="225"/>
      <c r="AX283">
        <f t="shared" si="205"/>
        <v>0</v>
      </c>
      <c r="AY283">
        <f t="shared" si="206"/>
        <v>0</v>
      </c>
    </row>
    <row r="284" spans="14:51" x14ac:dyDescent="0.2">
      <c r="N284" s="170">
        <v>66</v>
      </c>
      <c r="O284" s="199">
        <f t="shared" ref="O284:O318" si="207">10^(3+(N284/100))</f>
        <v>4570.8818961487532</v>
      </c>
      <c r="P284" s="189" t="str">
        <f t="shared" si="173"/>
        <v>1757.57575757576</v>
      </c>
      <c r="Q284" s="160" t="str">
        <f t="shared" si="174"/>
        <v>1+1656.16924964572i</v>
      </c>
      <c r="R284" s="160">
        <f t="shared" si="182"/>
        <v>1656.1695515472038</v>
      </c>
      <c r="S284" s="160">
        <f t="shared" si="183"/>
        <v>1.5701925238449941</v>
      </c>
      <c r="T284" s="160" t="str">
        <f t="shared" si="175"/>
        <v>1+8.0415154318058i</v>
      </c>
      <c r="U284" s="160">
        <f t="shared" si="184"/>
        <v>8.1034542289057718</v>
      </c>
      <c r="V284" s="160">
        <f t="shared" si="185"/>
        <v>1.4470767842129988</v>
      </c>
      <c r="W284" s="98" t="str">
        <f t="shared" si="176"/>
        <v>1-0.00517552890514287i</v>
      </c>
      <c r="X284" s="160">
        <f t="shared" si="186"/>
        <v>1.0000133929600383</v>
      </c>
      <c r="Y284" s="160">
        <f t="shared" si="187"/>
        <v>-5.1754826951415558E-3</v>
      </c>
      <c r="Z284" s="98" t="str">
        <f t="shared" si="177"/>
        <v>0.991642815476584-0.121665574950433i</v>
      </c>
      <c r="AA284" s="160">
        <f t="shared" si="188"/>
        <v>0.99907856828897379</v>
      </c>
      <c r="AB284" s="160">
        <f t="shared" si="189"/>
        <v>-0.12208080203116155</v>
      </c>
      <c r="AC284" s="171" t="str">
        <f t="shared" si="190"/>
        <v>8.60750412550876-0.0534569055860221i</v>
      </c>
      <c r="AD284" s="190">
        <f t="shared" si="191"/>
        <v>18.697712296119867</v>
      </c>
      <c r="AE284" s="169">
        <f t="shared" si="192"/>
        <v>-0.35583087196177526</v>
      </c>
      <c r="AF284" s="98" t="str">
        <f t="shared" si="178"/>
        <v>-0.0000114342530449913</v>
      </c>
      <c r="AG284" s="98" t="str">
        <f t="shared" si="179"/>
        <v>0.00344779974138674i</v>
      </c>
      <c r="AH284" s="98">
        <f t="shared" si="193"/>
        <v>3.4477997413867398E-3</v>
      </c>
      <c r="AI284" s="98">
        <f t="shared" si="194"/>
        <v>1.5707963267948966</v>
      </c>
      <c r="AJ284" s="98" t="str">
        <f t="shared" si="180"/>
        <v>1+0.0315785100552855i</v>
      </c>
      <c r="AK284" s="98">
        <f t="shared" si="195"/>
        <v>1.0004984769090415</v>
      </c>
      <c r="AL284" s="98">
        <f t="shared" si="196"/>
        <v>3.1568019610303769E-2</v>
      </c>
      <c r="AM284" s="98" t="str">
        <f t="shared" si="181"/>
        <v>1+75.8200026427404i</v>
      </c>
      <c r="AN284" s="98">
        <f t="shared" si="197"/>
        <v>75.826596921826592</v>
      </c>
      <c r="AO284" s="98">
        <f t="shared" si="198"/>
        <v>1.557607959783561</v>
      </c>
      <c r="AP284" s="168" t="str">
        <f t="shared" si="199"/>
        <v>-0.251093678768742+0.0112455555535856i</v>
      </c>
      <c r="AQ284" s="98">
        <f t="shared" si="200"/>
        <v>-11.994582001478058</v>
      </c>
      <c r="AR284" s="169">
        <f t="shared" si="201"/>
        <v>177.43564794032426</v>
      </c>
      <c r="AS284" s="168" t="str">
        <f t="shared" si="202"/>
        <v>-2.16068872328963+0.110218856900314i</v>
      </c>
      <c r="AT284" s="190">
        <f t="shared" si="203"/>
        <v>6.7031302946418201</v>
      </c>
      <c r="AU284" s="169">
        <f t="shared" si="204"/>
        <v>177.0798170683625</v>
      </c>
      <c r="AV284" s="225"/>
      <c r="AX284">
        <f t="shared" si="205"/>
        <v>0</v>
      </c>
      <c r="AY284">
        <f t="shared" si="206"/>
        <v>0</v>
      </c>
    </row>
    <row r="285" spans="14:51" x14ac:dyDescent="0.2">
      <c r="N285" s="170">
        <v>67</v>
      </c>
      <c r="O285" s="199">
        <f t="shared" si="207"/>
        <v>4677.3514128719844</v>
      </c>
      <c r="P285" s="189" t="str">
        <f t="shared" si="173"/>
        <v>1757.57575757576</v>
      </c>
      <c r="Q285" s="160" t="str">
        <f t="shared" si="174"/>
        <v>1+1694.74638719334i</v>
      </c>
      <c r="R285" s="160">
        <f t="shared" si="182"/>
        <v>1694.7466822227086</v>
      </c>
      <c r="S285" s="160">
        <f t="shared" si="183"/>
        <v>1.5702062680749016</v>
      </c>
      <c r="T285" s="160" t="str">
        <f t="shared" si="175"/>
        <v>1+8.22882638868441i</v>
      </c>
      <c r="U285" s="160">
        <f t="shared" si="184"/>
        <v>8.2893657016148659</v>
      </c>
      <c r="V285" s="160">
        <f t="shared" si="185"/>
        <v>1.4498652945712107</v>
      </c>
      <c r="W285" s="98" t="str">
        <f t="shared" si="176"/>
        <v>1-0.00529608245997918i</v>
      </c>
      <c r="X285" s="160">
        <f t="shared" si="186"/>
        <v>1.0000140241463731</v>
      </c>
      <c r="Y285" s="160">
        <f t="shared" si="187"/>
        <v>-5.2960329451081809E-3</v>
      </c>
      <c r="Z285" s="98" t="str">
        <f t="shared" si="177"/>
        <v>0.991248953504202-0.124499530248587i</v>
      </c>
      <c r="AA285" s="160">
        <f t="shared" si="188"/>
        <v>0.99903684659540681</v>
      </c>
      <c r="AB285" s="160">
        <f t="shared" si="189"/>
        <v>-0.12494439092717652</v>
      </c>
      <c r="AC285" s="171" t="str">
        <f t="shared" si="190"/>
        <v>8.60508255707749-0.0059600146969182i</v>
      </c>
      <c r="AD285" s="190">
        <f t="shared" si="191"/>
        <v>18.695102909392574</v>
      </c>
      <c r="AE285" s="169">
        <f t="shared" si="192"/>
        <v>-3.9683946214251982E-2</v>
      </c>
      <c r="AF285" s="98" t="str">
        <f t="shared" si="178"/>
        <v>-0.0000114342530449913</v>
      </c>
      <c r="AG285" s="98" t="str">
        <f t="shared" si="179"/>
        <v>0.00352810931414845i</v>
      </c>
      <c r="AH285" s="98">
        <f t="shared" si="193"/>
        <v>3.5281093141484501E-3</v>
      </c>
      <c r="AI285" s="98">
        <f t="shared" si="194"/>
        <v>1.5707963267948966</v>
      </c>
      <c r="AJ285" s="98" t="str">
        <f t="shared" si="180"/>
        <v>1+0.0323140680462409i</v>
      </c>
      <c r="AK285" s="98">
        <f t="shared" si="195"/>
        <v>1.0005219632740188</v>
      </c>
      <c r="AL285" s="98">
        <f t="shared" si="196"/>
        <v>3.2302827648616021E-2</v>
      </c>
      <c r="AM285" s="98" t="str">
        <f t="shared" si="181"/>
        <v>1+77.5860773790244i</v>
      </c>
      <c r="AN285" s="98">
        <f t="shared" si="197"/>
        <v>77.592521566604361</v>
      </c>
      <c r="AO285" s="98">
        <f t="shared" si="198"/>
        <v>1.5579081300381079</v>
      </c>
      <c r="AP285" s="168" t="str">
        <f t="shared" si="199"/>
        <v>-0.251081890504649+0.0113543783064701i</v>
      </c>
      <c r="AQ285" s="98">
        <f t="shared" si="200"/>
        <v>-11.994819893351593</v>
      </c>
      <c r="AR285" s="169">
        <f t="shared" si="201"/>
        <v>177.41074502969761</v>
      </c>
      <c r="AS285" s="168" t="str">
        <f t="shared" si="202"/>
        <v>-2.16051272411801+0.0992018144690026i</v>
      </c>
      <c r="AT285" s="190">
        <f t="shared" si="203"/>
        <v>6.7002830160409648</v>
      </c>
      <c r="AU285" s="169">
        <f t="shared" si="204"/>
        <v>177.37106108348337</v>
      </c>
      <c r="AV285" s="225"/>
      <c r="AX285">
        <f t="shared" si="205"/>
        <v>0</v>
      </c>
      <c r="AY285">
        <f t="shared" si="206"/>
        <v>0</v>
      </c>
    </row>
    <row r="286" spans="14:51" x14ac:dyDescent="0.2">
      <c r="N286" s="170">
        <v>68</v>
      </c>
      <c r="O286" s="199">
        <f t="shared" si="207"/>
        <v>4786.3009232263848</v>
      </c>
      <c r="P286" s="189" t="str">
        <f t="shared" si="173"/>
        <v>1757.57575757576</v>
      </c>
      <c r="Q286" s="160" t="str">
        <f t="shared" si="174"/>
        <v>1+1734.22210170807i</v>
      </c>
      <c r="R286" s="160">
        <f t="shared" si="182"/>
        <v>1734.2223900217514</v>
      </c>
      <c r="S286" s="160">
        <f t="shared" si="183"/>
        <v>1.5702196994481559</v>
      </c>
      <c r="T286" s="160" t="str">
        <f t="shared" si="175"/>
        <v>1+8.42050037823571i</v>
      </c>
      <c r="U286" s="160">
        <f t="shared" si="184"/>
        <v>8.4796713745208159</v>
      </c>
      <c r="V286" s="160">
        <f t="shared" si="185"/>
        <v>1.4525921580735441</v>
      </c>
      <c r="W286" s="98" t="str">
        <f t="shared" si="176"/>
        <v>1-0.00541944406783771i</v>
      </c>
      <c r="X286" s="160">
        <f t="shared" si="186"/>
        <v>1.0000146850791765</v>
      </c>
      <c r="Y286" s="160">
        <f t="shared" si="187"/>
        <v>-5.4193910117396171E-3</v>
      </c>
      <c r="Z286" s="98" t="str">
        <f t="shared" si="177"/>
        <v>0.990836529388929-0.127399496845625i</v>
      </c>
      <c r="AA286" s="160">
        <f t="shared" si="188"/>
        <v>0.99899332318490319</v>
      </c>
      <c r="AB286" s="160">
        <f t="shared" si="189"/>
        <v>-0.12787610271360772</v>
      </c>
      <c r="AC286" s="171" t="str">
        <f t="shared" si="190"/>
        <v>8.60254621304529+0.0415434838550066i</v>
      </c>
      <c r="AD286" s="190">
        <f t="shared" si="191"/>
        <v>18.69264156846738</v>
      </c>
      <c r="AE286" s="169">
        <f t="shared" si="192"/>
        <v>0.27669107830157957</v>
      </c>
      <c r="AF286" s="98" t="str">
        <f t="shared" si="178"/>
        <v>-0.0000114342530449913</v>
      </c>
      <c r="AG286" s="98" t="str">
        <f t="shared" si="179"/>
        <v>0.00361028953716856i</v>
      </c>
      <c r="AH286" s="98">
        <f t="shared" si="193"/>
        <v>3.6102895371685601E-3</v>
      </c>
      <c r="AI286" s="98">
        <f t="shared" si="194"/>
        <v>1.5707963267948966</v>
      </c>
      <c r="AJ286" s="98" t="str">
        <f t="shared" si="180"/>
        <v>1+0.0330667593838018i</v>
      </c>
      <c r="AK286" s="98">
        <f t="shared" si="195"/>
        <v>1.0005465559263829</v>
      </c>
      <c r="AL286" s="98">
        <f t="shared" si="196"/>
        <v>3.3054715436059839E-2</v>
      </c>
      <c r="AM286" s="98" t="str">
        <f t="shared" si="181"/>
        <v>1+79.3932892805081i</v>
      </c>
      <c r="AN286" s="98">
        <f t="shared" si="197"/>
        <v>79.399586792239944</v>
      </c>
      <c r="AO286" s="98">
        <f t="shared" si="198"/>
        <v>1.5582014698278235</v>
      </c>
      <c r="AP286" s="168" t="str">
        <f t="shared" si="199"/>
        <v>-0.251069547863069+0.0114691854256827i</v>
      </c>
      <c r="AQ286" s="98">
        <f t="shared" si="200"/>
        <v>-11.995065854464729</v>
      </c>
      <c r="AR286" s="169">
        <f t="shared" si="201"/>
        <v>177.3844721647236</v>
      </c>
      <c r="AS286" s="168" t="str">
        <f t="shared" si="202"/>
        <v>-2.1603138581+0.0882338939422877i</v>
      </c>
      <c r="AT286" s="190">
        <f t="shared" si="203"/>
        <v>6.6975757140026584</v>
      </c>
      <c r="AU286" s="169">
        <f t="shared" si="204"/>
        <v>177.66116324302519</v>
      </c>
      <c r="AV286" s="225"/>
      <c r="AX286">
        <f t="shared" si="205"/>
        <v>0</v>
      </c>
      <c r="AY286">
        <f t="shared" si="206"/>
        <v>0</v>
      </c>
    </row>
    <row r="287" spans="14:51" x14ac:dyDescent="0.2">
      <c r="N287" s="170">
        <v>69</v>
      </c>
      <c r="O287" s="199">
        <f t="shared" si="207"/>
        <v>4897.7881936844633</v>
      </c>
      <c r="P287" s="189" t="str">
        <f t="shared" si="173"/>
        <v>1757.57575757576</v>
      </c>
      <c r="Q287" s="160" t="str">
        <f t="shared" si="174"/>
        <v>1+1774.61732373628i</v>
      </c>
      <c r="R287" s="160">
        <f t="shared" si="182"/>
        <v>1774.6176054871416</v>
      </c>
      <c r="S287" s="160">
        <f t="shared" si="183"/>
        <v>1.5702328250862296</v>
      </c>
      <c r="T287" s="160" t="str">
        <f t="shared" si="175"/>
        <v>1+8.61663902854606i</v>
      </c>
      <c r="U287" s="160">
        <f t="shared" si="184"/>
        <v>8.6744722115102313</v>
      </c>
      <c r="V287" s="160">
        <f t="shared" si="185"/>
        <v>1.4552586582410119</v>
      </c>
      <c r="W287" s="98" t="str">
        <f t="shared" si="176"/>
        <v>1-0.00554567913667584i</v>
      </c>
      <c r="X287" s="160">
        <f t="shared" si="186"/>
        <v>1.0000153771603151</v>
      </c>
      <c r="Y287" s="160">
        <f t="shared" si="187"/>
        <v>-5.5456222860896867E-3</v>
      </c>
      <c r="Z287" s="98" t="str">
        <f t="shared" si="177"/>
        <v>0.990404668323922-0.130367012342222i</v>
      </c>
      <c r="AA287" s="160">
        <f t="shared" si="188"/>
        <v>0.99894792904578111</v>
      </c>
      <c r="AB287" s="160">
        <f t="shared" si="189"/>
        <v>-0.13087762504764225</v>
      </c>
      <c r="AC287" s="171" t="str">
        <f t="shared" si="190"/>
        <v>8.59988924914562+0.0890794273858991i</v>
      </c>
      <c r="AD287" s="190">
        <f t="shared" si="191"/>
        <v>18.69032310735464</v>
      </c>
      <c r="AE287" s="169">
        <f t="shared" si="192"/>
        <v>0.59346028289503683</v>
      </c>
      <c r="AF287" s="98" t="str">
        <f t="shared" si="178"/>
        <v>-0.0000114342530449913</v>
      </c>
      <c r="AG287" s="98" t="str">
        <f t="shared" si="179"/>
        <v>0.00369438398348912i</v>
      </c>
      <c r="AH287" s="98">
        <f t="shared" si="193"/>
        <v>3.6943839834891199E-3</v>
      </c>
      <c r="AI287" s="98">
        <f t="shared" si="194"/>
        <v>1.5707963267948966</v>
      </c>
      <c r="AJ287" s="98" t="str">
        <f t="shared" si="180"/>
        <v>1+0.0338369831548783i</v>
      </c>
      <c r="AK287" s="98">
        <f t="shared" si="195"/>
        <v>1.000572306946891</v>
      </c>
      <c r="AL287" s="98">
        <f t="shared" si="196"/>
        <v>3.3824078230999088E-2</v>
      </c>
      <c r="AM287" s="98" t="str">
        <f t="shared" si="181"/>
        <v>1+81.2425965548627i</v>
      </c>
      <c r="AN287" s="98">
        <f t="shared" si="197"/>
        <v>81.248750728710817</v>
      </c>
      <c r="AO287" s="98">
        <f t="shared" si="198"/>
        <v>1.5584881344833004</v>
      </c>
      <c r="AP287" s="168" t="str">
        <f t="shared" si="199"/>
        <v>-0.25105662483125+0.0115900352233705i</v>
      </c>
      <c r="AQ287" s="98">
        <f t="shared" si="200"/>
        <v>-11.995320405050068</v>
      </c>
      <c r="AR287" s="169">
        <f t="shared" si="201"/>
        <v>177.3568155985536</v>
      </c>
      <c r="AS287" s="168" t="str">
        <f t="shared" si="202"/>
        <v>-2.16009160251413+0.0773090389332788i</v>
      </c>
      <c r="AT287" s="190">
        <f t="shared" si="203"/>
        <v>6.6950027023045635</v>
      </c>
      <c r="AU287" s="169">
        <f t="shared" si="204"/>
        <v>177.95027588144865</v>
      </c>
      <c r="AV287" s="225"/>
      <c r="AX287">
        <f t="shared" si="205"/>
        <v>0</v>
      </c>
      <c r="AY287">
        <f t="shared" si="206"/>
        <v>0</v>
      </c>
    </row>
    <row r="288" spans="14:51" x14ac:dyDescent="0.2">
      <c r="N288" s="170">
        <v>70</v>
      </c>
      <c r="O288" s="199">
        <f t="shared" si="207"/>
        <v>5011.8723362727324</v>
      </c>
      <c r="P288" s="189" t="str">
        <f t="shared" si="173"/>
        <v>1757.57575757576</v>
      </c>
      <c r="Q288" s="160" t="str">
        <f t="shared" si="174"/>
        <v>1+1815.95347135936i</v>
      </c>
      <c r="R288" s="160">
        <f t="shared" si="182"/>
        <v>1815.9537466967899</v>
      </c>
      <c r="S288" s="160">
        <f t="shared" si="183"/>
        <v>1.5702456519484917</v>
      </c>
      <c r="T288" s="160" t="str">
        <f t="shared" si="175"/>
        <v>1+8.81734633492404i</v>
      </c>
      <c r="U288" s="160">
        <f t="shared" si="184"/>
        <v>8.8738715558654775</v>
      </c>
      <c r="V288" s="160">
        <f t="shared" si="185"/>
        <v>1.4578660571302673</v>
      </c>
      <c r="W288" s="98" t="str">
        <f t="shared" si="176"/>
        <v>1-0.00567485459799798i</v>
      </c>
      <c r="X288" s="160">
        <f t="shared" si="186"/>
        <v>1.0000161018577194</v>
      </c>
      <c r="Y288" s="160">
        <f t="shared" si="187"/>
        <v>-5.6747936815503778E-3</v>
      </c>
      <c r="Z288" s="98" t="str">
        <f t="shared" si="177"/>
        <v>0.989952454273962-0.133403650154375i</v>
      </c>
      <c r="AA288" s="160">
        <f t="shared" si="188"/>
        <v>0.99890059345139626</v>
      </c>
      <c r="AB288" s="160">
        <f t="shared" si="189"/>
        <v>-0.13395069201387969</v>
      </c>
      <c r="AC288" s="171" t="str">
        <f t="shared" si="190"/>
        <v>8.59710552082086+0.136673711034692i</v>
      </c>
      <c r="AD288" s="190">
        <f t="shared" si="191"/>
        <v>18.688142621631236</v>
      </c>
      <c r="AE288" s="169">
        <f t="shared" si="192"/>
        <v>0.91079110121717144</v>
      </c>
      <c r="AF288" s="98" t="str">
        <f t="shared" si="178"/>
        <v>-0.0000114342530449913</v>
      </c>
      <c r="AG288" s="98" t="str">
        <f t="shared" si="179"/>
        <v>0.00378043724109868i</v>
      </c>
      <c r="AH288" s="98">
        <f t="shared" si="193"/>
        <v>3.7804372410986799E-3</v>
      </c>
      <c r="AI288" s="98">
        <f t="shared" si="194"/>
        <v>1.5707963267948966</v>
      </c>
      <c r="AJ288" s="98" t="str">
        <f t="shared" si="180"/>
        <v>1+0.0346251477423089i</v>
      </c>
      <c r="AK288" s="98">
        <f t="shared" si="195"/>
        <v>1.0005992708653033</v>
      </c>
      <c r="AL288" s="98">
        <f t="shared" si="196"/>
        <v>3.4611320314484738E-2</v>
      </c>
      <c r="AM288" s="98" t="str">
        <f t="shared" si="181"/>
        <v>1+83.1349797292837i</v>
      </c>
      <c r="AN288" s="98">
        <f t="shared" si="197"/>
        <v>83.140993827283609</v>
      </c>
      <c r="AO288" s="98">
        <f t="shared" si="198"/>
        <v>1.5587682758093682</v>
      </c>
      <c r="AP288" s="168" t="str">
        <f t="shared" si="199"/>
        <v>-0.251043094181499+0.0117169890331829i</v>
      </c>
      <c r="AQ288" s="98">
        <f t="shared" si="200"/>
        <v>-11.995584083422637</v>
      </c>
      <c r="AR288" s="169">
        <f t="shared" si="201"/>
        <v>177.32776086536569</v>
      </c>
      <c r="AS288" s="168" t="str">
        <f t="shared" si="202"/>
        <v>-2.15984537532503+0.066421199793157i</v>
      </c>
      <c r="AT288" s="190">
        <f t="shared" si="203"/>
        <v>6.6925585382085861</v>
      </c>
      <c r="AU288" s="169">
        <f t="shared" si="204"/>
        <v>178.23855196658283</v>
      </c>
      <c r="AV288" s="225"/>
      <c r="AX288">
        <f t="shared" si="205"/>
        <v>0</v>
      </c>
      <c r="AY288">
        <f t="shared" si="206"/>
        <v>0</v>
      </c>
    </row>
    <row r="289" spans="14:51" x14ac:dyDescent="0.2">
      <c r="N289" s="170">
        <v>71</v>
      </c>
      <c r="O289" s="199">
        <f t="shared" si="207"/>
        <v>5128.6138399136489</v>
      </c>
      <c r="P289" s="189" t="str">
        <f t="shared" si="173"/>
        <v>1757.57575757576</v>
      </c>
      <c r="Q289" s="160" t="str">
        <f t="shared" si="174"/>
        <v>1+1858.25246154994i</v>
      </c>
      <c r="R289" s="160">
        <f t="shared" si="182"/>
        <v>1858.2527306199261</v>
      </c>
      <c r="S289" s="160">
        <f t="shared" si="183"/>
        <v>1.5702581868358976</v>
      </c>
      <c r="T289" s="160" t="str">
        <f t="shared" si="175"/>
        <v>1+9.02272871504013i</v>
      </c>
      <c r="U289" s="160">
        <f t="shared" si="184"/>
        <v>9.0779751853158146</v>
      </c>
      <c r="V289" s="160">
        <f t="shared" si="185"/>
        <v>1.4604155953302527</v>
      </c>
      <c r="W289" s="98" t="str">
        <f t="shared" si="176"/>
        <v>1-0.00580703894234353i</v>
      </c>
      <c r="X289" s="160">
        <f t="shared" si="186"/>
        <v>1.0000168607084972</v>
      </c>
      <c r="Y289" s="160">
        <f t="shared" si="187"/>
        <v>-5.8069736692533559E-3</v>
      </c>
      <c r="Z289" s="98" t="str">
        <f t="shared" si="177"/>
        <v>0.989478928032419-0.136511020347645i</v>
      </c>
      <c r="AA289" s="160">
        <f t="shared" si="188"/>
        <v>0.99885124402812864</v>
      </c>
      <c r="AB289" s="160">
        <f t="shared" si="189"/>
        <v>-0.13709708570251281</v>
      </c>
      <c r="AC289" s="171" t="str">
        <f t="shared" si="190"/>
        <v>8.59418856595678+0.184352303669273i</v>
      </c>
      <c r="AD289" s="190">
        <f t="shared" si="191"/>
        <v>18.686095458044118</v>
      </c>
      <c r="AE289" s="169">
        <f t="shared" si="192"/>
        <v>1.2288524072525384</v>
      </c>
      <c r="AF289" s="98" t="str">
        <f t="shared" si="178"/>
        <v>-0.0000114342530449913</v>
      </c>
      <c r="AG289" s="98" t="str">
        <f t="shared" si="179"/>
        <v>0.00386849493657346i</v>
      </c>
      <c r="AH289" s="98">
        <f t="shared" si="193"/>
        <v>3.8684949365734599E-3</v>
      </c>
      <c r="AI289" s="98">
        <f t="shared" si="194"/>
        <v>1.5707963267948966</v>
      </c>
      <c r="AJ289" s="98" t="str">
        <f t="shared" si="180"/>
        <v>1+0.0354316710413904i</v>
      </c>
      <c r="AK289" s="98">
        <f t="shared" si="195"/>
        <v>1.0006275047752713</v>
      </c>
      <c r="AL289" s="98">
        <f t="shared" si="196"/>
        <v>3.5416855187312676E-2</v>
      </c>
      <c r="AM289" s="98" t="str">
        <f t="shared" si="181"/>
        <v>1+85.0714421703783i</v>
      </c>
      <c r="AN289" s="98">
        <f t="shared" si="197"/>
        <v>85.077319380361416</v>
      </c>
      <c r="AO289" s="98">
        <f t="shared" si="198"/>
        <v>1.5590420421646827</v>
      </c>
      <c r="AP289" s="168" t="str">
        <f t="shared" si="199"/>
        <v>-0.251028927414969+0.0118501112298298i</v>
      </c>
      <c r="AQ289" s="98">
        <f t="shared" si="200"/>
        <v>-11.995857447108367</v>
      </c>
      <c r="AR289" s="169">
        <f t="shared" si="201"/>
        <v>177.29729277363421</v>
      </c>
      <c r="AS289" s="168" t="str">
        <f t="shared" si="202"/>
        <v>-2.15957453301808+0.055564329380143i</v>
      </c>
      <c r="AT289" s="190">
        <f t="shared" si="203"/>
        <v>6.6902380109357615</v>
      </c>
      <c r="AU289" s="169">
        <f t="shared" si="204"/>
        <v>178.52614518088677</v>
      </c>
      <c r="AV289" s="225"/>
      <c r="AX289">
        <f t="shared" si="205"/>
        <v>0</v>
      </c>
      <c r="AY289">
        <f t="shared" si="206"/>
        <v>0</v>
      </c>
    </row>
    <row r="290" spans="14:51" x14ac:dyDescent="0.2">
      <c r="N290" s="170">
        <v>72</v>
      </c>
      <c r="O290" s="199">
        <f t="shared" si="207"/>
        <v>5248.0746024977261</v>
      </c>
      <c r="P290" s="189" t="str">
        <f t="shared" si="173"/>
        <v>1757.57575757576</v>
      </c>
      <c r="Q290" s="160" t="str">
        <f t="shared" si="174"/>
        <v>1+1901.53672179251i</v>
      </c>
      <c r="R290" s="160">
        <f t="shared" si="182"/>
        <v>1901.5369847377162</v>
      </c>
      <c r="S290" s="160">
        <f t="shared" si="183"/>
        <v>1.5702704363945943</v>
      </c>
      <c r="T290" s="160" t="str">
        <f t="shared" si="175"/>
        <v>1+9.23289506535091i</v>
      </c>
      <c r="U290" s="160">
        <f t="shared" si="184"/>
        <v>9.2868913683633227</v>
      </c>
      <c r="V290" s="160">
        <f t="shared" si="185"/>
        <v>1.4629084919890709</v>
      </c>
      <c r="W290" s="98" t="str">
        <f t="shared" si="176"/>
        <v>1-0.00594230225560159i</v>
      </c>
      <c r="X290" s="160">
        <f t="shared" si="186"/>
        <v>1.0000176553221933</v>
      </c>
      <c r="Y290" s="160">
        <f t="shared" si="187"/>
        <v>-5.9422323142920468E-3</v>
      </c>
      <c r="Z290" s="98" t="str">
        <f t="shared" si="177"/>
        <v>0.988983085186647-0.139690770490841i</v>
      </c>
      <c r="AA290" s="160">
        <f t="shared" si="188"/>
        <v>0.99879980684100222</v>
      </c>
      <c r="AB290" s="160">
        <f t="shared" si="189"/>
        <v>-0.14031863785825111</v>
      </c>
      <c r="AC290" s="171" t="str">
        <f t="shared" si="190"/>
        <v>8.59113158654367+0.232141263897274i</v>
      </c>
      <c r="AD290" s="190">
        <f t="shared" si="191"/>
        <v>18.684177204302927</v>
      </c>
      <c r="AE290" s="169">
        <f t="shared" si="192"/>
        <v>1.547814609052524</v>
      </c>
      <c r="AF290" s="98" t="str">
        <f t="shared" si="178"/>
        <v>-0.0000114342530449913</v>
      </c>
      <c r="AG290" s="98" t="str">
        <f t="shared" si="179"/>
        <v>0.0039586037592692i</v>
      </c>
      <c r="AH290" s="98">
        <f t="shared" si="193"/>
        <v>3.9586037592692002E-3</v>
      </c>
      <c r="AI290" s="98">
        <f t="shared" si="194"/>
        <v>1.5707963267948966</v>
      </c>
      <c r="AJ290" s="98" t="str">
        <f t="shared" si="180"/>
        <v>1+0.0362569806814518i</v>
      </c>
      <c r="AK290" s="98">
        <f t="shared" si="195"/>
        <v>1.0006570684545906</v>
      </c>
      <c r="AL290" s="98">
        <f t="shared" si="196"/>
        <v>3.6241105770741244E-2</v>
      </c>
      <c r="AM290" s="98" t="str">
        <f t="shared" si="181"/>
        <v>1+87.0530106161657i</v>
      </c>
      <c r="AN290" s="98">
        <f t="shared" si="197"/>
        <v>87.05875405344517</v>
      </c>
      <c r="AO290" s="98">
        <f t="shared" si="198"/>
        <v>1.5593095785395494</v>
      </c>
      <c r="AP290" s="168" t="str">
        <f t="shared" si="199"/>
        <v>-0.251014094702913+0.0119894692493351i</v>
      </c>
      <c r="AQ290" s="98">
        <f t="shared" si="200"/>
        <v>-11.996141074011595</v>
      </c>
      <c r="AR290" s="169">
        <f t="shared" si="201"/>
        <v>177.26539539908865</v>
      </c>
      <c r="AS290" s="168" t="str">
        <f t="shared" si="202"/>
        <v>-2.15927836821486+0.0447323787734925i</v>
      </c>
      <c r="AT290" s="190">
        <f t="shared" si="203"/>
        <v>6.6880361302913389</v>
      </c>
      <c r="AU290" s="169">
        <f t="shared" si="204"/>
        <v>178.8132100081412</v>
      </c>
      <c r="AV290" s="225"/>
      <c r="AX290">
        <f t="shared" si="205"/>
        <v>0</v>
      </c>
      <c r="AY290">
        <f t="shared" si="206"/>
        <v>0</v>
      </c>
    </row>
    <row r="291" spans="14:51" x14ac:dyDescent="0.2">
      <c r="N291" s="170">
        <v>73</v>
      </c>
      <c r="O291" s="199">
        <f t="shared" si="207"/>
        <v>5370.3179637025269</v>
      </c>
      <c r="P291" s="189" t="str">
        <f t="shared" si="173"/>
        <v>1757.57575757576</v>
      </c>
      <c r="Q291" s="160" t="str">
        <f t="shared" si="174"/>
        <v>1+1945.82920197479i</v>
      </c>
      <c r="R291" s="160">
        <f t="shared" si="182"/>
        <v>1945.8294589346333</v>
      </c>
      <c r="S291" s="160">
        <f t="shared" si="183"/>
        <v>1.5702824071194454</v>
      </c>
      <c r="T291" s="160" t="str">
        <f t="shared" si="175"/>
        <v>1+9.44795681883713i</v>
      </c>
      <c r="U291" s="160">
        <f t="shared" si="184"/>
        <v>9.5007309219139024</v>
      </c>
      <c r="V291" s="160">
        <f t="shared" si="185"/>
        <v>1.4653459448686563</v>
      </c>
      <c r="W291" s="98" t="str">
        <f t="shared" si="176"/>
        <v>1-0.00608071625617121i</v>
      </c>
      <c r="X291" s="160">
        <f t="shared" si="186"/>
        <v>1.0000184873842024</v>
      </c>
      <c r="Y291" s="160">
        <f t="shared" si="187"/>
        <v>-6.0806413127826291E-3</v>
      </c>
      <c r="Z291" s="98" t="str">
        <f t="shared" si="177"/>
        <v>0.988463873987493-0.142944586529576i</v>
      </c>
      <c r="AA291" s="160">
        <f t="shared" si="188"/>
        <v>0.99874620649916568</v>
      </c>
      <c r="AB291" s="160">
        <f t="shared" si="189"/>
        <v>-0.14361723160384146</v>
      </c>
      <c r="AC291" s="171" t="str">
        <f t="shared" si="190"/>
        <v>8.58792742918853+0.280066756183624i</v>
      </c>
      <c r="AD291" s="190">
        <f t="shared" si="191"/>
        <v>18.682383679035983</v>
      </c>
      <c r="AE291" s="169">
        <f t="shared" si="192"/>
        <v>1.8678497482935685</v>
      </c>
      <c r="AF291" s="98" t="str">
        <f t="shared" si="178"/>
        <v>-0.0000114342530449913</v>
      </c>
      <c r="AG291" s="98" t="str">
        <f t="shared" si="179"/>
        <v>0.00405081148607642i</v>
      </c>
      <c r="AH291" s="98">
        <f t="shared" si="193"/>
        <v>4.0508114860764201E-3</v>
      </c>
      <c r="AI291" s="98">
        <f t="shared" si="194"/>
        <v>1.5707963267948966</v>
      </c>
      <c r="AJ291" s="98" t="str">
        <f t="shared" si="180"/>
        <v>1+0.0371015142525882i</v>
      </c>
      <c r="AK291" s="98">
        <f t="shared" si="195"/>
        <v>1.0006880244910674</v>
      </c>
      <c r="AL291" s="98">
        <f t="shared" si="196"/>
        <v>3.7084504610886831E-2</v>
      </c>
      <c r="AM291" s="98" t="str">
        <f t="shared" si="181"/>
        <v>1+89.0807357204643i</v>
      </c>
      <c r="AN291" s="98">
        <f t="shared" si="197"/>
        <v>89.086348429482754</v>
      </c>
      <c r="AO291" s="98">
        <f t="shared" si="198"/>
        <v>1.5595710266320146</v>
      </c>
      <c r="AP291" s="168" t="str">
        <f t="shared" si="199"/>
        <v>-0.250998564825282+0.0121351336099337i</v>
      </c>
      <c r="AQ291" s="98">
        <f t="shared" si="200"/>
        <v>-11.996435563624299</v>
      </c>
      <c r="AR291" s="169">
        <f t="shared" si="201"/>
        <v>177.23205207736208</v>
      </c>
      <c r="AS291" s="168" t="str">
        <f t="shared" si="202"/>
        <v>-2.15895610705598+0.0339192929282555i</v>
      </c>
      <c r="AT291" s="190">
        <f t="shared" si="203"/>
        <v>6.6859481154116684</v>
      </c>
      <c r="AU291" s="169">
        <f t="shared" si="204"/>
        <v>179.09990182565565</v>
      </c>
      <c r="AV291" s="225"/>
      <c r="AX291">
        <f t="shared" si="205"/>
        <v>0</v>
      </c>
      <c r="AY291">
        <f t="shared" si="206"/>
        <v>0</v>
      </c>
    </row>
    <row r="292" spans="14:51" x14ac:dyDescent="0.2">
      <c r="N292" s="170">
        <v>74</v>
      </c>
      <c r="O292" s="199">
        <f t="shared" si="207"/>
        <v>5495.4087385762541</v>
      </c>
      <c r="P292" s="189" t="str">
        <f t="shared" si="173"/>
        <v>1757.57575757576</v>
      </c>
      <c r="Q292" s="160" t="str">
        <f t="shared" si="174"/>
        <v>1+1991.15338655606i</v>
      </c>
      <c r="R292" s="160">
        <f t="shared" si="182"/>
        <v>1991.1536376667841</v>
      </c>
      <c r="S292" s="160">
        <f t="shared" si="183"/>
        <v>1.5702941053574744</v>
      </c>
      <c r="T292" s="160" t="str">
        <f t="shared" si="175"/>
        <v>1+9.66802800408721i</v>
      </c>
      <c r="U292" s="160">
        <f t="shared" si="184"/>
        <v>9.7196072702457759</v>
      </c>
      <c r="V292" s="160">
        <f t="shared" si="185"/>
        <v>1.4677291304249742</v>
      </c>
      <c r="W292" s="98" t="str">
        <f t="shared" si="176"/>
        <v>1-0.00622235433298767i</v>
      </c>
      <c r="X292" s="160">
        <f t="shared" si="186"/>
        <v>1.0000193586593438</v>
      </c>
      <c r="Y292" s="160">
        <f t="shared" si="187"/>
        <v>-6.2222740297839634E-3</v>
      </c>
      <c r="Z292" s="98" t="str">
        <f t="shared" si="177"/>
        <v>0.987920193118392-0.146274193680185i</v>
      </c>
      <c r="AA292" s="160">
        <f t="shared" si="188"/>
        <v>0.99869036628369912</v>
      </c>
      <c r="AB292" s="160">
        <f t="shared" si="189"/>
        <v>-0.14699480324231409</v>
      </c>
      <c r="AC292" s="171" t="str">
        <f t="shared" si="190"/>
        <v>8.5845685643958+0.328155067074906i</v>
      </c>
      <c r="AD292" s="190">
        <f t="shared" si="191"/>
        <v>18.680710921880191</v>
      </c>
      <c r="AE292" s="169">
        <f t="shared" si="192"/>
        <v>2.1891316057627188</v>
      </c>
      <c r="AF292" s="98" t="str">
        <f t="shared" si="178"/>
        <v>-0.0000114342530449913</v>
      </c>
      <c r="AG292" s="98" t="str">
        <f t="shared" si="179"/>
        <v>0.00414516700675239i</v>
      </c>
      <c r="AH292" s="98">
        <f t="shared" si="193"/>
        <v>4.1451670067523903E-3</v>
      </c>
      <c r="AI292" s="98">
        <f t="shared" si="194"/>
        <v>1.5707963267948966</v>
      </c>
      <c r="AJ292" s="98" t="str">
        <f t="shared" si="180"/>
        <v>1+0.0379657195376781i</v>
      </c>
      <c r="AK292" s="98">
        <f t="shared" si="195"/>
        <v>1.0007204384142525</v>
      </c>
      <c r="AL292" s="98">
        <f t="shared" si="196"/>
        <v>3.7947494086815817E-2</v>
      </c>
      <c r="AM292" s="98" t="str">
        <f t="shared" si="181"/>
        <v>1+91.1556926099651i</v>
      </c>
      <c r="AN292" s="98">
        <f t="shared" si="197"/>
        <v>91.161177565904921</v>
      </c>
      <c r="AO292" s="98">
        <f t="shared" si="198"/>
        <v>1.5598265249222651</v>
      </c>
      <c r="AP292" s="168" t="str">
        <f t="shared" si="199"/>
        <v>-0.250982305106533+0.0122871779335513i</v>
      </c>
      <c r="AQ292" s="98">
        <f t="shared" si="200"/>
        <v>-11.996741538280236</v>
      </c>
      <c r="AR292" s="169">
        <f t="shared" si="201"/>
        <v>177.19724539633131</v>
      </c>
      <c r="AS292" s="168" t="str">
        <f t="shared" si="202"/>
        <v>-2.15860690633609+0.0231190062666534i</v>
      </c>
      <c r="AT292" s="190">
        <f t="shared" si="203"/>
        <v>6.6839693835999805</v>
      </c>
      <c r="AU292" s="169">
        <f t="shared" si="204"/>
        <v>179.38637700209404</v>
      </c>
      <c r="AV292" s="225"/>
      <c r="AX292">
        <f t="shared" si="205"/>
        <v>0</v>
      </c>
      <c r="AY292">
        <f t="shared" si="206"/>
        <v>0</v>
      </c>
    </row>
    <row r="293" spans="14:51" x14ac:dyDescent="0.2">
      <c r="N293" s="170">
        <v>75</v>
      </c>
      <c r="O293" s="199">
        <f t="shared" si="207"/>
        <v>5623.4132519034993</v>
      </c>
      <c r="P293" s="189" t="str">
        <f t="shared" si="173"/>
        <v>1757.57575757576</v>
      </c>
      <c r="Q293" s="160" t="str">
        <f t="shared" si="174"/>
        <v>1+2037.53330701891i</v>
      </c>
      <c r="R293" s="160">
        <f t="shared" si="182"/>
        <v>2037.5335524136565</v>
      </c>
      <c r="S293" s="160">
        <f t="shared" si="183"/>
        <v>1.5703055373112285</v>
      </c>
      <c r="T293" s="160" t="str">
        <f t="shared" si="175"/>
        <v>1+9.89322530575652i</v>
      </c>
      <c r="U293" s="160">
        <f t="shared" si="184"/>
        <v>9.9436365053465821</v>
      </c>
      <c r="V293" s="160">
        <f t="shared" si="185"/>
        <v>1.4700592039116018</v>
      </c>
      <c r="W293" s="98" t="str">
        <f t="shared" si="176"/>
        <v>1-0.00636729158443407i</v>
      </c>
      <c r="X293" s="160">
        <f t="shared" si="186"/>
        <v>1.0000202709956041</v>
      </c>
      <c r="Y293" s="160">
        <f t="shared" si="187"/>
        <v>-6.3672055380952297E-3</v>
      </c>
      <c r="Z293" s="98" t="str">
        <f t="shared" si="177"/>
        <v>0.987350889359326-0.149681357344451i</v>
      </c>
      <c r="AA293" s="160">
        <f t="shared" si="188"/>
        <v>0.99863220830049804</v>
      </c>
      <c r="AB293" s="160">
        <f t="shared" si="189"/>
        <v>-0.15045334414226</v>
      </c>
      <c r="AC293" s="171" t="str">
        <f t="shared" si="190"/>
        <v>8.58104706452922+0.376432621528704i</v>
      </c>
      <c r="AD293" s="190">
        <f t="shared" si="191"/>
        <v>18.679155183674233</v>
      </c>
      <c r="AE293" s="169">
        <f t="shared" si="192"/>
        <v>2.5118358128957023</v>
      </c>
      <c r="AF293" s="98" t="str">
        <f t="shared" si="178"/>
        <v>-0.0000114342530449913</v>
      </c>
      <c r="AG293" s="98" t="str">
        <f t="shared" si="179"/>
        <v>0.00424172034984311i</v>
      </c>
      <c r="AH293" s="98">
        <f t="shared" si="193"/>
        <v>4.2417203498431102E-3</v>
      </c>
      <c r="AI293" s="98">
        <f t="shared" si="194"/>
        <v>1.5707963267948966</v>
      </c>
      <c r="AJ293" s="98" t="str">
        <f t="shared" si="180"/>
        <v>1+0.0388500547498025i</v>
      </c>
      <c r="AK293" s="98">
        <f t="shared" si="195"/>
        <v>1.0007543788333193</v>
      </c>
      <c r="AL293" s="98">
        <f t="shared" si="196"/>
        <v>3.8830526622339274E-2</v>
      </c>
      <c r="AM293" s="98" t="str">
        <f t="shared" si="181"/>
        <v>1+93.2789814542757i</v>
      </c>
      <c r="AN293" s="98">
        <f t="shared" si="197"/>
        <v>93.284341564632953</v>
      </c>
      <c r="AO293" s="98">
        <f t="shared" si="198"/>
        <v>1.5600762087453692</v>
      </c>
      <c r="AP293" s="168" t="str">
        <f t="shared" si="199"/>
        <v>-0.25096528134857+0.0124456789678072i</v>
      </c>
      <c r="AQ293" s="98">
        <f t="shared" si="200"/>
        <v>-11.997059644454966</v>
      </c>
      <c r="AR293" s="169">
        <f t="shared" si="201"/>
        <v>177.16095718814964</v>
      </c>
      <c r="AS293" s="168" t="str">
        <f t="shared" si="202"/>
        <v>-2.15822985037545+0.0123254382020441i</v>
      </c>
      <c r="AT293" s="190">
        <f t="shared" si="203"/>
        <v>6.6820955392192571</v>
      </c>
      <c r="AU293" s="169">
        <f t="shared" si="204"/>
        <v>179.67279300104536</v>
      </c>
      <c r="AV293" s="225"/>
      <c r="AX293">
        <f t="shared" si="205"/>
        <v>0</v>
      </c>
      <c r="AY293">
        <f t="shared" si="206"/>
        <v>0</v>
      </c>
    </row>
    <row r="294" spans="14:51" x14ac:dyDescent="0.2">
      <c r="N294" s="170">
        <v>76</v>
      </c>
      <c r="O294" s="199">
        <f t="shared" si="207"/>
        <v>5754.399373371567</v>
      </c>
      <c r="P294" s="189" t="str">
        <f t="shared" si="173"/>
        <v>1757.57575757576</v>
      </c>
      <c r="Q294" s="160" t="str">
        <f t="shared" si="174"/>
        <v>1+2084.99355461107i</v>
      </c>
      <c r="R294" s="160">
        <f t="shared" si="182"/>
        <v>2084.993794419951</v>
      </c>
      <c r="S294" s="160">
        <f t="shared" si="183"/>
        <v>1.5703167090420691</v>
      </c>
      <c r="T294" s="160" t="str">
        <f t="shared" si="175"/>
        <v>1+10.1236681264353i</v>
      </c>
      <c r="U294" s="160">
        <f t="shared" si="184"/>
        <v>10.172937448652776</v>
      </c>
      <c r="V294" s="160">
        <f t="shared" si="185"/>
        <v>1.4723372995046813</v>
      </c>
      <c r="W294" s="98" t="str">
        <f t="shared" si="176"/>
        <v>1-0.00651560485815959i</v>
      </c>
      <c r="X294" s="160">
        <f t="shared" si="186"/>
        <v>1.0000212263280552</v>
      </c>
      <c r="Y294" s="160">
        <f t="shared" si="187"/>
        <v>-6.5155126579520732E-3</v>
      </c>
      <c r="Z294" s="98" t="str">
        <f t="shared" si="177"/>
        <v>0.986754755140696-0.153167884045648i</v>
      </c>
      <c r="AA294" s="160">
        <f t="shared" si="188"/>
        <v>0.99857165366126632</v>
      </c>
      <c r="AB294" s="160">
        <f t="shared" si="189"/>
        <v>-0.15399490271074362</v>
      </c>
      <c r="AC294" s="171" t="str">
        <f t="shared" si="190"/>
        <v>8.57735458035915+0.424925999343343i</v>
      </c>
      <c r="AD294" s="190">
        <f t="shared" si="191"/>
        <v>18.677712916720008</v>
      </c>
      <c r="AE294" s="169">
        <f t="shared" si="192"/>
        <v>2.8361399695124296</v>
      </c>
      <c r="AF294" s="98" t="str">
        <f t="shared" si="178"/>
        <v>-0.0000114342530449913</v>
      </c>
      <c r="AG294" s="98" t="str">
        <f t="shared" si="179"/>
        <v>0.00434052270920912i</v>
      </c>
      <c r="AH294" s="98">
        <f t="shared" si="193"/>
        <v>4.3405227092091197E-3</v>
      </c>
      <c r="AI294" s="98">
        <f t="shared" si="194"/>
        <v>1.5707963267948966</v>
      </c>
      <c r="AJ294" s="98" t="str">
        <f t="shared" si="180"/>
        <v>1+0.0397549887751964i</v>
      </c>
      <c r="AK294" s="98">
        <f t="shared" si="195"/>
        <v>1.0007899175813653</v>
      </c>
      <c r="AL294" s="98">
        <f t="shared" si="196"/>
        <v>3.9734064901520823E-2</v>
      </c>
      <c r="AM294" s="98" t="str">
        <f t="shared" si="181"/>
        <v>1+95.4517280492466i</v>
      </c>
      <c r="AN294" s="98">
        <f t="shared" si="197"/>
        <v>95.456966155369344</v>
      </c>
      <c r="AO294" s="98">
        <f t="shared" si="198"/>
        <v>1.5603202103623974</v>
      </c>
      <c r="AP294" s="168" t="str">
        <f t="shared" si="199"/>
        <v>-0.25094745776065+0.0126107166084726i</v>
      </c>
      <c r="AQ294" s="98">
        <f t="shared" si="200"/>
        <v>-11.997390554115942</v>
      </c>
      <c r="AR294" s="169">
        <f t="shared" si="201"/>
        <v>177.1231685209741</v>
      </c>
      <c r="AS294" s="168" t="str">
        <f t="shared" si="202"/>
        <v>-2.15782394761009+0.00153248859167812i</v>
      </c>
      <c r="AT294" s="190">
        <f t="shared" si="203"/>
        <v>6.6803223626040795</v>
      </c>
      <c r="AU294" s="169">
        <f t="shared" si="204"/>
        <v>179.95930849048653</v>
      </c>
      <c r="AV294" s="225"/>
      <c r="AX294">
        <f t="shared" si="205"/>
        <v>0</v>
      </c>
      <c r="AY294">
        <f t="shared" si="206"/>
        <v>0</v>
      </c>
    </row>
    <row r="295" spans="14:51" x14ac:dyDescent="0.2">
      <c r="N295" s="170">
        <v>77</v>
      </c>
      <c r="O295" s="199">
        <f t="shared" si="207"/>
        <v>5888.4365535558973</v>
      </c>
      <c r="P295" s="189" t="str">
        <f t="shared" si="173"/>
        <v>1757.57575757576</v>
      </c>
      <c r="Q295" s="160" t="str">
        <f t="shared" si="174"/>
        <v>1+2133.55929338406i</v>
      </c>
      <c r="R295" s="160">
        <f t="shared" si="182"/>
        <v>2133.559527734225</v>
      </c>
      <c r="S295" s="160">
        <f t="shared" si="183"/>
        <v>1.570327626473385</v>
      </c>
      <c r="T295" s="160" t="str">
        <f t="shared" si="175"/>
        <v>1+10.3594786499573i</v>
      </c>
      <c r="U295" s="160">
        <f t="shared" si="184"/>
        <v>10.407631714223996</v>
      </c>
      <c r="V295" s="160">
        <f t="shared" si="185"/>
        <v>1.4745645304473509</v>
      </c>
      <c r="W295" s="98" t="str">
        <f t="shared" si="176"/>
        <v>1-0.00666737279182516i</v>
      </c>
      <c r="X295" s="160">
        <f t="shared" si="186"/>
        <v>1.0000222266829599</v>
      </c>
      <c r="Y295" s="160">
        <f t="shared" si="187"/>
        <v>-6.6672739976414526E-3</v>
      </c>
      <c r="Z295" s="98" t="str">
        <f t="shared" si="177"/>
        <v>0.986130525981899-0.156735622386383i</v>
      </c>
      <c r="AA295" s="160">
        <f t="shared" si="188"/>
        <v>0.99850862269596041</v>
      </c>
      <c r="AB295" s="160">
        <f t="shared" si="189"/>
        <v>-0.15762158645867902</v>
      </c>
      <c r="AC295" s="171" t="str">
        <f t="shared" si="190"/>
        <v>8.57348231609319+0.473661951680869i</v>
      </c>
      <c r="AD295" s="190">
        <f t="shared" si="191"/>
        <v>18.676380765075205</v>
      </c>
      <c r="AE295" s="169">
        <f t="shared" si="192"/>
        <v>3.1622237679187579</v>
      </c>
      <c r="AF295" s="98" t="str">
        <f t="shared" si="178"/>
        <v>-0.0000114342530449913</v>
      </c>
      <c r="AG295" s="98" t="str">
        <f t="shared" si="179"/>
        <v>0.00444162647116917i</v>
      </c>
      <c r="AH295" s="98">
        <f t="shared" si="193"/>
        <v>4.4416264711691703E-3</v>
      </c>
      <c r="AI295" s="98">
        <f t="shared" si="194"/>
        <v>1.5707963267948966</v>
      </c>
      <c r="AJ295" s="98" t="str">
        <f t="shared" si="180"/>
        <v>1+0.0406810014218586i</v>
      </c>
      <c r="AK295" s="98">
        <f t="shared" si="195"/>
        <v>1.0008271298664346</v>
      </c>
      <c r="AL295" s="98">
        <f t="shared" si="196"/>
        <v>4.0658582087895169E-2</v>
      </c>
      <c r="AM295" s="98" t="str">
        <f t="shared" si="181"/>
        <v>1+97.6750844138826i</v>
      </c>
      <c r="AN295" s="98">
        <f t="shared" si="197"/>
        <v>97.680203292474218</v>
      </c>
      <c r="AO295" s="98">
        <f t="shared" si="198"/>
        <v>1.5605586590299532</v>
      </c>
      <c r="AP295" s="168" t="str">
        <f t="shared" si="199"/>
        <v>-0.25092879688616+0.0127823739223112i</v>
      </c>
      <c r="AQ295" s="98">
        <f t="shared" si="200"/>
        <v>-11.99773496612414</v>
      </c>
      <c r="AR295" s="169">
        <f t="shared" si="201"/>
        <v>177.08385969038903</v>
      </c>
      <c r="AS295" s="168" t="str">
        <f t="shared" si="202"/>
        <v>-2.15738812688119-0.0092659668854051i</v>
      </c>
      <c r="AT295" s="190">
        <f t="shared" si="203"/>
        <v>6.6786457989510692</v>
      </c>
      <c r="AU295" s="169">
        <f t="shared" si="204"/>
        <v>-179.75391654169223</v>
      </c>
      <c r="AV295" s="225"/>
      <c r="AX295">
        <f t="shared" si="205"/>
        <v>0</v>
      </c>
      <c r="AY295">
        <f t="shared" si="206"/>
        <v>0</v>
      </c>
    </row>
    <row r="296" spans="14:51" x14ac:dyDescent="0.2">
      <c r="N296" s="170">
        <v>78</v>
      </c>
      <c r="O296" s="199">
        <f t="shared" si="207"/>
        <v>6025.595860743585</v>
      </c>
      <c r="P296" s="189" t="str">
        <f t="shared" si="173"/>
        <v>1757.57575757576</v>
      </c>
      <c r="Q296" s="160" t="str">
        <f t="shared" si="174"/>
        <v>1+2183.25627353538i</v>
      </c>
      <c r="R296" s="160">
        <f t="shared" si="182"/>
        <v>2183.2565025510844</v>
      </c>
      <c r="S296" s="160">
        <f t="shared" si="183"/>
        <v>1.5703382953937319</v>
      </c>
      <c r="T296" s="160" t="str">
        <f t="shared" si="175"/>
        <v>1+10.6007819061833i</v>
      </c>
      <c r="U296" s="160">
        <f t="shared" si="184"/>
        <v>10.647843773387326</v>
      </c>
      <c r="V296" s="160">
        <f t="shared" si="185"/>
        <v>1.4767419892118923</v>
      </c>
      <c r="W296" s="98" t="str">
        <f t="shared" si="176"/>
        <v>1-0.00682267585479805i</v>
      </c>
      <c r="X296" s="160">
        <f t="shared" si="186"/>
        <v>1.000023274182066</v>
      </c>
      <c r="Y296" s="160">
        <f t="shared" si="187"/>
        <v>-6.8225699950560268E-3</v>
      </c>
      <c r="Z296" s="98" t="str">
        <f t="shared" si="177"/>
        <v>0.985476877809196-0.160386464028748i</v>
      </c>
      <c r="AA296" s="160">
        <f t="shared" si="188"/>
        <v>0.99844303520040945</v>
      </c>
      <c r="AB296" s="160">
        <f t="shared" si="189"/>
        <v>-0.16133556416377648</v>
      </c>
      <c r="AC296" s="171" t="str">
        <f t="shared" si="190"/>
        <v>8.56942100278179+0.522667417672583i</v>
      </c>
      <c r="AD296" s="190">
        <f t="shared" si="191"/>
        <v>18.675155554838256</v>
      </c>
      <c r="AE296" s="169">
        <f t="shared" si="192"/>
        <v>3.4902691235635435</v>
      </c>
      <c r="AF296" s="98" t="str">
        <f t="shared" si="178"/>
        <v>-0.0000114342530449913</v>
      </c>
      <c r="AG296" s="98" t="str">
        <f t="shared" si="179"/>
        <v>0.00454508524227611i</v>
      </c>
      <c r="AH296" s="98">
        <f t="shared" si="193"/>
        <v>4.5450852422761097E-3</v>
      </c>
      <c r="AI296" s="98">
        <f t="shared" si="194"/>
        <v>1.5707963267948966</v>
      </c>
      <c r="AJ296" s="98" t="str">
        <f t="shared" si="180"/>
        <v>1+0.0416285836739513i</v>
      </c>
      <c r="AK296" s="98">
        <f t="shared" si="195"/>
        <v>1.0008660944295691</v>
      </c>
      <c r="AL296" s="98">
        <f t="shared" si="196"/>
        <v>4.1604562047391269E-2</v>
      </c>
      <c r="AM296" s="98" t="str">
        <f t="shared" si="181"/>
        <v>1+99.9502294011571i</v>
      </c>
      <c r="AN296" s="98">
        <f t="shared" si="197"/>
        <v>99.955231765745651</v>
      </c>
      <c r="AO296" s="98">
        <f t="shared" si="198"/>
        <v>1.560791681068153</v>
      </c>
      <c r="AP296" s="168" t="str">
        <f t="shared" si="199"/>
        <v>-0.2509092595261+0.012960737170226i</v>
      </c>
      <c r="AQ296" s="98">
        <f t="shared" si="200"/>
        <v>-11.998093607691152</v>
      </c>
      <c r="AR296" s="169">
        <f t="shared" si="201"/>
        <v>177.04301021052831</v>
      </c>
      <c r="AS296" s="168" t="str">
        <f t="shared" si="202"/>
        <v>-2.15692123340328-0.0200760814285773i</v>
      </c>
      <c r="AT296" s="190">
        <f t="shared" si="203"/>
        <v>6.6770619471470924</v>
      </c>
      <c r="AU296" s="169">
        <f t="shared" si="204"/>
        <v>-179.46672066590816</v>
      </c>
      <c r="AV296" s="225"/>
      <c r="AX296">
        <f t="shared" si="205"/>
        <v>0</v>
      </c>
      <c r="AY296">
        <f t="shared" si="206"/>
        <v>0</v>
      </c>
    </row>
    <row r="297" spans="14:51" x14ac:dyDescent="0.2">
      <c r="N297" s="170">
        <v>79</v>
      </c>
      <c r="O297" s="199">
        <f t="shared" si="207"/>
        <v>6165.9500186148289</v>
      </c>
      <c r="P297" s="189" t="str">
        <f t="shared" si="173"/>
        <v>1757.57575757576</v>
      </c>
      <c r="Q297" s="160" t="str">
        <f t="shared" si="174"/>
        <v>1+2234.11084506175i</v>
      </c>
      <c r="R297" s="160">
        <f t="shared" si="182"/>
        <v>2234.1110688644212</v>
      </c>
      <c r="S297" s="160">
        <f t="shared" si="183"/>
        <v>1.570348721459903</v>
      </c>
      <c r="T297" s="160" t="str">
        <f t="shared" si="175"/>
        <v>1+10.847705837294i</v>
      </c>
      <c r="U297" s="160">
        <f t="shared" si="184"/>
        <v>10.893701020886445</v>
      </c>
      <c r="V297" s="160">
        <f t="shared" si="185"/>
        <v>1.4788707476779301</v>
      </c>
      <c r="W297" s="98" t="str">
        <f t="shared" si="176"/>
        <v>1-0.00698159639081796i</v>
      </c>
      <c r="X297" s="160">
        <f t="shared" si="186"/>
        <v>1.0000243710471082</v>
      </c>
      <c r="Y297" s="160">
        <f t="shared" si="187"/>
        <v>-6.9814829602100337E-3</v>
      </c>
      <c r="Z297" s="98" t="str">
        <f t="shared" si="177"/>
        <v>0.984792424147177-0.164122344697308i</v>
      </c>
      <c r="AA297" s="160">
        <f t="shared" si="188"/>
        <v>0.9983748107232151</v>
      </c>
      <c r="AB297" s="160">
        <f t="shared" si="189"/>
        <v>-0.16513906813645632</v>
      </c>
      <c r="AC297" s="171" t="str">
        <f t="shared" si="190"/>
        <v>8.56516086997741+0.571969541092607i</v>
      </c>
      <c r="AD297" s="190">
        <f t="shared" si="191"/>
        <v>18.674034284378635</v>
      </c>
      <c r="AE297" s="169">
        <f t="shared" si="192"/>
        <v>3.8204603124643088</v>
      </c>
      <c r="AF297" s="98" t="str">
        <f t="shared" si="178"/>
        <v>-0.0000114342530449913</v>
      </c>
      <c r="AG297" s="98" t="str">
        <f t="shared" si="179"/>
        <v>0.00465095387773982i</v>
      </c>
      <c r="AH297" s="98">
        <f t="shared" si="193"/>
        <v>4.6509538777398203E-3</v>
      </c>
      <c r="AI297" s="98">
        <f t="shared" si="194"/>
        <v>1.5707963267948966</v>
      </c>
      <c r="AJ297" s="98" t="str">
        <f t="shared" si="180"/>
        <v>1+0.0425982379521275i</v>
      </c>
      <c r="AK297" s="98">
        <f t="shared" si="195"/>
        <v>1.0009068937102121</v>
      </c>
      <c r="AL297" s="98">
        <f t="shared" si="196"/>
        <v>4.2572499574951142E-2</v>
      </c>
      <c r="AM297" s="98" t="str">
        <f t="shared" si="181"/>
        <v>1+102.278369323058i</v>
      </c>
      <c r="AN297" s="98">
        <f t="shared" si="197"/>
        <v>102.28325782543226</v>
      </c>
      <c r="AO297" s="98">
        <f t="shared" si="198"/>
        <v>1.5610193999270845</v>
      </c>
      <c r="AP297" s="168" t="str">
        <f t="shared" si="199"/>
        <v>-0.250888804659181+0.0131458958306282i</v>
      </c>
      <c r="AQ297" s="98">
        <f t="shared" si="200"/>
        <v>-11.998467235892932</v>
      </c>
      <c r="AR297" s="169">
        <f t="shared" si="201"/>
        <v>177.00059880489911</v>
      </c>
      <c r="AS297" s="168" t="str">
        <f t="shared" si="202"/>
        <v>-2.15642202438772-0.0309040418968887i</v>
      </c>
      <c r="AT297" s="190">
        <f t="shared" si="203"/>
        <v>6.6755670484857124</v>
      </c>
      <c r="AU297" s="169">
        <f t="shared" si="204"/>
        <v>-179.17894088263657</v>
      </c>
      <c r="AV297" s="225"/>
      <c r="AX297">
        <f t="shared" si="205"/>
        <v>0</v>
      </c>
      <c r="AY297">
        <f t="shared" si="206"/>
        <v>0</v>
      </c>
    </row>
    <row r="298" spans="14:51" x14ac:dyDescent="0.2">
      <c r="N298" s="170">
        <v>80</v>
      </c>
      <c r="O298" s="199">
        <f t="shared" si="207"/>
        <v>6309.5734448019384</v>
      </c>
      <c r="P298" s="189" t="str">
        <f t="shared" si="173"/>
        <v>1757.57575757576</v>
      </c>
      <c r="Q298" s="160" t="str">
        <f t="shared" si="174"/>
        <v>1+2286.14997173012i</v>
      </c>
      <c r="R298" s="160">
        <f t="shared" si="182"/>
        <v>2286.1501904384209</v>
      </c>
      <c r="S298" s="160">
        <f t="shared" si="183"/>
        <v>1.5703589101999278</v>
      </c>
      <c r="T298" s="160" t="str">
        <f t="shared" si="175"/>
        <v>1+11.100381365626i</v>
      </c>
      <c r="U298" s="160">
        <f t="shared" si="184"/>
        <v>11.145333842570036</v>
      </c>
      <c r="V298" s="160">
        <f t="shared" si="185"/>
        <v>1.4809518573251239</v>
      </c>
      <c r="W298" s="98" t="str">
        <f t="shared" si="176"/>
        <v>1-0.00714421866165661i</v>
      </c>
      <c r="X298" s="160">
        <f t="shared" si="186"/>
        <v>1.0000255196045176</v>
      </c>
      <c r="Y298" s="160">
        <f t="shared" si="187"/>
        <v>-7.1440971187379278E-3</v>
      </c>
      <c r="Z298" s="98" t="str">
        <f t="shared" si="177"/>
        <v>0.98407571317786-0.167945245205441i</v>
      </c>
      <c r="AA298" s="160">
        <f t="shared" si="188"/>
        <v>0.9983038688964545</v>
      </c>
      <c r="AB298" s="160">
        <f t="shared" si="189"/>
        <v>-0.16903439659439526</v>
      </c>
      <c r="AC298" s="171" t="str">
        <f t="shared" si="190"/>
        <v>8.56069161552169+0.621595687080285i</v>
      </c>
      <c r="AD298" s="190">
        <f t="shared" si="191"/>
        <v>18.673014114466881</v>
      </c>
      <c r="AE298" s="169">
        <f t="shared" si="192"/>
        <v>4.1529841156348661</v>
      </c>
      <c r="AF298" s="98" t="str">
        <f t="shared" si="178"/>
        <v>-0.0000114342530449913</v>
      </c>
      <c r="AG298" s="98" t="str">
        <f t="shared" si="179"/>
        <v>0.00475928851051215i</v>
      </c>
      <c r="AH298" s="98">
        <f t="shared" si="193"/>
        <v>4.7592885105121503E-3</v>
      </c>
      <c r="AI298" s="98">
        <f t="shared" si="194"/>
        <v>1.5707963267948966</v>
      </c>
      <c r="AJ298" s="98" t="str">
        <f t="shared" si="180"/>
        <v>1+0.04359047837992i</v>
      </c>
      <c r="AK298" s="98">
        <f t="shared" si="195"/>
        <v>1.0009496140193024</v>
      </c>
      <c r="AL298" s="98">
        <f t="shared" si="196"/>
        <v>4.3562900624820704E-2</v>
      </c>
      <c r="AM298" s="98" t="str">
        <f t="shared" si="181"/>
        <v>1+104.660738590188i</v>
      </c>
      <c r="AN298" s="98">
        <f t="shared" si="197"/>
        <v>104.66551582180095</v>
      </c>
      <c r="AO298" s="98">
        <f t="shared" si="198"/>
        <v>1.5612419362517778</v>
      </c>
      <c r="AP298" s="168" t="str">
        <f t="shared" si="199"/>
        <v>-0.25086738935833+0.0133379426229366i</v>
      </c>
      <c r="AQ298" s="98">
        <f t="shared" si="200"/>
        <v>-11.998856639245519</v>
      </c>
      <c r="AR298" s="169">
        <f t="shared" si="201"/>
        <v>176.95660339690951</v>
      </c>
      <c r="AS298" s="168" t="str">
        <f t="shared" si="202"/>
        <v>-2.15588916429661-0.0417560736737458i</v>
      </c>
      <c r="AT298" s="190">
        <f t="shared" si="203"/>
        <v>6.6741574752213566</v>
      </c>
      <c r="AU298" s="169">
        <f t="shared" si="204"/>
        <v>-178.89041248745559</v>
      </c>
      <c r="AV298" s="225"/>
      <c r="AX298">
        <f t="shared" si="205"/>
        <v>0</v>
      </c>
      <c r="AY298">
        <f t="shared" si="206"/>
        <v>0</v>
      </c>
    </row>
    <row r="299" spans="14:51" x14ac:dyDescent="0.2">
      <c r="N299" s="170">
        <v>81</v>
      </c>
      <c r="O299" s="199">
        <f t="shared" si="207"/>
        <v>6456.5422903465615</v>
      </c>
      <c r="P299" s="189" t="str">
        <f t="shared" si="173"/>
        <v>1757.57575757576</v>
      </c>
      <c r="Q299" s="160" t="str">
        <f t="shared" si="174"/>
        <v>1+2339.40124537428i</v>
      </c>
      <c r="R299" s="160">
        <f t="shared" si="182"/>
        <v>2339.4014591041723</v>
      </c>
      <c r="S299" s="160">
        <f t="shared" si="183"/>
        <v>1.5703688670160023</v>
      </c>
      <c r="T299" s="160" t="str">
        <f t="shared" si="175"/>
        <v>1+11.358942463089i</v>
      </c>
      <c r="U299" s="160">
        <f t="shared" si="184"/>
        <v>11.402875684658078</v>
      </c>
      <c r="V299" s="160">
        <f t="shared" si="185"/>
        <v>1.4829863494389168</v>
      </c>
      <c r="W299" s="98" t="str">
        <f t="shared" si="176"/>
        <v>1-0.00731062889179462i</v>
      </c>
      <c r="X299" s="160">
        <f t="shared" si="186"/>
        <v>1.0000267222903563</v>
      </c>
      <c r="Y299" s="160">
        <f t="shared" si="187"/>
        <v>-7.3104986563987933E-3</v>
      </c>
      <c r="Z299" s="98" t="str">
        <f t="shared" si="177"/>
        <v>0.983325224661187-0.171857192505601i</v>
      </c>
      <c r="AA299" s="160">
        <f t="shared" si="188"/>
        <v>0.99823012981520509</v>
      </c>
      <c r="AB299" s="160">
        <f t="shared" si="189"/>
        <v>-0.17302391615171572</v>
      </c>
      <c r="AC299" s="171" t="str">
        <f t="shared" si="190"/>
        <v>8.55600237332292+0.671573458887704i</v>
      </c>
      <c r="AD299" s="190">
        <f t="shared" si="191"/>
        <v>18.672092358251934</v>
      </c>
      <c r="AE299" s="169">
        <f t="shared" si="192"/>
        <v>4.4880299707763145</v>
      </c>
      <c r="AF299" s="98" t="str">
        <f t="shared" si="178"/>
        <v>-0.0000114342530449913</v>
      </c>
      <c r="AG299" s="98" t="str">
        <f t="shared" si="179"/>
        <v>0.00487014658104939i</v>
      </c>
      <c r="AH299" s="98">
        <f t="shared" si="193"/>
        <v>4.8701465810493897E-3</v>
      </c>
      <c r="AI299" s="98">
        <f t="shared" si="194"/>
        <v>1.5707963267948966</v>
      </c>
      <c r="AJ299" s="98" t="str">
        <f t="shared" si="180"/>
        <v>1+0.044605831056338i</v>
      </c>
      <c r="AK299" s="98">
        <f t="shared" si="195"/>
        <v>1.0009943457204074</v>
      </c>
      <c r="AL299" s="98">
        <f t="shared" si="196"/>
        <v>4.4576282544490371E-2</v>
      </c>
      <c r="AM299" s="98" t="str">
        <f t="shared" si="181"/>
        <v>1+107.098600366267i</v>
      </c>
      <c r="AN299" s="98">
        <f t="shared" si="197"/>
        <v>107.10326885960748</v>
      </c>
      <c r="AO299" s="98">
        <f t="shared" si="198"/>
        <v>1.5614594079457229</v>
      </c>
      <c r="AP299" s="168" t="str">
        <f t="shared" si="199"/>
        <v>-0.250844968703525+0.0135369735311133i</v>
      </c>
      <c r="AQ299" s="98">
        <f t="shared" si="200"/>
        <v>-11.999262639343304</v>
      </c>
      <c r="AR299" s="169">
        <f t="shared" si="201"/>
        <v>176.91100110010422</v>
      </c>
      <c r="AS299" s="168" t="str">
        <f t="shared" si="202"/>
        <v>-2.15532121970063-0.0526384456169892i</v>
      </c>
      <c r="AT299" s="190">
        <f t="shared" si="203"/>
        <v>6.6728297189086074</v>
      </c>
      <c r="AU299" s="169">
        <f t="shared" si="204"/>
        <v>-178.60096892911946</v>
      </c>
      <c r="AV299" s="225"/>
      <c r="AX299">
        <f t="shared" si="205"/>
        <v>0</v>
      </c>
      <c r="AY299">
        <f t="shared" si="206"/>
        <v>0</v>
      </c>
    </row>
    <row r="300" spans="14:51" x14ac:dyDescent="0.2">
      <c r="N300" s="170">
        <v>82</v>
      </c>
      <c r="O300" s="199">
        <f t="shared" si="207"/>
        <v>6606.9344800759654</v>
      </c>
      <c r="P300" s="189" t="str">
        <f t="shared" si="173"/>
        <v>1757.57575757576</v>
      </c>
      <c r="Q300" s="160" t="str">
        <f t="shared" si="174"/>
        <v>1+2393.89290052437i</v>
      </c>
      <c r="R300" s="160">
        <f t="shared" si="182"/>
        <v>2393.893109389177</v>
      </c>
      <c r="S300" s="160">
        <f t="shared" si="183"/>
        <v>1.5703785971873545</v>
      </c>
      <c r="T300" s="160" t="str">
        <f t="shared" si="175"/>
        <v>1+11.6235262221992i</v>
      </c>
      <c r="U300" s="160">
        <f t="shared" si="184"/>
        <v>11.666463124621462</v>
      </c>
      <c r="V300" s="160">
        <f t="shared" si="185"/>
        <v>1.4849752353279708</v>
      </c>
      <c r="W300" s="98" t="str">
        <f t="shared" si="176"/>
        <v>1-0.00748091531413863i</v>
      </c>
      <c r="X300" s="160">
        <f t="shared" si="186"/>
        <v>1.000027981655482</v>
      </c>
      <c r="Y300" s="160">
        <f t="shared" si="187"/>
        <v>-7.4807757646086657E-3</v>
      </c>
      <c r="Z300" s="98" t="str">
        <f t="shared" si="177"/>
        <v>0.982539366710393-0.175860260764026i</v>
      </c>
      <c r="AA300" s="160">
        <f t="shared" si="188"/>
        <v>0.99815351447142209</v>
      </c>
      <c r="AB300" s="160">
        <f t="shared" si="189"/>
        <v>-0.17711006442908037</v>
      </c>
      <c r="AC300" s="171" t="str">
        <f t="shared" si="190"/>
        <v>8.55108167897482+0.721930714621535i</v>
      </c>
      <c r="AD300" s="190">
        <f t="shared" si="191"/>
        <v>18.671266471028197</v>
      </c>
      <c r="AE300" s="169">
        <f t="shared" si="192"/>
        <v>4.8257901315093275</v>
      </c>
      <c r="AF300" s="98" t="str">
        <f t="shared" si="178"/>
        <v>-0.0000114342530449913</v>
      </c>
      <c r="AG300" s="98" t="str">
        <f t="shared" si="179"/>
        <v>0.00498358686776792i</v>
      </c>
      <c r="AH300" s="98">
        <f t="shared" si="193"/>
        <v>4.9835868677679199E-3</v>
      </c>
      <c r="AI300" s="98">
        <f t="shared" si="194"/>
        <v>1.5707963267948966</v>
      </c>
      <c r="AJ300" s="98" t="str">
        <f t="shared" si="180"/>
        <v>1+0.0456448343348098i</v>
      </c>
      <c r="AK300" s="98">
        <f t="shared" si="195"/>
        <v>1.0010411834192698</v>
      </c>
      <c r="AL300" s="98">
        <f t="shared" si="196"/>
        <v>4.5613174312243834E-2</v>
      </c>
      <c r="AM300" s="98" t="str">
        <f t="shared" si="181"/>
        <v>1+109.593247237878i</v>
      </c>
      <c r="AN300" s="98">
        <f t="shared" si="197"/>
        <v>109.59780946781126</v>
      </c>
      <c r="AO300" s="98">
        <f t="shared" si="198"/>
        <v>1.5616719302329631</v>
      </c>
      <c r="AP300" s="168" t="str">
        <f t="shared" si="199"/>
        <v>-0.250821495690749+0.0137430878271282i</v>
      </c>
      <c r="AQ300" s="98">
        <f t="shared" si="200"/>
        <v>-11.99968609256511</v>
      </c>
      <c r="AR300" s="169">
        <f t="shared" si="201"/>
        <v>176.8637682081114</v>
      </c>
      <c r="AS300" s="168" t="str">
        <f t="shared" si="202"/>
        <v>-2.15471665371037-0.0635574750953669i</v>
      </c>
      <c r="AT300" s="190">
        <f t="shared" si="203"/>
        <v>6.6715803784630845</v>
      </c>
      <c r="AU300" s="169">
        <f t="shared" si="204"/>
        <v>-178.31044166037924</v>
      </c>
      <c r="AV300" s="225"/>
      <c r="AX300">
        <f t="shared" si="205"/>
        <v>0</v>
      </c>
      <c r="AY300">
        <f t="shared" si="206"/>
        <v>0</v>
      </c>
    </row>
    <row r="301" spans="14:51" x14ac:dyDescent="0.2">
      <c r="N301" s="170">
        <v>83</v>
      </c>
      <c r="O301" s="199">
        <f t="shared" si="207"/>
        <v>6760.8297539198229</v>
      </c>
      <c r="P301" s="189" t="str">
        <f t="shared" si="173"/>
        <v>1757.57575757576</v>
      </c>
      <c r="Q301" s="160" t="str">
        <f t="shared" si="174"/>
        <v>1+2449.65382937724i</v>
      </c>
      <c r="R301" s="160">
        <f t="shared" si="182"/>
        <v>2449.6540334877036</v>
      </c>
      <c r="S301" s="160">
        <f t="shared" si="183"/>
        <v>1.5703881058730425</v>
      </c>
      <c r="T301" s="160" t="str">
        <f t="shared" si="175"/>
        <v>1+11.8942729287681i</v>
      </c>
      <c r="U301" s="160">
        <f t="shared" si="184"/>
        <v>11.936235943714653</v>
      </c>
      <c r="V301" s="160">
        <f t="shared" si="185"/>
        <v>1.4869195065520364</v>
      </c>
      <c r="W301" s="98" t="str">
        <f t="shared" si="176"/>
        <v>1-0.00765516821680384i</v>
      </c>
      <c r="X301" s="160">
        <f t="shared" si="186"/>
        <v>1.0000293003709579</v>
      </c>
      <c r="Y301" s="160">
        <f t="shared" si="187"/>
        <v>-7.6550186870250666E-3</v>
      </c>
      <c r="Z301" s="98" t="str">
        <f t="shared" si="177"/>
        <v>0.981716472415405-0.179956572460494i</v>
      </c>
      <c r="AA301" s="160">
        <f t="shared" si="188"/>
        <v>0.99807394524828452</v>
      </c>
      <c r="AB301" s="160">
        <f t="shared" si="189"/>
        <v>-0.1812953527913457</v>
      </c>
      <c r="AC301" s="171" t="str">
        <f t="shared" si="190"/>
        <v>8.54591743305858+0.772695583942834i</v>
      </c>
      <c r="AD301" s="190">
        <f t="shared" si="191"/>
        <v>18.670534039732068</v>
      </c>
      <c r="AE301" s="169">
        <f t="shared" si="192"/>
        <v>5.166459834456921</v>
      </c>
      <c r="AF301" s="98" t="str">
        <f t="shared" si="178"/>
        <v>-0.0000114342530449913</v>
      </c>
      <c r="AG301" s="98" t="str">
        <f t="shared" si="179"/>
        <v>0.0050996695182093i</v>
      </c>
      <c r="AH301" s="98">
        <f t="shared" si="193"/>
        <v>5.0996695182093004E-3</v>
      </c>
      <c r="AI301" s="98">
        <f t="shared" si="194"/>
        <v>1.5707963267948966</v>
      </c>
      <c r="AJ301" s="98" t="str">
        <f t="shared" si="180"/>
        <v>1+0.0467080391086268i</v>
      </c>
      <c r="AK301" s="98">
        <f t="shared" si="195"/>
        <v>1.0010902261621442</v>
      </c>
      <c r="AL301" s="98">
        <f t="shared" si="196"/>
        <v>4.6674116778277708E-2</v>
      </c>
      <c r="AM301" s="98" t="str">
        <f t="shared" si="181"/>
        <v>1+112.146001899813i</v>
      </c>
      <c r="AN301" s="98">
        <f t="shared" si="197"/>
        <v>112.15046028489077</v>
      </c>
      <c r="AO301" s="98">
        <f t="shared" si="198"/>
        <v>1.5618796157187937</v>
      </c>
      <c r="AP301" s="168" t="str">
        <f t="shared" si="199"/>
        <v>-0.250796921136947+0.0139563880942426i</v>
      </c>
      <c r="AQ301" s="98">
        <f t="shared" si="200"/>
        <v>-12.000127891849864</v>
      </c>
      <c r="AR301" s="169">
        <f t="shared" si="201"/>
        <v>176.81488018430568</v>
      </c>
      <c r="AS301" s="168" t="str">
        <f t="shared" si="202"/>
        <v>-2.15407381994987-0.0745195331118591i</v>
      </c>
      <c r="AT301" s="190">
        <f t="shared" si="203"/>
        <v>6.6704061478822174</v>
      </c>
      <c r="AU301" s="169">
        <f t="shared" si="204"/>
        <v>-178.01865998123739</v>
      </c>
      <c r="AV301" s="225"/>
      <c r="AX301">
        <f t="shared" si="205"/>
        <v>0</v>
      </c>
      <c r="AY301">
        <f t="shared" si="206"/>
        <v>0</v>
      </c>
    </row>
    <row r="302" spans="14:51" x14ac:dyDescent="0.2">
      <c r="N302" s="170">
        <v>84</v>
      </c>
      <c r="O302" s="199">
        <f t="shared" si="207"/>
        <v>6918.3097091893687</v>
      </c>
      <c r="P302" s="189" t="str">
        <f t="shared" si="173"/>
        <v>1757.57575757576</v>
      </c>
      <c r="Q302" s="160" t="str">
        <f t="shared" si="174"/>
        <v>1+2506.71359711544i</v>
      </c>
      <c r="R302" s="160">
        <f t="shared" si="182"/>
        <v>2506.7137965797824</v>
      </c>
      <c r="S302" s="160">
        <f t="shared" si="183"/>
        <v>1.5703973981146906</v>
      </c>
      <c r="T302" s="160" t="str">
        <f t="shared" si="175"/>
        <v>1+12.171326136283i</v>
      </c>
      <c r="U302" s="160">
        <f t="shared" si="184"/>
        <v>12.212337201198041</v>
      </c>
      <c r="V302" s="160">
        <f t="shared" si="185"/>
        <v>1.4888201351590564</v>
      </c>
      <c r="W302" s="98" t="str">
        <f t="shared" si="176"/>
        <v>1-0.00783347999098572i</v>
      </c>
      <c r="X302" s="160">
        <f t="shared" si="186"/>
        <v>1.0000306812337156</v>
      </c>
      <c r="Y302" s="160">
        <f t="shared" si="187"/>
        <v>-7.8333197672065466E-3</v>
      </c>
      <c r="Z302" s="98" t="str">
        <f t="shared" si="177"/>
        <v>0.980854796307094-0.184148299513687i</v>
      </c>
      <c r="AA302" s="160">
        <f t="shared" si="188"/>
        <v>0.99799134648172849</v>
      </c>
      <c r="AB302" s="160">
        <f t="shared" si="189"/>
        <v>-0.18558236921970825</v>
      </c>
      <c r="AC302" s="171" t="str">
        <f t="shared" si="190"/>
        <v>8.54049686195468+0.823896484679243i</v>
      </c>
      <c r="AD302" s="190">
        <f t="shared" si="191"/>
        <v>18.669892772098681</v>
      </c>
      <c r="AE302" s="169">
        <f t="shared" si="192"/>
        <v>5.5102374745037741</v>
      </c>
      <c r="AF302" s="98" t="str">
        <f t="shared" si="178"/>
        <v>-0.0000114342530449913</v>
      </c>
      <c r="AG302" s="98" t="str">
        <f t="shared" si="179"/>
        <v>0.00521845608093135i</v>
      </c>
      <c r="AH302" s="98">
        <f t="shared" si="193"/>
        <v>5.21845608093135E-3</v>
      </c>
      <c r="AI302" s="98">
        <f t="shared" si="194"/>
        <v>1.5707963267948966</v>
      </c>
      <c r="AJ302" s="98" t="str">
        <f t="shared" si="180"/>
        <v>1+0.0477960091030332i</v>
      </c>
      <c r="AK302" s="98">
        <f t="shared" si="195"/>
        <v>1.0011415776433308</v>
      </c>
      <c r="AL302" s="98">
        <f t="shared" si="196"/>
        <v>4.7759662909330397E-2</v>
      </c>
      <c r="AM302" s="98" t="str">
        <f t="shared" si="181"/>
        <v>1+114.758217856383i</v>
      </c>
      <c r="AN302" s="98">
        <f t="shared" si="197"/>
        <v>114.76257476012405</v>
      </c>
      <c r="AO302" s="98">
        <f t="shared" si="198"/>
        <v>1.5620825744491023</v>
      </c>
      <c r="AP302" s="168" t="str">
        <f t="shared" si="199"/>
        <v>-0.250771193580786+0.0141769802499879i</v>
      </c>
      <c r="AQ302" s="98">
        <f t="shared" si="200"/>
        <v>-12.000588968546698</v>
      </c>
      <c r="AR302" s="169">
        <f t="shared" si="201"/>
        <v>176.76431165119163</v>
      </c>
      <c r="AS302" s="168" t="str">
        <f t="shared" si="202"/>
        <v>-2.15339095603666-0.0855310495130124i</v>
      </c>
      <c r="AT302" s="190">
        <f t="shared" si="203"/>
        <v>6.6693038035519692</v>
      </c>
      <c r="AU302" s="169">
        <f t="shared" si="204"/>
        <v>-177.72545087430458</v>
      </c>
      <c r="AV302" s="225"/>
      <c r="AX302">
        <f t="shared" si="205"/>
        <v>0</v>
      </c>
      <c r="AY302">
        <f t="shared" si="206"/>
        <v>0</v>
      </c>
    </row>
    <row r="303" spans="14:51" x14ac:dyDescent="0.2">
      <c r="N303" s="170">
        <v>85</v>
      </c>
      <c r="O303" s="199">
        <f t="shared" si="207"/>
        <v>7079.4578438413828</v>
      </c>
      <c r="P303" s="189" t="str">
        <f t="shared" si="173"/>
        <v>1757.57575757576</v>
      </c>
      <c r="Q303" s="160" t="str">
        <f t="shared" si="174"/>
        <v>1+2565.10245758311i</v>
      </c>
      <c r="R303" s="160">
        <f t="shared" si="182"/>
        <v>2565.1026525070906</v>
      </c>
      <c r="S303" s="160">
        <f t="shared" si="183"/>
        <v>1.5704064788391616</v>
      </c>
      <c r="T303" s="160" t="str">
        <f t="shared" si="175"/>
        <v>1+12.454832742022i</v>
      </c>
      <c r="U303" s="160">
        <f t="shared" si="184"/>
        <v>12.494913310293244</v>
      </c>
      <c r="V303" s="160">
        <f t="shared" si="185"/>
        <v>1.4906780739304348</v>
      </c>
      <c r="W303" s="98" t="str">
        <f t="shared" si="176"/>
        <v>1-0.00801594517994719i</v>
      </c>
      <c r="X303" s="160">
        <f t="shared" si="186"/>
        <v>1.0000321271724864</v>
      </c>
      <c r="Y303" s="160">
        <f t="shared" si="187"/>
        <v>-8.0157734973725341E-3</v>
      </c>
      <c r="Z303" s="98" t="str">
        <f t="shared" si="177"/>
        <v>0.979952510654909-0.188437664432773i</v>
      </c>
      <c r="AA303" s="160">
        <f t="shared" si="188"/>
        <v>0.99790564509663826</v>
      </c>
      <c r="AB303" s="160">
        <f t="shared" si="189"/>
        <v>-0.18997378132564438</v>
      </c>
      <c r="AC303" s="171" t="str">
        <f t="shared" si="190"/>
        <v>8.53480647598206+0.875562139296211i</v>
      </c>
      <c r="AD303" s="190">
        <f t="shared" si="191"/>
        <v>18.669340485408018</v>
      </c>
      <c r="AE303" s="169">
        <f t="shared" si="192"/>
        <v>5.8573247885882225</v>
      </c>
      <c r="AF303" s="98" t="str">
        <f t="shared" si="178"/>
        <v>-0.0000114342530449913</v>
      </c>
      <c r="AG303" s="98" t="str">
        <f t="shared" si="179"/>
        <v>0.00534000953814194i</v>
      </c>
      <c r="AH303" s="98">
        <f t="shared" si="193"/>
        <v>5.3400095381419396E-3</v>
      </c>
      <c r="AI303" s="98">
        <f t="shared" si="194"/>
        <v>1.5707963267948966</v>
      </c>
      <c r="AJ303" s="98" t="str">
        <f t="shared" si="180"/>
        <v>1+0.048909321174121i</v>
      </c>
      <c r="AK303" s="98">
        <f t="shared" si="195"/>
        <v>1.001195346422322</v>
      </c>
      <c r="AL303" s="98">
        <f t="shared" si="196"/>
        <v>4.8870378036759678E-2</v>
      </c>
      <c r="AM303" s="98" t="str">
        <f t="shared" si="181"/>
        <v>1+117.431280139064i</v>
      </c>
      <c r="AN303" s="98">
        <f t="shared" si="197"/>
        <v>117.43553787120544</v>
      </c>
      <c r="AO303" s="98">
        <f t="shared" si="198"/>
        <v>1.5622809139683729</v>
      </c>
      <c r="AP303" s="168" t="str">
        <f t="shared" si="199"/>
        <v>-0.25074425917909+0.0144049735687123i</v>
      </c>
      <c r="AQ303" s="98">
        <f t="shared" si="200"/>
        <v>-12.001070294341492</v>
      </c>
      <c r="AR303" s="169">
        <f t="shared" si="201"/>
        <v>176.71203637951348</v>
      </c>
      <c r="AS303" s="168" t="str">
        <f t="shared" si="202"/>
        <v>-2.15266617653135-0.0965985182824915i</v>
      </c>
      <c r="AT303" s="190">
        <f t="shared" si="203"/>
        <v>6.6682701910665312</v>
      </c>
      <c r="AU303" s="169">
        <f t="shared" si="204"/>
        <v>-177.43063883189831</v>
      </c>
      <c r="AV303" s="225"/>
      <c r="AX303">
        <f t="shared" si="205"/>
        <v>0</v>
      </c>
      <c r="AY303">
        <f t="shared" si="206"/>
        <v>0</v>
      </c>
    </row>
    <row r="304" spans="14:51" x14ac:dyDescent="0.2">
      <c r="N304" s="170">
        <v>86</v>
      </c>
      <c r="O304" s="199">
        <f t="shared" si="207"/>
        <v>7244.3596007499036</v>
      </c>
      <c r="P304" s="189" t="str">
        <f t="shared" si="173"/>
        <v>1757.57575757576</v>
      </c>
      <c r="Q304" s="160" t="str">
        <f t="shared" si="174"/>
        <v>1+2624.85136932694i</v>
      </c>
      <c r="R304" s="160">
        <f t="shared" si="182"/>
        <v>2624.8515598139093</v>
      </c>
      <c r="S304" s="160">
        <f t="shared" si="183"/>
        <v>1.5704153528611702</v>
      </c>
      <c r="T304" s="160" t="str">
        <f t="shared" si="175"/>
        <v>1+12.74494306494i</v>
      </c>
      <c r="U304" s="160">
        <f t="shared" si="184"/>
        <v>12.784114115908158</v>
      </c>
      <c r="V304" s="160">
        <f t="shared" si="185"/>
        <v>1.4924942566334172</v>
      </c>
      <c r="W304" s="98" t="str">
        <f t="shared" si="176"/>
        <v>1-0.00820266052914666i</v>
      </c>
      <c r="X304" s="160">
        <f t="shared" si="186"/>
        <v>1.0000336412540112</v>
      </c>
      <c r="Y304" s="160">
        <f t="shared" si="187"/>
        <v>-8.202476568287773E-3</v>
      </c>
      <c r="Z304" s="98" t="str">
        <f t="shared" si="177"/>
        <v>0.979007701590009-0.192826941495809i</v>
      </c>
      <c r="AA304" s="160">
        <f t="shared" si="188"/>
        <v>0.99781677132586832</v>
      </c>
      <c r="AB304" s="160">
        <f t="shared" si="189"/>
        <v>-0.19447233951428039</v>
      </c>
      <c r="AC304" s="171" t="str">
        <f t="shared" si="190"/>
        <v>8.52883202466357+0.927721591162397i</v>
      </c>
      <c r="AD304" s="190">
        <f t="shared" si="191"/>
        <v>18.668875094737935</v>
      </c>
      <c r="AE304" s="169">
        <f t="shared" si="192"/>
        <v>6.2079270484026496</v>
      </c>
      <c r="AF304" s="98" t="str">
        <f t="shared" si="178"/>
        <v>-0.0000114342530449913</v>
      </c>
      <c r="AG304" s="98" t="str">
        <f t="shared" si="179"/>
        <v>0.00546439433909303i</v>
      </c>
      <c r="AH304" s="98">
        <f t="shared" si="193"/>
        <v>5.4643943390930297E-3</v>
      </c>
      <c r="AI304" s="98">
        <f t="shared" si="194"/>
        <v>1.5707963267948966</v>
      </c>
      <c r="AJ304" s="98" t="str">
        <f t="shared" si="180"/>
        <v>1+0.0500485656146868i</v>
      </c>
      <c r="AK304" s="98">
        <f t="shared" si="195"/>
        <v>1.0012516461510002</v>
      </c>
      <c r="AL304" s="98">
        <f t="shared" si="196"/>
        <v>5.0006840107989878E-2</v>
      </c>
      <c r="AM304" s="98" t="str">
        <f t="shared" si="181"/>
        <v>1+120.166606040863i</v>
      </c>
      <c r="AN304" s="98">
        <f t="shared" si="197"/>
        <v>120.17076685858326</v>
      </c>
      <c r="AO304" s="98">
        <f t="shared" si="198"/>
        <v>1.5624747393763891</v>
      </c>
      <c r="AP304" s="168" t="str">
        <f t="shared" si="199"/>
        <v>-0.250716061598746+0.0146404807035539i</v>
      </c>
      <c r="AQ304" s="98">
        <f t="shared" si="200"/>
        <v>-12.001572883264725</v>
      </c>
      <c r="AR304" s="169">
        <f t="shared" si="201"/>
        <v>176.65802727709701</v>
      </c>
      <c r="AS304" s="168" t="str">
        <f t="shared" si="202"/>
        <v>-2.15189746531459-0.107728502915419i</v>
      </c>
      <c r="AT304" s="190">
        <f t="shared" si="203"/>
        <v>6.6673022114731992</v>
      </c>
      <c r="AU304" s="169">
        <f t="shared" si="204"/>
        <v>-177.13404567450033</v>
      </c>
      <c r="AV304" s="225"/>
      <c r="AX304">
        <f t="shared" si="205"/>
        <v>0</v>
      </c>
      <c r="AY304">
        <f t="shared" si="206"/>
        <v>0</v>
      </c>
    </row>
    <row r="305" spans="14:51" x14ac:dyDescent="0.2">
      <c r="N305" s="170">
        <v>87</v>
      </c>
      <c r="O305" s="199">
        <f t="shared" si="207"/>
        <v>7413.1024130091773</v>
      </c>
      <c r="P305" s="189" t="str">
        <f t="shared" si="173"/>
        <v>1757.57575757576</v>
      </c>
      <c r="Q305" s="160" t="str">
        <f t="shared" si="174"/>
        <v>1+2685.9920120108i</v>
      </c>
      <c r="R305" s="160">
        <f t="shared" si="182"/>
        <v>2685.9921981617567</v>
      </c>
      <c r="S305" s="160">
        <f t="shared" si="183"/>
        <v>1.5704240248858345</v>
      </c>
      <c r="T305" s="160" t="str">
        <f t="shared" si="175"/>
        <v>1+13.0418109253703i</v>
      </c>
      <c r="U305" s="160">
        <f t="shared" si="184"/>
        <v>13.080092974176754</v>
      </c>
      <c r="V305" s="160">
        <f t="shared" si="185"/>
        <v>1.4942695982796561</v>
      </c>
      <c r="W305" s="98" t="str">
        <f t="shared" si="176"/>
        <v>1-0.00839372503753371i</v>
      </c>
      <c r="X305" s="160">
        <f t="shared" si="186"/>
        <v>1.0000352266895429</v>
      </c>
      <c r="Y305" s="160">
        <f t="shared" si="187"/>
        <v>-8.393527920297017E-3</v>
      </c>
      <c r="Z305" s="98" t="str">
        <f t="shared" si="177"/>
        <v>0.978018365045695-0.197318457955592i</v>
      </c>
      <c r="AA305" s="160">
        <f t="shared" si="188"/>
        <v>0.99772465952116618</v>
      </c>
      <c r="AB305" s="160">
        <f t="shared" si="189"/>
        <v>-0.19908088030517865</v>
      </c>
      <c r="AC305" s="171" t="str">
        <f t="shared" si="190"/>
        <v>8.52255844890604+0.980404220533341i</v>
      </c>
      <c r="AD305" s="190">
        <f t="shared" si="191"/>
        <v>18.668494600639047</v>
      </c>
      <c r="AE305" s="169">
        <f t="shared" si="192"/>
        <v>6.5622532624048304</v>
      </c>
      <c r="AF305" s="98" t="str">
        <f t="shared" si="178"/>
        <v>-0.0000114342530449913</v>
      </c>
      <c r="AG305" s="98" t="str">
        <f t="shared" si="179"/>
        <v>0.00559167643425252i</v>
      </c>
      <c r="AH305" s="98">
        <f t="shared" si="193"/>
        <v>5.5916764342525196E-3</v>
      </c>
      <c r="AI305" s="98">
        <f t="shared" si="194"/>
        <v>1.5707963267948966</v>
      </c>
      <c r="AJ305" s="98" t="str">
        <f t="shared" si="180"/>
        <v>1+0.0512143464672125i</v>
      </c>
      <c r="AK305" s="98">
        <f t="shared" si="195"/>
        <v>1.0013105958113415</v>
      </c>
      <c r="AL305" s="98">
        <f t="shared" si="196"/>
        <v>5.1169639941239048E-2</v>
      </c>
      <c r="AM305" s="98" t="str">
        <f t="shared" si="181"/>
        <v>1+122.965645867777i</v>
      </c>
      <c r="AN305" s="98">
        <f t="shared" si="197"/>
        <v>122.96971197689103</v>
      </c>
      <c r="AO305" s="98">
        <f t="shared" si="198"/>
        <v>1.5626641533836609</v>
      </c>
      <c r="AP305" s="168" t="str">
        <f t="shared" si="199"/>
        <v>-0.2506865419039+0.0148836177076882i</v>
      </c>
      <c r="AQ305" s="98">
        <f t="shared" si="200"/>
        <v>-12.002097793784447</v>
      </c>
      <c r="AR305" s="169">
        <f t="shared" si="201"/>
        <v>176.60225637743065</v>
      </c>
      <c r="AS305" s="168" t="str">
        <f t="shared" si="202"/>
        <v>-2.15108266734754-0.118927641868546i</v>
      </c>
      <c r="AT305" s="190">
        <f t="shared" si="203"/>
        <v>6.6663968068545874</v>
      </c>
      <c r="AU305" s="169">
        <f t="shared" si="204"/>
        <v>-176.83549036016453</v>
      </c>
      <c r="AV305" s="225"/>
      <c r="AX305">
        <f t="shared" si="205"/>
        <v>0</v>
      </c>
      <c r="AY305">
        <f t="shared" si="206"/>
        <v>0</v>
      </c>
    </row>
    <row r="306" spans="14:51" x14ac:dyDescent="0.2">
      <c r="N306" s="170">
        <v>88</v>
      </c>
      <c r="O306" s="199">
        <f t="shared" si="207"/>
        <v>7585.7757502918394</v>
      </c>
      <c r="P306" s="189" t="str">
        <f t="shared" si="173"/>
        <v>1757.57575757576</v>
      </c>
      <c r="Q306" s="160" t="str">
        <f t="shared" si="174"/>
        <v>1+2748.55680321273i</v>
      </c>
      <c r="R306" s="160">
        <f t="shared" si="182"/>
        <v>2748.5569851263735</v>
      </c>
      <c r="S306" s="160">
        <f t="shared" si="183"/>
        <v>1.5704324995111716</v>
      </c>
      <c r="T306" s="160" t="str">
        <f t="shared" si="175"/>
        <v>1+13.345593726582i</v>
      </c>
      <c r="U306" s="160">
        <f t="shared" si="184"/>
        <v>13.383006833854074</v>
      </c>
      <c r="V306" s="160">
        <f t="shared" si="185"/>
        <v>1.4960049953890671</v>
      </c>
      <c r="W306" s="98" t="str">
        <f t="shared" si="176"/>
        <v>1-0.00858924001003976i</v>
      </c>
      <c r="X306" s="160">
        <f t="shared" si="186"/>
        <v>1.0000368868416556</v>
      </c>
      <c r="Y306" s="160">
        <f t="shared" si="187"/>
        <v>-8.5890287955360176E-3</v>
      </c>
      <c r="Z306" s="98" t="str">
        <f t="shared" si="177"/>
        <v>0.976982402506514-0.201914595273602i</v>
      </c>
      <c r="AA306" s="160">
        <f t="shared" si="188"/>
        <v>0.99762924906595563</v>
      </c>
      <c r="AB306" s="160">
        <f t="shared" si="189"/>
        <v>-0.20380232981888496</v>
      </c>
      <c r="AC306" s="171" t="str">
        <f t="shared" si="190"/>
        <v>8.51596982986333+1.03363976016336i</v>
      </c>
      <c r="AD306" s="190">
        <f t="shared" si="191"/>
        <v>18.668197076134071</v>
      </c>
      <c r="AE306" s="169">
        <f t="shared" si="192"/>
        <v>6.9205163875656535</v>
      </c>
      <c r="AF306" s="98" t="str">
        <f t="shared" si="178"/>
        <v>-0.0000114342530449913</v>
      </c>
      <c r="AG306" s="98" t="str">
        <f t="shared" si="179"/>
        <v>0.00572192331027204i</v>
      </c>
      <c r="AH306" s="98">
        <f t="shared" si="193"/>
        <v>5.7219233102720401E-3</v>
      </c>
      <c r="AI306" s="98">
        <f t="shared" si="194"/>
        <v>1.5707963267948966</v>
      </c>
      <c r="AJ306" s="98" t="str">
        <f t="shared" si="180"/>
        <v>1+0.0524072818441371i</v>
      </c>
      <c r="AK306" s="98">
        <f t="shared" si="195"/>
        <v>1.0013723199641034</v>
      </c>
      <c r="AL306" s="98">
        <f t="shared" si="196"/>
        <v>5.2359381483424068E-2</v>
      </c>
      <c r="AM306" s="98" t="str">
        <f t="shared" si="181"/>
        <v>1+125.829883707773i</v>
      </c>
      <c r="AN306" s="98">
        <f t="shared" si="197"/>
        <v>125.83385726390047</v>
      </c>
      <c r="AO306" s="98">
        <f t="shared" si="198"/>
        <v>1.5628492563656051</v>
      </c>
      <c r="AP306" s="168" t="str">
        <f t="shared" si="199"/>
        <v>-0.250655638438302+0.0151345040546918i</v>
      </c>
      <c r="AQ306" s="98">
        <f t="shared" si="200"/>
        <v>-12.00264613098687</v>
      </c>
      <c r="AR306" s="169">
        <f t="shared" si="201"/>
        <v>176.54469482799274</v>
      </c>
      <c r="AS306" s="168" t="str">
        <f t="shared" si="202"/>
        <v>-2.15021947976699-0.130202654079261i</v>
      </c>
      <c r="AT306" s="190">
        <f t="shared" si="203"/>
        <v>6.6655509451471868</v>
      </c>
      <c r="AU306" s="169">
        <f t="shared" si="204"/>
        <v>-176.53478878444159</v>
      </c>
      <c r="AV306" s="225"/>
      <c r="AX306">
        <f t="shared" si="205"/>
        <v>0</v>
      </c>
      <c r="AY306">
        <f t="shared" si="206"/>
        <v>0</v>
      </c>
    </row>
    <row r="307" spans="14:51" x14ac:dyDescent="0.2">
      <c r="N307" s="170">
        <v>89</v>
      </c>
      <c r="O307" s="199">
        <f t="shared" si="207"/>
        <v>7762.4711662869322</v>
      </c>
      <c r="P307" s="189" t="str">
        <f t="shared" si="173"/>
        <v>1757.57575757576</v>
      </c>
      <c r="Q307" s="160" t="str">
        <f t="shared" si="174"/>
        <v>1+2812.57891561318i</v>
      </c>
      <c r="R307" s="160">
        <f t="shared" si="182"/>
        <v>2812.5790933859639</v>
      </c>
      <c r="S307" s="160">
        <f t="shared" si="183"/>
        <v>1.5704407812305352</v>
      </c>
      <c r="T307" s="160" t="str">
        <f t="shared" si="175"/>
        <v>1+13.6564525382374i</v>
      </c>
      <c r="U307" s="160">
        <f t="shared" si="184"/>
        <v>13.69301631961091</v>
      </c>
      <c r="V307" s="160">
        <f t="shared" si="185"/>
        <v>1.4977013262581595</v>
      </c>
      <c r="W307" s="98" t="str">
        <f t="shared" si="176"/>
        <v>1-0.00878930911129117i</v>
      </c>
      <c r="X307" s="160">
        <f t="shared" si="186"/>
        <v>1.0000386252313727</v>
      </c>
      <c r="Y307" s="160">
        <f t="shared" si="187"/>
        <v>-8.7890827913449706E-3</v>
      </c>
      <c r="Z307" s="98" t="str">
        <f t="shared" si="177"/>
        <v>0.975897616557026-0.206617790382682i</v>
      </c>
      <c r="AA307" s="160">
        <f t="shared" si="188"/>
        <v>0.99753048540097555</v>
      </c>
      <c r="AB307" s="160">
        <f t="shared" si="189"/>
        <v>-0.2086397074379136</v>
      </c>
      <c r="AC307" s="171" t="str">
        <f t="shared" si="190"/>
        <v>8.50904933423696+1.08745831044049i</v>
      </c>
      <c r="AD307" s="190">
        <f t="shared" si="191"/>
        <v>18.667980652938983</v>
      </c>
      <c r="AE307" s="169">
        <f t="shared" si="192"/>
        <v>7.2829335513025475</v>
      </c>
      <c r="AF307" s="98" t="str">
        <f t="shared" si="178"/>
        <v>-0.0000114342530449913</v>
      </c>
      <c r="AG307" s="98" t="str">
        <f t="shared" si="179"/>
        <v>0.00585520402576928i</v>
      </c>
      <c r="AH307" s="98">
        <f t="shared" si="193"/>
        <v>5.8552040257692801E-3</v>
      </c>
      <c r="AI307" s="98">
        <f t="shared" si="194"/>
        <v>1.5707963267948966</v>
      </c>
      <c r="AJ307" s="98" t="str">
        <f t="shared" si="180"/>
        <v>1+0.053628004255588i</v>
      </c>
      <c r="AK307" s="98">
        <f t="shared" si="195"/>
        <v>1.0014369490089914</v>
      </c>
      <c r="AL307" s="98">
        <f t="shared" si="196"/>
        <v>5.3576682071124489E-2</v>
      </c>
      <c r="AM307" s="98" t="str">
        <f t="shared" si="181"/>
        <v>1+128.760838217667i</v>
      </c>
      <c r="AN307" s="98">
        <f t="shared" si="197"/>
        <v>128.76472132737371</v>
      </c>
      <c r="AO307" s="98">
        <f t="shared" si="198"/>
        <v>1.5630301464155061</v>
      </c>
      <c r="AP307" s="168" t="str">
        <f t="shared" si="199"/>
        <v>-0.250623286702546+0.0153932626578455i</v>
      </c>
      <c r="AQ307" s="98">
        <f t="shared" si="200"/>
        <v>-12.003219048850919</v>
      </c>
      <c r="AR307" s="169">
        <f t="shared" si="201"/>
        <v>176.48531287833393</v>
      </c>
      <c r="AS307" s="168" t="str">
        <f t="shared" si="202"/>
        <v>-2.14930544226265-0.141560344544118i</v>
      </c>
      <c r="AT307" s="190">
        <f t="shared" si="203"/>
        <v>6.6647616040880822</v>
      </c>
      <c r="AU307" s="169">
        <f t="shared" si="204"/>
        <v>-176.23175357036351</v>
      </c>
      <c r="AV307" s="225"/>
      <c r="AX307">
        <f t="shared" si="205"/>
        <v>0</v>
      </c>
      <c r="AY307">
        <f t="shared" si="206"/>
        <v>0</v>
      </c>
    </row>
    <row r="308" spans="14:51" x14ac:dyDescent="0.2">
      <c r="N308" s="170">
        <v>90</v>
      </c>
      <c r="O308" s="199">
        <f t="shared" si="207"/>
        <v>7943.2823472428154</v>
      </c>
      <c r="P308" s="189" t="str">
        <f t="shared" si="173"/>
        <v>1757.57575757576</v>
      </c>
      <c r="Q308" s="160" t="str">
        <f t="shared" si="174"/>
        <v>1+2878.09229458357i</v>
      </c>
      <c r="R308" s="160">
        <f t="shared" si="182"/>
        <v>2878.0924683097514</v>
      </c>
      <c r="S308" s="160">
        <f t="shared" si="183"/>
        <v>1.570448874434998</v>
      </c>
      <c r="T308" s="160" t="str">
        <f t="shared" si="175"/>
        <v>1+13.974552181793i</v>
      </c>
      <c r="U308" s="160">
        <f t="shared" si="184"/>
        <v>14.01028581727209</v>
      </c>
      <c r="V308" s="160">
        <f t="shared" si="185"/>
        <v>1.4993594512320829</v>
      </c>
      <c r="W308" s="98" t="str">
        <f t="shared" si="176"/>
        <v>1-0.00899403842057362i</v>
      </c>
      <c r="X308" s="160">
        <f t="shared" si="186"/>
        <v>1.0000404455456342</v>
      </c>
      <c r="Y308" s="160">
        <f t="shared" si="187"/>
        <v>-8.9937959149118188E-3</v>
      </c>
      <c r="Z308" s="98" t="str">
        <f t="shared" si="177"/>
        <v>0.974761706220792-0.211430536979132i</v>
      </c>
      <c r="AA308" s="160">
        <f t="shared" si="188"/>
        <v>0.997428321174887</v>
      </c>
      <c r="AB308" s="160">
        <f t="shared" si="189"/>
        <v>-0.21359612965120439</v>
      </c>
      <c r="AC308" s="171" t="str">
        <f t="shared" si="190"/>
        <v>8.50177915574794+1.14189035392117i</v>
      </c>
      <c r="AD308" s="190">
        <f t="shared" si="191"/>
        <v>18.667843506790554</v>
      </c>
      <c r="AE308" s="169">
        <f t="shared" si="192"/>
        <v>7.6497262840702911</v>
      </c>
      <c r="AF308" s="98" t="str">
        <f t="shared" si="178"/>
        <v>-0.0000114342530449913</v>
      </c>
      <c r="AG308" s="98" t="str">
        <f t="shared" si="179"/>
        <v>0.00599158924794375i</v>
      </c>
      <c r="AH308" s="98">
        <f t="shared" si="193"/>
        <v>5.99158924794375E-3</v>
      </c>
      <c r="AI308" s="98">
        <f t="shared" si="194"/>
        <v>1.5707963267948966</v>
      </c>
      <c r="AJ308" s="98" t="str">
        <f t="shared" si="180"/>
        <v>1+0.0548771609447455i</v>
      </c>
      <c r="AK308" s="98">
        <f t="shared" si="195"/>
        <v>1.0015046194568229</v>
      </c>
      <c r="AL308" s="98">
        <f t="shared" si="196"/>
        <v>5.4822172694471101E-2</v>
      </c>
      <c r="AM308" s="98" t="str">
        <f t="shared" si="181"/>
        <v>1+131.760063428334i</v>
      </c>
      <c r="AN308" s="98">
        <f t="shared" si="197"/>
        <v>131.76385815024773</v>
      </c>
      <c r="AO308" s="98">
        <f t="shared" si="198"/>
        <v>1.5632069193962836</v>
      </c>
      <c r="AP308" s="168" t="str">
        <f t="shared" si="199"/>
        <v>-0.250589419226066+0.0156600198881906i</v>
      </c>
      <c r="AQ308" s="98">
        <f t="shared" si="200"/>
        <v>-12.003817752619085</v>
      </c>
      <c r="AR308" s="169">
        <f t="shared" si="201"/>
        <v>176.42407986792358</v>
      </c>
      <c r="AS308" s="168" t="str">
        <f t="shared" si="202"/>
        <v>-2.14833792667969-0.153007609944936i</v>
      </c>
      <c r="AT308" s="190">
        <f t="shared" si="203"/>
        <v>6.6640257541714778</v>
      </c>
      <c r="AU308" s="169">
        <f t="shared" si="204"/>
        <v>-175.92619384800614</v>
      </c>
      <c r="AV308" s="225"/>
      <c r="AX308">
        <f t="shared" si="205"/>
        <v>0</v>
      </c>
      <c r="AY308">
        <f t="shared" si="206"/>
        <v>0</v>
      </c>
    </row>
    <row r="309" spans="14:51" x14ac:dyDescent="0.2">
      <c r="N309" s="170">
        <v>91</v>
      </c>
      <c r="O309" s="199">
        <f t="shared" si="207"/>
        <v>8128.3051616410066</v>
      </c>
      <c r="P309" s="189" t="str">
        <f t="shared" si="173"/>
        <v>1757.57575757576</v>
      </c>
      <c r="Q309" s="160" t="str">
        <f t="shared" si="174"/>
        <v>1+2945.13167618461i</v>
      </c>
      <c r="R309" s="160">
        <f t="shared" si="182"/>
        <v>2945.1318459563013</v>
      </c>
      <c r="S309" s="160">
        <f t="shared" si="183"/>
        <v>1.5704567834156797</v>
      </c>
      <c r="T309" s="160" t="str">
        <f t="shared" si="175"/>
        <v>1+14.3000613178906i</v>
      </c>
      <c r="U309" s="160">
        <f t="shared" si="184"/>
        <v>14.334983561045023</v>
      </c>
      <c r="V309" s="160">
        <f t="shared" si="185"/>
        <v>1.5009802129796928</v>
      </c>
      <c r="W309" s="98" t="str">
        <f t="shared" si="176"/>
        <v>1-0.00920353648807687i</v>
      </c>
      <c r="X309" s="160">
        <f t="shared" si="186"/>
        <v>1.0000423516451129</v>
      </c>
      <c r="Y309" s="160">
        <f t="shared" si="187"/>
        <v>-9.2032766391729626E-3</v>
      </c>
      <c r="Z309" s="98" t="str">
        <f t="shared" si="177"/>
        <v>0.973572262079696-0.216355386844903i</v>
      </c>
      <c r="AA309" s="160">
        <f t="shared" si="188"/>
        <v>0.99732271753318846</v>
      </c>
      <c r="AB309" s="160">
        <f t="shared" si="189"/>
        <v>-0.21867481409141226</v>
      </c>
      <c r="AC309" s="171" t="str">
        <f t="shared" si="190"/>
        <v>8.49414045249713+1.19696676912175i</v>
      </c>
      <c r="AD309" s="190">
        <f t="shared" si="191"/>
        <v>18.667783841757362</v>
      </c>
      <c r="AE309" s="169">
        <f t="shared" si="192"/>
        <v>8.021120763104479</v>
      </c>
      <c r="AF309" s="98" t="str">
        <f t="shared" si="178"/>
        <v>-0.0000114342530449913</v>
      </c>
      <c r="AG309" s="98" t="str">
        <f t="shared" si="179"/>
        <v>0.00613115129004557i</v>
      </c>
      <c r="AH309" s="98">
        <f t="shared" si="193"/>
        <v>6.1311512900455696E-3</v>
      </c>
      <c r="AI309" s="98">
        <f t="shared" si="194"/>
        <v>1.5707963267948966</v>
      </c>
      <c r="AJ309" s="98" t="str">
        <f t="shared" si="180"/>
        <v>1+0.0561554142310214i</v>
      </c>
      <c r="AK309" s="98">
        <f t="shared" si="195"/>
        <v>1.0015754742142289</v>
      </c>
      <c r="AL309" s="98">
        <f t="shared" si="196"/>
        <v>5.6096498263811592E-2</v>
      </c>
      <c r="AM309" s="98" t="str">
        <f t="shared" si="181"/>
        <v>1+134.829149568682i</v>
      </c>
      <c r="AN309" s="98">
        <f t="shared" si="197"/>
        <v>134.83285791458258</v>
      </c>
      <c r="AO309" s="98">
        <f t="shared" si="198"/>
        <v>1.5633796689910955</v>
      </c>
      <c r="AP309" s="168" t="str">
        <f t="shared" si="199"/>
        <v>-0.250553965433664+0.0159349055911398i</v>
      </c>
      <c r="AQ309" s="98">
        <f t="shared" si="200"/>
        <v>-12.004443501269806</v>
      </c>
      <c r="AR309" s="169">
        <f t="shared" si="201"/>
        <v>176.36096421377005</v>
      </c>
      <c r="AS309" s="168" t="str">
        <f t="shared" si="202"/>
        <v>-2.14731412578534-0.164551444307352i</v>
      </c>
      <c r="AT309" s="190">
        <f t="shared" si="203"/>
        <v>6.6633403404875615</v>
      </c>
      <c r="AU309" s="169">
        <f t="shared" si="204"/>
        <v>-175.61791502312545</v>
      </c>
      <c r="AV309" s="225"/>
      <c r="AX309">
        <f t="shared" si="205"/>
        <v>0</v>
      </c>
      <c r="AY309">
        <f t="shared" si="206"/>
        <v>0</v>
      </c>
    </row>
    <row r="310" spans="14:51" x14ac:dyDescent="0.2">
      <c r="N310" s="170">
        <v>92</v>
      </c>
      <c r="O310" s="199">
        <f t="shared" si="207"/>
        <v>8317.6377110267094</v>
      </c>
      <c r="P310" s="189" t="str">
        <f t="shared" si="173"/>
        <v>1757.57575757576</v>
      </c>
      <c r="Q310" s="160" t="str">
        <f t="shared" si="174"/>
        <v>1+3013.73260558378i</v>
      </c>
      <c r="R310" s="160">
        <f t="shared" si="182"/>
        <v>3013.7327714909961</v>
      </c>
      <c r="S310" s="160">
        <f t="shared" si="183"/>
        <v>1.570464512366023</v>
      </c>
      <c r="T310" s="160" t="str">
        <f t="shared" si="175"/>
        <v>1+14.6331525357825i</v>
      </c>
      <c r="U310" s="160">
        <f t="shared" si="184"/>
        <v>14.66728172278278</v>
      </c>
      <c r="V310" s="160">
        <f t="shared" si="185"/>
        <v>1.5025644367709738</v>
      </c>
      <c r="W310" s="98" t="str">
        <f t="shared" si="176"/>
        <v>1-0.00941791439244927i</v>
      </c>
      <c r="X310" s="160">
        <f t="shared" si="186"/>
        <v>1.0000443475723981</v>
      </c>
      <c r="Y310" s="160">
        <f t="shared" si="187"/>
        <v>-9.4176359599991467E-3</v>
      </c>
      <c r="Z310" s="98" t="str">
        <f t="shared" si="177"/>
        <v>0.972326761163242-0.221394951200581i</v>
      </c>
      <c r="AA310" s="160">
        <f t="shared" si="188"/>
        <v>0.99721364556012171</v>
      </c>
      <c r="AB310" s="160">
        <f t="shared" si="189"/>
        <v>-0.22387908377469234</v>
      </c>
      <c r="AC310" s="171" t="str">
        <f t="shared" si="190"/>
        <v>8.48611327990661+1.25271884339995i</v>
      </c>
      <c r="AD310" s="190">
        <f t="shared" si="191"/>
        <v>18.667799873394763</v>
      </c>
      <c r="AE310" s="169">
        <f t="shared" si="192"/>
        <v>8.3973480678315209</v>
      </c>
      <c r="AF310" s="98" t="str">
        <f t="shared" si="178"/>
        <v>-0.0000114342530449913</v>
      </c>
      <c r="AG310" s="98" t="str">
        <f t="shared" si="179"/>
        <v>0.00627396414971672i</v>
      </c>
      <c r="AH310" s="98">
        <f t="shared" si="193"/>
        <v>6.2739641497167199E-3</v>
      </c>
      <c r="AI310" s="98">
        <f t="shared" si="194"/>
        <v>1.5707963267948966</v>
      </c>
      <c r="AJ310" s="98" t="str">
        <f t="shared" si="180"/>
        <v>1+0.057463441861227i</v>
      </c>
      <c r="AK310" s="98">
        <f t="shared" si="195"/>
        <v>1.0016496628814582</v>
      </c>
      <c r="AL310" s="98">
        <f t="shared" si="196"/>
        <v>5.7400317878977369E-2</v>
      </c>
      <c r="AM310" s="98" t="str">
        <f t="shared" si="181"/>
        <v>1+137.969723908806i</v>
      </c>
      <c r="AN310" s="98">
        <f t="shared" si="197"/>
        <v>137.9733478446912</v>
      </c>
      <c r="AO310" s="98">
        <f t="shared" si="198"/>
        <v>1.5635484867527976</v>
      </c>
      <c r="AP310" s="168" t="str">
        <f t="shared" si="199"/>
        <v>-0.250516851506372+0.0162180531014253i</v>
      </c>
      <c r="AQ310" s="98">
        <f t="shared" si="200"/>
        <v>-12.005097610095754</v>
      </c>
      <c r="AR310" s="169">
        <f t="shared" si="201"/>
        <v>176.29593339782707</v>
      </c>
      <c r="AS310" s="168" t="str">
        <f t="shared" si="202"/>
        <v>-2.14623104113203-0.176198944673024i</v>
      </c>
      <c r="AT310" s="190">
        <f t="shared" si="203"/>
        <v>6.6627022632990016</v>
      </c>
      <c r="AU310" s="169">
        <f t="shared" si="204"/>
        <v>-175.3067185343414</v>
      </c>
      <c r="AV310" s="225"/>
      <c r="AX310">
        <f t="shared" si="205"/>
        <v>0</v>
      </c>
      <c r="AY310">
        <f t="shared" si="206"/>
        <v>0</v>
      </c>
    </row>
    <row r="311" spans="14:51" x14ac:dyDescent="0.2">
      <c r="N311" s="170">
        <v>93</v>
      </c>
      <c r="O311" s="199">
        <f t="shared" si="207"/>
        <v>8511.3803820237772</v>
      </c>
      <c r="P311" s="189" t="str">
        <f t="shared" si="173"/>
        <v>1757.57575757576</v>
      </c>
      <c r="Q311" s="160" t="str">
        <f t="shared" si="174"/>
        <v>1+3083.9314559019i</v>
      </c>
      <c r="R311" s="160">
        <f t="shared" si="182"/>
        <v>3083.9316180326064</v>
      </c>
      <c r="S311" s="160">
        <f t="shared" si="183"/>
        <v>1.5704720653840154</v>
      </c>
      <c r="T311" s="160" t="str">
        <f t="shared" si="175"/>
        <v>1+14.9740024448416i</v>
      </c>
      <c r="U311" s="160">
        <f t="shared" si="184"/>
        <v>15.0073565033327</v>
      </c>
      <c r="V311" s="160">
        <f t="shared" si="185"/>
        <v>1.5041129307562411</v>
      </c>
      <c r="W311" s="98" t="str">
        <f t="shared" si="176"/>
        <v>1-0.00963728579969341i</v>
      </c>
      <c r="X311" s="160">
        <f t="shared" si="186"/>
        <v>1.0000464375605689</v>
      </c>
      <c r="Y311" s="160">
        <f t="shared" si="187"/>
        <v>-9.6369874546961207E-3</v>
      </c>
      <c r="Z311" s="98" t="str">
        <f t="shared" si="177"/>
        <v>0.971022561597-0.226551902089894i</v>
      </c>
      <c r="AA311" s="160">
        <f t="shared" si="188"/>
        <v>0.99710108788976282</v>
      </c>
      <c r="AB311" s="160">
        <f t="shared" si="189"/>
        <v>-0.22921237155295598</v>
      </c>
      <c r="AC311" s="171" t="str">
        <f t="shared" si="190"/>
        <v>8.47767651891903+1.30917828473459i</v>
      </c>
      <c r="AD311" s="190">
        <f t="shared" si="191"/>
        <v>18.667889810597835</v>
      </c>
      <c r="AE311" s="169">
        <f t="shared" si="192"/>
        <v>8.7786444474823622</v>
      </c>
      <c r="AF311" s="98" t="str">
        <f t="shared" si="178"/>
        <v>-0.0000114342530449913</v>
      </c>
      <c r="AG311" s="98" t="str">
        <f t="shared" si="179"/>
        <v>0.00642010354822581i</v>
      </c>
      <c r="AH311" s="98">
        <f t="shared" si="193"/>
        <v>6.4201035482258102E-3</v>
      </c>
      <c r="AI311" s="98">
        <f t="shared" si="194"/>
        <v>1.5707963267948966</v>
      </c>
      <c r="AJ311" s="98" t="str">
        <f t="shared" si="180"/>
        <v>1+0.0588019373689262i</v>
      </c>
      <c r="AK311" s="98">
        <f t="shared" si="195"/>
        <v>1.0017273420638668</v>
      </c>
      <c r="AL311" s="98">
        <f t="shared" si="196"/>
        <v>5.8734305100971926E-2</v>
      </c>
      <c r="AM311" s="98" t="str">
        <f t="shared" si="181"/>
        <v>1+141.183451622792i</v>
      </c>
      <c r="AN311" s="98">
        <f t="shared" si="197"/>
        <v>141.18699306991866</v>
      </c>
      <c r="AO311" s="98">
        <f t="shared" si="198"/>
        <v>1.5637134621522901</v>
      </c>
      <c r="AP311" s="168" t="str">
        <f t="shared" si="199"/>
        <v>-0.250478000236422+0.016509599256155i</v>
      </c>
      <c r="AQ311" s="98">
        <f t="shared" si="200"/>
        <v>-12.00578145339332</v>
      </c>
      <c r="AR311" s="169">
        <f t="shared" si="201"/>
        <v>176.22895395419681</v>
      </c>
      <c r="AS311" s="168" t="str">
        <f t="shared" si="202"/>
        <v>-2.14508546994594-0.187957316762601i</v>
      </c>
      <c r="AT311" s="190">
        <f t="shared" si="203"/>
        <v>6.6621083572045192</v>
      </c>
      <c r="AU311" s="169">
        <f t="shared" si="204"/>
        <v>-174.99240159832081</v>
      </c>
      <c r="AV311" s="225"/>
      <c r="AX311">
        <f t="shared" si="205"/>
        <v>0</v>
      </c>
      <c r="AY311">
        <f t="shared" si="206"/>
        <v>0</v>
      </c>
    </row>
    <row r="312" spans="14:51" x14ac:dyDescent="0.2">
      <c r="N312" s="170">
        <v>94</v>
      </c>
      <c r="O312" s="199">
        <f t="shared" si="207"/>
        <v>8709.6358995608189</v>
      </c>
      <c r="P312" s="189" t="str">
        <f t="shared" si="173"/>
        <v>1757.57575757576</v>
      </c>
      <c r="Q312" s="160" t="str">
        <f t="shared" si="174"/>
        <v>1+3155.7654474986i</v>
      </c>
      <c r="R312" s="160">
        <f t="shared" si="182"/>
        <v>3155.7656059387618</v>
      </c>
      <c r="S312" s="160">
        <f t="shared" si="183"/>
        <v>1.5704794464743641</v>
      </c>
      <c r="T312" s="160" t="str">
        <f t="shared" si="175"/>
        <v>1+15.3227917682012i</v>
      </c>
      <c r="U312" s="160">
        <f t="shared" si="184"/>
        <v>15.355388226015467</v>
      </c>
      <c r="V312" s="160">
        <f t="shared" si="185"/>
        <v>1.5056264862465449</v>
      </c>
      <c r="W312" s="98" t="str">
        <f t="shared" si="176"/>
        <v>1-0.00986176702343308i</v>
      </c>
      <c r="X312" s="160">
        <f t="shared" si="186"/>
        <v>1.0000486260421662</v>
      </c>
      <c r="Y312" s="160">
        <f t="shared" si="187"/>
        <v>-9.8614473418483801E-3</v>
      </c>
      <c r="Z312" s="98" t="str">
        <f t="shared" si="177"/>
        <v>0.969656896998833-0.231828973796464i</v>
      </c>
      <c r="AA312" s="160">
        <f t="shared" si="188"/>
        <v>0.99698504050408243</v>
      </c>
      <c r="AB312" s="160">
        <f t="shared" si="189"/>
        <v>-0.23467822478881195</v>
      </c>
      <c r="AC312" s="171" t="str">
        <f t="shared" si="190"/>
        <v>8.46880779910295+1.36637723218046i</v>
      </c>
      <c r="AD312" s="190">
        <f t="shared" si="191"/>
        <v>18.668051835985352</v>
      </c>
      <c r="AE312" s="169">
        <f t="shared" si="192"/>
        <v>9.165251601459115</v>
      </c>
      <c r="AF312" s="98" t="str">
        <f t="shared" si="178"/>
        <v>-0.0000114342530449913</v>
      </c>
      <c r="AG312" s="98" t="str">
        <f t="shared" si="179"/>
        <v>0.00656964697061628i</v>
      </c>
      <c r="AH312" s="98">
        <f t="shared" si="193"/>
        <v>6.5696469706162802E-3</v>
      </c>
      <c r="AI312" s="98">
        <f t="shared" si="194"/>
        <v>1.5707963267948966</v>
      </c>
      <c r="AJ312" s="98" t="str">
        <f t="shared" si="180"/>
        <v>1+0.0601716104421539i</v>
      </c>
      <c r="AK312" s="98">
        <f t="shared" si="195"/>
        <v>1.0018086756977114</v>
      </c>
      <c r="AL312" s="98">
        <f t="shared" si="196"/>
        <v>6.0099148225860342E-2</v>
      </c>
      <c r="AM312" s="98" t="str">
        <f t="shared" si="181"/>
        <v>1+144.472036671612i</v>
      </c>
      <c r="AN312" s="98">
        <f t="shared" si="197"/>
        <v>144.47549750751369</v>
      </c>
      <c r="AO312" s="98">
        <f t="shared" si="198"/>
        <v>1.5638746826257717</v>
      </c>
      <c r="AP312" s="168" t="str">
        <f t="shared" si="199"/>
        <v>-0.250437330876151+0.0168096844057296i</v>
      </c>
      <c r="AQ312" s="98">
        <f t="shared" si="200"/>
        <v>-12.006496467266789</v>
      </c>
      <c r="AR312" s="169">
        <f t="shared" si="201"/>
        <v>176.15999145614484</v>
      </c>
      <c r="AS312" s="168" t="str">
        <f t="shared" si="202"/>
        <v>-2.1438739909626-0.199833880601515i</v>
      </c>
      <c r="AT312" s="190">
        <f t="shared" si="203"/>
        <v>6.661555368718556</v>
      </c>
      <c r="AU312" s="169">
        <f t="shared" si="204"/>
        <v>-174.67475694239604</v>
      </c>
      <c r="AV312" s="225"/>
      <c r="AX312">
        <f t="shared" si="205"/>
        <v>0</v>
      </c>
      <c r="AY312">
        <f t="shared" si="206"/>
        <v>0</v>
      </c>
    </row>
    <row r="313" spans="14:51" x14ac:dyDescent="0.2">
      <c r="N313" s="170">
        <v>95</v>
      </c>
      <c r="O313" s="199">
        <f t="shared" si="207"/>
        <v>8912.5093813374679</v>
      </c>
      <c r="P313" s="189" t="str">
        <f t="shared" si="173"/>
        <v>1757.57575757576</v>
      </c>
      <c r="Q313" s="160" t="str">
        <f t="shared" si="174"/>
        <v>1+3229.27266770705i</v>
      </c>
      <c r="R313" s="160">
        <f t="shared" si="182"/>
        <v>3229.2728225406731</v>
      </c>
      <c r="S313" s="160">
        <f t="shared" si="183"/>
        <v>1.5704866595506173</v>
      </c>
      <c r="T313" s="160" t="str">
        <f t="shared" si="175"/>
        <v>1+15.6797054385775i</v>
      </c>
      <c r="U313" s="160">
        <f t="shared" si="184"/>
        <v>15.711561432287906</v>
      </c>
      <c r="V313" s="160">
        <f t="shared" si="185"/>
        <v>1.5071058779947923</v>
      </c>
      <c r="W313" s="98" t="str">
        <f t="shared" si="176"/>
        <v>1-0.0100914770865845i</v>
      </c>
      <c r="X313" s="160">
        <f t="shared" si="186"/>
        <v>1.0000509176585906</v>
      </c>
      <c r="Y313" s="160">
        <f t="shared" si="187"/>
        <v>-1.0091134542536911E-2</v>
      </c>
      <c r="Z313" s="98" t="str">
        <f t="shared" si="177"/>
        <v>0.968226870611029-0.23722896429356i</v>
      </c>
      <c r="AA313" s="160">
        <f t="shared" si="188"/>
        <v>0.99686551473758056</v>
      </c>
      <c r="AB313" s="160">
        <f t="shared" si="189"/>
        <v>-0.24028031026363361</v>
      </c>
      <c r="AC313" s="171" t="str">
        <f t="shared" si="190"/>
        <v>8.45948341629346+1.42434826474295i</v>
      </c>
      <c r="AD313" s="190">
        <f t="shared" si="191"/>
        <v>18.668284084637332</v>
      </c>
      <c r="AE313" s="169">
        <f t="shared" si="192"/>
        <v>9.5574169730247558</v>
      </c>
      <c r="AF313" s="98" t="str">
        <f t="shared" si="178"/>
        <v>-0.0000114342530449913</v>
      </c>
      <c r="AG313" s="98" t="str">
        <f t="shared" si="179"/>
        <v>0.00672267370679012i</v>
      </c>
      <c r="AH313" s="98">
        <f t="shared" si="193"/>
        <v>6.7226737067901197E-3</v>
      </c>
      <c r="AI313" s="98">
        <f t="shared" si="194"/>
        <v>1.5707963267948966</v>
      </c>
      <c r="AJ313" s="98" t="str">
        <f t="shared" si="180"/>
        <v>1+0.0615731872997036i</v>
      </c>
      <c r="AK313" s="98">
        <f t="shared" si="195"/>
        <v>1.0018938353908784</v>
      </c>
      <c r="AL313" s="98">
        <f t="shared" si="196"/>
        <v>6.1495550560635388E-2</v>
      </c>
      <c r="AM313" s="98" t="str">
        <f t="shared" si="181"/>
        <v>1+147.837222706588i</v>
      </c>
      <c r="AN313" s="98">
        <f t="shared" si="197"/>
        <v>147.84060476606993</v>
      </c>
      <c r="AO313" s="98">
        <f t="shared" si="198"/>
        <v>1.5640322336209287</v>
      </c>
      <c r="AP313" s="168" t="str">
        <f t="shared" si="199"/>
        <v>-0.250394758980584+0.0171184524223545i</v>
      </c>
      <c r="AQ313" s="98">
        <f t="shared" si="200"/>
        <v>-12.007244152553607</v>
      </c>
      <c r="AR313" s="169">
        <f t="shared" si="201"/>
        <v>176.08901050294062</v>
      </c>
      <c r="AS313" s="168" t="str">
        <f t="shared" si="202"/>
        <v>-2.14259294912591-0.211836076075207i</v>
      </c>
      <c r="AT313" s="190">
        <f t="shared" si="203"/>
        <v>6.6610399320837086</v>
      </c>
      <c r="AU313" s="169">
        <f t="shared" si="204"/>
        <v>-174.35357252403463</v>
      </c>
      <c r="AV313" s="225"/>
      <c r="AX313">
        <f t="shared" si="205"/>
        <v>0</v>
      </c>
      <c r="AY313">
        <f t="shared" si="206"/>
        <v>0</v>
      </c>
    </row>
    <row r="314" spans="14:51" x14ac:dyDescent="0.2">
      <c r="N314" s="170">
        <v>96</v>
      </c>
      <c r="O314" s="199">
        <f t="shared" si="207"/>
        <v>9120.1083935591087</v>
      </c>
      <c r="P314" s="189" t="str">
        <f t="shared" si="173"/>
        <v>1757.57575757576</v>
      </c>
      <c r="Q314" s="160" t="str">
        <f t="shared" si="174"/>
        <v>1+3304.4920910284i</v>
      </c>
      <c r="R314" s="160">
        <f t="shared" si="182"/>
        <v>3304.4922423375797</v>
      </c>
      <c r="S314" s="160">
        <f t="shared" si="183"/>
        <v>1.5704937084372408</v>
      </c>
      <c r="T314" s="160" t="str">
        <f t="shared" si="175"/>
        <v>1+16.0449326963228i</v>
      </c>
      <c r="U314" s="160">
        <f t="shared" si="184"/>
        <v>16.076064979637536</v>
      </c>
      <c r="V314" s="160">
        <f t="shared" si="185"/>
        <v>1.5085518644770992</v>
      </c>
      <c r="W314" s="98" t="str">
        <f t="shared" si="176"/>
        <v>1-0.0103265377844637i</v>
      </c>
      <c r="X314" s="160">
        <f t="shared" si="186"/>
        <v>1.0000533172699413</v>
      </c>
      <c r="Y314" s="160">
        <f t="shared" si="187"/>
        <v>-1.0326170742960689E-2</v>
      </c>
      <c r="Z314" s="98" t="str">
        <f t="shared" si="177"/>
        <v>0.966729449155893-0.242754736727622i</v>
      </c>
      <c r="AA314" s="160">
        <f t="shared" si="188"/>
        <v>0.99674253951005487</v>
      </c>
      <c r="AB314" s="160">
        <f t="shared" si="189"/>
        <v>-0.24602241932935623</v>
      </c>
      <c r="AC314" s="171" t="str">
        <f t="shared" si="190"/>
        <v>8.4496782443692+1.4831244083774i</v>
      </c>
      <c r="AD314" s="190">
        <f t="shared" si="191"/>
        <v>18.668584620988032</v>
      </c>
      <c r="AE314" s="169">
        <f t="shared" si="192"/>
        <v>9.9553940568927448</v>
      </c>
      <c r="AF314" s="98" t="str">
        <f t="shared" si="178"/>
        <v>-0.0000114342530449913</v>
      </c>
      <c r="AG314" s="98" t="str">
        <f t="shared" si="179"/>
        <v>0.00687926489354841i</v>
      </c>
      <c r="AH314" s="98">
        <f t="shared" si="193"/>
        <v>6.8792648935484101E-3</v>
      </c>
      <c r="AI314" s="98">
        <f t="shared" si="194"/>
        <v>1.5707963267948966</v>
      </c>
      <c r="AJ314" s="98" t="str">
        <f t="shared" si="180"/>
        <v>1+0.063007411076177i</v>
      </c>
      <c r="AK314" s="98">
        <f t="shared" si="195"/>
        <v>1.0019830007792161</v>
      </c>
      <c r="AL314" s="98">
        <f t="shared" si="196"/>
        <v>6.2924230700796016E-2</v>
      </c>
      <c r="AM314" s="98" t="str">
        <f t="shared" si="181"/>
        <v>1+151.280793993901i</v>
      </c>
      <c r="AN314" s="98">
        <f t="shared" si="197"/>
        <v>151.28409907001171</v>
      </c>
      <c r="AO314" s="98">
        <f t="shared" si="198"/>
        <v>1.5641861986420802</v>
      </c>
      <c r="AP314" s="168" t="str">
        <f t="shared" si="199"/>
        <v>-0.250350196243499+0.017436050705865i</v>
      </c>
      <c r="AQ314" s="98">
        <f t="shared" si="200"/>
        <v>-12.008026077875137</v>
      </c>
      <c r="AR314" s="169">
        <f t="shared" si="201"/>
        <v>176.01597470653988</v>
      </c>
      <c r="AS314" s="168" t="str">
        <f t="shared" si="202"/>
        <v>-2.14123843905983-0.22397146837374i</v>
      </c>
      <c r="AT314" s="190">
        <f t="shared" si="203"/>
        <v>6.6605585431129031</v>
      </c>
      <c r="AU314" s="169">
        <f t="shared" si="204"/>
        <v>-174.02863123656738</v>
      </c>
      <c r="AV314" s="225"/>
      <c r="AX314">
        <f t="shared" si="205"/>
        <v>0</v>
      </c>
      <c r="AY314">
        <f t="shared" si="206"/>
        <v>0</v>
      </c>
    </row>
    <row r="315" spans="14:51" x14ac:dyDescent="0.2">
      <c r="N315" s="170">
        <v>97</v>
      </c>
      <c r="O315" s="199">
        <f t="shared" si="207"/>
        <v>9332.5430079699217</v>
      </c>
      <c r="P315" s="189" t="str">
        <f t="shared" si="173"/>
        <v>1757.57575757576</v>
      </c>
      <c r="Q315" s="160" t="str">
        <f t="shared" si="174"/>
        <v>1+3381.46359979654i</v>
      </c>
      <c r="R315" s="160">
        <f t="shared" si="182"/>
        <v>3381.463747661503</v>
      </c>
      <c r="S315" s="160">
        <f t="shared" si="183"/>
        <v>1.5705005968716443</v>
      </c>
      <c r="T315" s="160" t="str">
        <f t="shared" si="175"/>
        <v>1+16.4186671897635i</v>
      </c>
      <c r="U315" s="160">
        <f t="shared" si="184"/>
        <v>16.44909214176322</v>
      </c>
      <c r="V315" s="160">
        <f t="shared" si="185"/>
        <v>1.5099651881739575</v>
      </c>
      <c r="W315" s="98" t="str">
        <f t="shared" si="176"/>
        <v>1-0.0105670737493642i</v>
      </c>
      <c r="X315" s="160">
        <f t="shared" si="186"/>
        <v>1.0000558299653197</v>
      </c>
      <c r="Y315" s="160">
        <f t="shared" si="187"/>
        <v>-1.0566680458493722E-2</v>
      </c>
      <c r="Z315" s="98" t="str">
        <f t="shared" si="177"/>
        <v>0.965161456401757-0.248409220936335i</v>
      </c>
      <c r="AA315" s="160">
        <f t="shared" si="188"/>
        <v>0.99661616381120244</v>
      </c>
      <c r="AB315" s="160">
        <f t="shared" si="189"/>
        <v>-0.25190847331469912</v>
      </c>
      <c r="AC315" s="171" t="str">
        <f t="shared" si="190"/>
        <v>8.4393656407441+1.54273914077542i</v>
      </c>
      <c r="AD315" s="190">
        <f t="shared" si="191"/>
        <v>18.668951413660018</v>
      </c>
      <c r="AE315" s="169">
        <f t="shared" si="192"/>
        <v>10.359442721304152</v>
      </c>
      <c r="AF315" s="98" t="str">
        <f t="shared" si="178"/>
        <v>-0.0000114342530449913</v>
      </c>
      <c r="AG315" s="98" t="str">
        <f t="shared" si="179"/>
        <v>0.0070395035576111i</v>
      </c>
      <c r="AH315" s="98">
        <f t="shared" si="193"/>
        <v>7.0395035576111004E-3</v>
      </c>
      <c r="AI315" s="98">
        <f t="shared" si="194"/>
        <v>1.5707963267948966</v>
      </c>
      <c r="AJ315" s="98" t="str">
        <f t="shared" si="180"/>
        <v>1+0.0644750422160047i</v>
      </c>
      <c r="AK315" s="98">
        <f t="shared" si="195"/>
        <v>1.0020763598991624</v>
      </c>
      <c r="AL315" s="98">
        <f t="shared" si="196"/>
        <v>6.4385922809359009E-2</v>
      </c>
      <c r="AM315" s="98" t="str">
        <f t="shared" si="181"/>
        <v>1+154.804576360627i</v>
      </c>
      <c r="AN315" s="98">
        <f t="shared" si="197"/>
        <v>154.80780620560839</v>
      </c>
      <c r="AO315" s="98">
        <f t="shared" si="198"/>
        <v>1.5643366592943031</v>
      </c>
      <c r="AP315" s="168" t="str">
        <f t="shared" si="199"/>
        <v>-0.250303550326722+0.0177626301865568i</v>
      </c>
      <c r="AQ315" s="98">
        <f t="shared" si="200"/>
        <v>-12.008843882819196</v>
      </c>
      <c r="AR315" s="169">
        <f t="shared" si="201"/>
        <v>175.9408466781268</v>
      </c>
      <c r="AS315" s="168" t="str">
        <f t="shared" si="202"/>
        <v>-2.13980628721552-0.236247753278413i</v>
      </c>
      <c r="AT315" s="190">
        <f t="shared" si="203"/>
        <v>6.6601075308408229</v>
      </c>
      <c r="AU315" s="169">
        <f t="shared" si="204"/>
        <v>-173.69971060056903</v>
      </c>
      <c r="AV315" s="225"/>
      <c r="AX315">
        <f t="shared" si="205"/>
        <v>0</v>
      </c>
      <c r="AY315">
        <f t="shared" si="206"/>
        <v>0</v>
      </c>
    </row>
    <row r="316" spans="14:51" x14ac:dyDescent="0.2">
      <c r="N316" s="170">
        <v>98</v>
      </c>
      <c r="O316" s="199">
        <f t="shared" si="207"/>
        <v>9549.9258602143691</v>
      </c>
      <c r="P316" s="189" t="str">
        <f t="shared" si="173"/>
        <v>1757.57575757576</v>
      </c>
      <c r="Q316" s="160" t="str">
        <f t="shared" si="174"/>
        <v>1+3460.22800532425i</v>
      </c>
      <c r="R316" s="160">
        <f t="shared" si="182"/>
        <v>3460.2281498233956</v>
      </c>
      <c r="S316" s="160">
        <f t="shared" si="183"/>
        <v>1.570507328506165</v>
      </c>
      <c r="T316" s="160" t="str">
        <f t="shared" si="175"/>
        <v>1+16.8011070778749i</v>
      </c>
      <c r="U316" s="160">
        <f t="shared" si="184"/>
        <v>16.830840711093966</v>
      </c>
      <c r="V316" s="160">
        <f t="shared" si="185"/>
        <v>1.5113465758508196</v>
      </c>
      <c r="W316" s="98" t="str">
        <f t="shared" si="176"/>
        <v>1-0.0108132125166382i</v>
      </c>
      <c r="X316" s="160">
        <f t="shared" si="186"/>
        <v>1.0000584610736165</v>
      </c>
      <c r="Y316" s="160">
        <f t="shared" si="187"/>
        <v>-1.0812791099208416E-2</v>
      </c>
      <c r="Z316" s="98" t="str">
        <f t="shared" si="177"/>
        <v>0.963519566425764-0.254195415002073i</v>
      </c>
      <c r="AA316" s="160">
        <f t="shared" si="188"/>
        <v>0.99648645946313197</v>
      </c>
      <c r="AB316" s="160">
        <f t="shared" si="189"/>
        <v>-0.2579425291965412</v>
      </c>
      <c r="AC316" s="171" t="str">
        <f t="shared" si="190"/>
        <v>8.42851734512391+1.60322639355061i</v>
      </c>
      <c r="AD316" s="190">
        <f t="shared" si="191"/>
        <v>18.66938230800228</v>
      </c>
      <c r="AE316" s="169">
        <f t="shared" si="192"/>
        <v>10.769829545181853</v>
      </c>
      <c r="AF316" s="98" t="str">
        <f t="shared" si="178"/>
        <v>-0.0000114342530449913</v>
      </c>
      <c r="AG316" s="98" t="str">
        <f t="shared" si="179"/>
        <v>0.00720347465963887i</v>
      </c>
      <c r="AH316" s="98">
        <f t="shared" si="193"/>
        <v>7.2034746596388701E-3</v>
      </c>
      <c r="AI316" s="98">
        <f t="shared" si="194"/>
        <v>1.5707963267948966</v>
      </c>
      <c r="AJ316" s="98" t="str">
        <f t="shared" si="180"/>
        <v>1+0.0659768588766434i</v>
      </c>
      <c r="AK316" s="98">
        <f t="shared" si="195"/>
        <v>1.0021741095773871</v>
      </c>
      <c r="AL316" s="98">
        <f t="shared" si="196"/>
        <v>6.5881376896988059E-2</v>
      </c>
      <c r="AM316" s="98" t="str">
        <f t="shared" si="181"/>
        <v>1+158.410438162821i</v>
      </c>
      <c r="AN316" s="98">
        <f t="shared" si="197"/>
        <v>158.41359448903663</v>
      </c>
      <c r="AO316" s="98">
        <f t="shared" si="198"/>
        <v>1.5644836953265615</v>
      </c>
      <c r="AP316" s="168" t="str">
        <f t="shared" si="199"/>
        <v>-0.25025472468248+0.0180983453247035i</v>
      </c>
      <c r="AQ316" s="98">
        <f t="shared" si="200"/>
        <v>-12.009699281258071</v>
      </c>
      <c r="AR316" s="169">
        <f t="shared" si="201"/>
        <v>175.86358801453483</v>
      </c>
      <c r="AS316" s="168" t="str">
        <f t="shared" si="202"/>
        <v>-2.13829203258965-0.248672762234388i</v>
      </c>
      <c r="AT316" s="190">
        <f t="shared" si="203"/>
        <v>6.6596830267442142</v>
      </c>
      <c r="AU316" s="169">
        <f t="shared" si="204"/>
        <v>-173.36658244028328</v>
      </c>
      <c r="AV316" s="225"/>
      <c r="AX316">
        <f t="shared" si="205"/>
        <v>0</v>
      </c>
      <c r="AY316">
        <f t="shared" si="206"/>
        <v>0</v>
      </c>
    </row>
    <row r="317" spans="14:51" x14ac:dyDescent="0.2">
      <c r="N317" s="170">
        <v>99</v>
      </c>
      <c r="O317" s="199">
        <f t="shared" si="207"/>
        <v>9772.3722095581161</v>
      </c>
      <c r="P317" s="189" t="str">
        <f t="shared" si="173"/>
        <v>1757.57575757576</v>
      </c>
      <c r="Q317" s="160" t="str">
        <f t="shared" si="174"/>
        <v>1+3540.82706954192i</v>
      </c>
      <c r="R317" s="160">
        <f t="shared" si="182"/>
        <v>3540.8272107518633</v>
      </c>
      <c r="S317" s="160">
        <f t="shared" si="183"/>
        <v>1.5705139069100016</v>
      </c>
      <c r="T317" s="160" t="str">
        <f t="shared" si="175"/>
        <v>1+17.192455135348i</v>
      </c>
      <c r="U317" s="160">
        <f t="shared" si="184"/>
        <v>17.221513103701248</v>
      </c>
      <c r="V317" s="160">
        <f t="shared" si="185"/>
        <v>1.5126967388377384</v>
      </c>
      <c r="W317" s="98" t="str">
        <f t="shared" si="176"/>
        <v>1-0.0110650845923185i</v>
      </c>
      <c r="X317" s="160">
        <f t="shared" si="186"/>
        <v>1.0000612161748075</v>
      </c>
      <c r="Y317" s="160">
        <f t="shared" si="187"/>
        <v>-1.1064633036899762E-2</v>
      </c>
      <c r="Z317" s="98" t="str">
        <f t="shared" si="177"/>
        <v>0.961800296559142-0.260116386841519i</v>
      </c>
      <c r="AA317" s="160">
        <f t="shared" si="188"/>
        <v>0.99635352418945156</v>
      </c>
      <c r="AB317" s="160">
        <f t="shared" si="189"/>
        <v>-0.26412878554705932</v>
      </c>
      <c r="AC317" s="171" t="str">
        <f t="shared" si="190"/>
        <v>8.41710337105208+1.66462055138036i</v>
      </c>
      <c r="AD317" s="190">
        <f t="shared" si="191"/>
        <v>18.669874996073837</v>
      </c>
      <c r="AE317" s="169">
        <f t="shared" si="192"/>
        <v>11.186828170947944</v>
      </c>
      <c r="AF317" s="98" t="str">
        <f t="shared" si="178"/>
        <v>-0.0000114342530449913</v>
      </c>
      <c r="AG317" s="98" t="str">
        <f t="shared" si="179"/>
        <v>0.00737126513928045i</v>
      </c>
      <c r="AH317" s="98">
        <f t="shared" si="193"/>
        <v>7.3712651392804501E-3</v>
      </c>
      <c r="AI317" s="98">
        <f t="shared" si="194"/>
        <v>1.5707963267948966</v>
      </c>
      <c r="AJ317" s="98" t="str">
        <f t="shared" si="180"/>
        <v>1+0.0675136573411654i</v>
      </c>
      <c r="AK317" s="98">
        <f t="shared" si="195"/>
        <v>1.0022764558381985</v>
      </c>
      <c r="AL317" s="98">
        <f t="shared" si="196"/>
        <v>6.7411359102899596E-2</v>
      </c>
      <c r="AM317" s="98" t="str">
        <f t="shared" si="181"/>
        <v>1+162.100291276138i</v>
      </c>
      <c r="AN317" s="98">
        <f t="shared" si="197"/>
        <v>162.1033757569804</v>
      </c>
      <c r="AO317" s="98">
        <f t="shared" si="198"/>
        <v>1.564627384673861</v>
      </c>
      <c r="AP317" s="168" t="str">
        <f t="shared" si="199"/>
        <v>-0.250203618368506+0.0184433541064053i</v>
      </c>
      <c r="AQ317" s="98">
        <f t="shared" si="200"/>
        <v>-12.010594064810347</v>
      </c>
      <c r="AR317" s="169">
        <f t="shared" si="201"/>
        <v>175.78415928456724</v>
      </c>
      <c r="AS317" s="168" t="str">
        <f t="shared" si="202"/>
        <v>-2.13669090590089-0.261254467143412i</v>
      </c>
      <c r="AT317" s="190">
        <f t="shared" si="203"/>
        <v>6.6592809312634982</v>
      </c>
      <c r="AU317" s="169">
        <f t="shared" si="204"/>
        <v>-173.02901254448483</v>
      </c>
      <c r="AV317" s="225"/>
      <c r="AX317">
        <f t="shared" si="205"/>
        <v>0</v>
      </c>
      <c r="AY317">
        <f t="shared" si="206"/>
        <v>0</v>
      </c>
    </row>
    <row r="318" spans="14:51" x14ac:dyDescent="0.2">
      <c r="N318" s="170">
        <v>100</v>
      </c>
      <c r="O318" s="199">
        <f t="shared" si="207"/>
        <v>10000</v>
      </c>
      <c r="P318" s="189" t="str">
        <f t="shared" si="173"/>
        <v>1757.57575757576</v>
      </c>
      <c r="Q318" s="160" t="str">
        <f t="shared" si="174"/>
        <v>1+3623.30352714024i</v>
      </c>
      <c r="R318" s="160">
        <f t="shared" si="182"/>
        <v>3623.3036651358525</v>
      </c>
      <c r="S318" s="160">
        <f t="shared" si="183"/>
        <v>1.570520335571109</v>
      </c>
      <c r="T318" s="160" t="str">
        <f t="shared" si="175"/>
        <v>1+17.5929188601029i</v>
      </c>
      <c r="U318" s="160">
        <f t="shared" si="184"/>
        <v>17.621316466659476</v>
      </c>
      <c r="V318" s="160">
        <f t="shared" si="185"/>
        <v>1.5140163733077387</v>
      </c>
      <c r="W318" s="98" t="str">
        <f t="shared" si="176"/>
        <v>1-0.0113228235223132i</v>
      </c>
      <c r="X318" s="160">
        <f t="shared" si="186"/>
        <v>1.0000641011117823</v>
      </c>
      <c r="Y318" s="160">
        <f t="shared" si="187"/>
        <v>-1.132233967363962E-2</v>
      </c>
      <c r="Z318" s="98" t="str">
        <f t="shared" si="177"/>
        <v>0.96-0.266175275832316i</v>
      </c>
      <c r="AA318" s="160">
        <f t="shared" si="188"/>
        <v>0.99621748502242691</v>
      </c>
      <c r="AB318" s="160">
        <f t="shared" si="189"/>
        <v>-0.2704715887670599</v>
      </c>
      <c r="AC318" s="171" t="str">
        <f t="shared" si="190"/>
        <v>8.40509188974187+1.72695644759695i</v>
      </c>
      <c r="AD318" s="190">
        <f t="shared" si="191"/>
        <v>18.670426983788563</v>
      </c>
      <c r="AE318" s="169">
        <f t="shared" si="192"/>
        <v>11.610719673579847</v>
      </c>
      <c r="AF318" s="98" t="str">
        <f t="shared" si="178"/>
        <v>-0.0000114342530449913</v>
      </c>
      <c r="AG318" s="98" t="str">
        <f t="shared" si="179"/>
        <v>0.00754296396126909i</v>
      </c>
      <c r="AH318" s="98">
        <f t="shared" si="193"/>
        <v>7.5429639612690901E-3</v>
      </c>
      <c r="AI318" s="98">
        <f t="shared" si="194"/>
        <v>1.5707963267948966</v>
      </c>
      <c r="AJ318" s="98" t="str">
        <f t="shared" si="180"/>
        <v>1+0.0690862524404586i</v>
      </c>
      <c r="AK318" s="98">
        <f t="shared" si="195"/>
        <v>1.0023836143294975</v>
      </c>
      <c r="AL318" s="98">
        <f t="shared" si="196"/>
        <v>6.8976651976169853E-2</v>
      </c>
      <c r="AM318" s="98" t="str">
        <f t="shared" si="181"/>
        <v>1+165.876092109541i</v>
      </c>
      <c r="AN318" s="98">
        <f t="shared" si="197"/>
        <v>165.87910638031821</v>
      </c>
      <c r="AO318" s="98">
        <f t="shared" si="198"/>
        <v>1.5647678034984478</v>
      </c>
      <c r="AP318" s="168" t="str">
        <f t="shared" si="199"/>
        <v>-0.250150125855744+0.0187978180354055i</v>
      </c>
      <c r="AQ318" s="98">
        <f t="shared" si="200"/>
        <v>-12.011530106449799</v>
      </c>
      <c r="AR318" s="169">
        <f t="shared" si="201"/>
        <v>175.70252001523991</v>
      </c>
      <c r="AS318" s="168" t="str">
        <f t="shared" si="202"/>
        <v>-2.13499780710502-0.274000984799535i</v>
      </c>
      <c r="AT318" s="190">
        <f t="shared" si="203"/>
        <v>6.6588968773387691</v>
      </c>
      <c r="AU318" s="169">
        <f t="shared" si="204"/>
        <v>-172.68676031118025</v>
      </c>
      <c r="AV318" s="225"/>
      <c r="AX318">
        <f t="shared" si="205"/>
        <v>0</v>
      </c>
      <c r="AY318">
        <f t="shared" si="206"/>
        <v>0</v>
      </c>
    </row>
    <row r="319" spans="14:51" x14ac:dyDescent="0.2">
      <c r="N319" s="170">
        <v>1</v>
      </c>
      <c r="O319" s="199">
        <f>10^(4+(N319/100))</f>
        <v>10232.929922807549</v>
      </c>
      <c r="P319" s="189" t="str">
        <f t="shared" si="173"/>
        <v>1757.57575757576</v>
      </c>
      <c r="Q319" s="160" t="str">
        <f t="shared" si="174"/>
        <v>1+3707.70110822875i</v>
      </c>
      <c r="R319" s="160">
        <f t="shared" si="182"/>
        <v>3707.7012430831992</v>
      </c>
      <c r="S319" s="160">
        <f t="shared" si="183"/>
        <v>1.5705266178980459</v>
      </c>
      <c r="T319" s="160" t="str">
        <f t="shared" si="175"/>
        <v>1+18.0027105833072i</v>
      </c>
      <c r="U319" s="160">
        <f t="shared" si="184"/>
        <v>18.030462787913155</v>
      </c>
      <c r="V319" s="160">
        <f t="shared" si="185"/>
        <v>1.5153061605536196</v>
      </c>
      <c r="W319" s="98" t="str">
        <f t="shared" si="176"/>
        <v>1-0.0115865659632148i</v>
      </c>
      <c r="X319" s="160">
        <f t="shared" si="186"/>
        <v>1.0000671220027284</v>
      </c>
      <c r="Y319" s="160">
        <f t="shared" si="187"/>
        <v>-1.1586047511899589E-2</v>
      </c>
      <c r="Z319" s="98" t="str">
        <f t="shared" si="177"/>
        <v>0.958114858077964-0.272375294477606i</v>
      </c>
      <c r="AA319" s="160">
        <f t="shared" si="188"/>
        <v>0.99607850208280257</v>
      </c>
      <c r="AB319" s="160">
        <f t="shared" si="189"/>
        <v>-0.27697543961556015</v>
      </c>
      <c r="AC319" s="171" t="str">
        <f t="shared" si="190"/>
        <v>8.3924491056663+1.79026935565042i</v>
      </c>
      <c r="AD319" s="190">
        <f t="shared" si="191"/>
        <v>18.671035554911313</v>
      </c>
      <c r="AE319" s="169">
        <f t="shared" si="192"/>
        <v>12.041792946464495</v>
      </c>
      <c r="AF319" s="98" t="str">
        <f t="shared" si="178"/>
        <v>-0.0000114342530449913</v>
      </c>
      <c r="AG319" s="98" t="str">
        <f t="shared" si="179"/>
        <v>0.00771866216259295i</v>
      </c>
      <c r="AH319" s="98">
        <f t="shared" si="193"/>
        <v>7.7186621625929498E-3</v>
      </c>
      <c r="AI319" s="98">
        <f t="shared" si="194"/>
        <v>1.5707963267948966</v>
      </c>
      <c r="AJ319" s="98" t="str">
        <f t="shared" si="180"/>
        <v>1+0.0706954779852604i</v>
      </c>
      <c r="AK319" s="98">
        <f t="shared" si="195"/>
        <v>1.0024958107680872</v>
      </c>
      <c r="AL319" s="98">
        <f t="shared" si="196"/>
        <v>7.0578054757033215E-2</v>
      </c>
      <c r="AM319" s="98" t="str">
        <f t="shared" si="181"/>
        <v>1+169.73984264261i</v>
      </c>
      <c r="AN319" s="98">
        <f t="shared" si="197"/>
        <v>169.74278830141208</v>
      </c>
      <c r="AO319" s="98">
        <f t="shared" si="198"/>
        <v>1.564905026230079</v>
      </c>
      <c r="AP319" s="168" t="str">
        <f t="shared" si="199"/>
        <v>-0.250094136828354+0.0191619021204702i</v>
      </c>
      <c r="AQ319" s="98">
        <f t="shared" si="200"/>
        <v>-12.012509364269734</v>
      </c>
      <c r="AR319" s="169">
        <f t="shared" si="201"/>
        <v>175.61862867797169</v>
      </c>
      <c r="AS319" s="168" t="str">
        <f t="shared" si="202"/>
        <v>-2.13320728111976-0.28692058087784i</v>
      </c>
      <c r="AT319" s="190">
        <f t="shared" si="203"/>
        <v>6.6585261906415987</v>
      </c>
      <c r="AU319" s="169">
        <f t="shared" si="204"/>
        <v>-172.33957837556383</v>
      </c>
      <c r="AV319" s="225"/>
      <c r="AX319">
        <f t="shared" si="205"/>
        <v>0</v>
      </c>
      <c r="AY319">
        <f t="shared" si="206"/>
        <v>0</v>
      </c>
    </row>
    <row r="320" spans="14:51" x14ac:dyDescent="0.2">
      <c r="N320" s="170">
        <v>2</v>
      </c>
      <c r="O320" s="199">
        <f t="shared" ref="O320:O383" si="208">10^(4+(N320/100))</f>
        <v>10471.285480509003</v>
      </c>
      <c r="P320" s="189" t="str">
        <f t="shared" si="173"/>
        <v>1757.57575757576</v>
      </c>
      <c r="Q320" s="160" t="str">
        <f t="shared" si="174"/>
        <v>1+3794.06456152206i</v>
      </c>
      <c r="R320" s="160">
        <f t="shared" si="182"/>
        <v>3794.0646933068469</v>
      </c>
      <c r="S320" s="160">
        <f t="shared" si="183"/>
        <v>1.5705327572217835</v>
      </c>
      <c r="T320" s="160" t="str">
        <f t="shared" si="175"/>
        <v>1+18.4220475819568i</v>
      </c>
      <c r="U320" s="160">
        <f t="shared" si="184"/>
        <v>18.449169008708235</v>
      </c>
      <c r="V320" s="160">
        <f t="shared" si="185"/>
        <v>1.5165667672629164</v>
      </c>
      <c r="W320" s="98" t="str">
        <f t="shared" si="176"/>
        <v>1-0.0118564517547564i</v>
      </c>
      <c r="X320" s="160">
        <f t="shared" si="186"/>
        <v>1.0000702852540979</v>
      </c>
      <c r="Y320" s="160">
        <f t="shared" si="187"/>
        <v>-1.1855896226271968E-2</v>
      </c>
      <c r="Z320" s="98" t="str">
        <f t="shared" si="177"/>
        <v>0.956140872154272-0.278719730109341i</v>
      </c>
      <c r="AA320" s="160">
        <f t="shared" si="188"/>
        <v>0.99593677277031789</v>
      </c>
      <c r="AB320" s="160">
        <f t="shared" si="189"/>
        <v>-0.28364500004513665</v>
      </c>
      <c r="AC320" s="171" t="str">
        <f t="shared" si="190"/>
        <v>8.37913912335027+1.85459497578396i</v>
      </c>
      <c r="AD320" s="190">
        <f t="shared" si="191"/>
        <v>18.671697731564095</v>
      </c>
      <c r="AE320" s="169">
        <f t="shared" si="192"/>
        <v>12.480345104575498</v>
      </c>
      <c r="AF320" s="98" t="str">
        <f t="shared" si="178"/>
        <v>-0.0000114342530449913</v>
      </c>
      <c r="AG320" s="98" t="str">
        <f t="shared" si="179"/>
        <v>0.00789845290076397i</v>
      </c>
      <c r="AH320" s="98">
        <f t="shared" si="193"/>
        <v>7.8984529007639706E-3</v>
      </c>
      <c r="AI320" s="98">
        <f t="shared" si="194"/>
        <v>1.5707963267948966</v>
      </c>
      <c r="AJ320" s="98" t="str">
        <f t="shared" si="180"/>
        <v>1+0.0723421872082554i</v>
      </c>
      <c r="AK320" s="98">
        <f t="shared" si="195"/>
        <v>1.0026132814051858</v>
      </c>
      <c r="AL320" s="98">
        <f t="shared" si="196"/>
        <v>7.2216383657725688E-2</v>
      </c>
      <c r="AM320" s="98" t="str">
        <f t="shared" si="181"/>
        <v>1+173.693591487021i</v>
      </c>
      <c r="AN320" s="98">
        <f t="shared" si="197"/>
        <v>173.69647009556684</v>
      </c>
      <c r="AO320" s="98">
        <f t="shared" si="198"/>
        <v>1.5650391256053804</v>
      </c>
      <c r="AP320" s="168" t="str">
        <f t="shared" si="199"/>
        <v>-0.250035535975838+0.0195357748579138i</v>
      </c>
      <c r="AQ320" s="98">
        <f t="shared" si="200"/>
        <v>-12.013533885407279</v>
      </c>
      <c r="AR320" s="169">
        <f t="shared" si="201"/>
        <v>175.53244267474781</v>
      </c>
      <c r="AS320" s="168" t="str">
        <f t="shared" si="202"/>
        <v>-2.13131349162253-0.300021673371331i</v>
      </c>
      <c r="AT320" s="190">
        <f t="shared" si="203"/>
        <v>6.6581638461568087</v>
      </c>
      <c r="AU320" s="169">
        <f t="shared" si="204"/>
        <v>-171.98721222067667</v>
      </c>
      <c r="AV320" s="225"/>
      <c r="AX320">
        <f t="shared" si="205"/>
        <v>0</v>
      </c>
      <c r="AY320">
        <f t="shared" si="206"/>
        <v>0</v>
      </c>
    </row>
    <row r="321" spans="14:51" x14ac:dyDescent="0.2">
      <c r="N321" s="170">
        <v>3</v>
      </c>
      <c r="O321" s="199">
        <f t="shared" si="208"/>
        <v>10715.193052376071</v>
      </c>
      <c r="P321" s="189" t="str">
        <f t="shared" si="173"/>
        <v>1757.57575757576</v>
      </c>
      <c r="Q321" s="160" t="str">
        <f t="shared" si="174"/>
        <v>1+3882.43967806628i</v>
      </c>
      <c r="R321" s="160">
        <f t="shared" si="182"/>
        <v>3882.4398068512796</v>
      </c>
      <c r="S321" s="160">
        <f t="shared" si="183"/>
        <v>1.5705387567974707</v>
      </c>
      <c r="T321" s="160" t="str">
        <f t="shared" si="175"/>
        <v>1+18.851152194079i</v>
      </c>
      <c r="U321" s="160">
        <f t="shared" si="184"/>
        <v>18.877657138647514</v>
      </c>
      <c r="V321" s="160">
        <f t="shared" si="185"/>
        <v>1.5177988457907767</v>
      </c>
      <c r="W321" s="98" t="str">
        <f t="shared" si="176"/>
        <v>1-0.0121326239939571i</v>
      </c>
      <c r="X321" s="160">
        <f t="shared" si="186"/>
        <v>1.0000735975741879</v>
      </c>
      <c r="Y321" s="160">
        <f t="shared" si="187"/>
        <v>-1.2132028736827331E-2</v>
      </c>
      <c r="Z321" s="98" t="str">
        <f t="shared" si="177"/>
        <v>0.954073855140125-0.285211946631272i</v>
      </c>
      <c r="AA321" s="160">
        <f t="shared" si="188"/>
        <v>0.99579253640662502</v>
      </c>
      <c r="AB321" s="160">
        <f t="shared" si="189"/>
        <v>-0.29048510035181857</v>
      </c>
      <c r="AC321" s="171" t="str">
        <f t="shared" si="190"/>
        <v>8.36512380478537+1.91996941617265i</v>
      </c>
      <c r="AD321" s="190">
        <f t="shared" si="191"/>
        <v>18.672410230869723</v>
      </c>
      <c r="AE321" s="169">
        <f t="shared" si="192"/>
        <v>12.92668190546256</v>
      </c>
      <c r="AF321" s="98" t="str">
        <f t="shared" si="178"/>
        <v>-0.0000114342530449913</v>
      </c>
      <c r="AG321" s="98" t="str">
        <f t="shared" si="179"/>
        <v>0.00808243150321137i</v>
      </c>
      <c r="AH321" s="98">
        <f t="shared" si="193"/>
        <v>8.0824315032113694E-3</v>
      </c>
      <c r="AI321" s="98">
        <f t="shared" si="194"/>
        <v>1.5707963267948966</v>
      </c>
      <c r="AJ321" s="98" t="str">
        <f t="shared" si="180"/>
        <v>1+0.0740272532164701i</v>
      </c>
      <c r="AK321" s="98">
        <f t="shared" si="195"/>
        <v>1.0027362735130185</v>
      </c>
      <c r="AL321" s="98">
        <f t="shared" si="196"/>
        <v>7.3892472142385854E-2</v>
      </c>
      <c r="AM321" s="98" t="str">
        <f t="shared" si="181"/>
        <v>1+177.739434972745i</v>
      </c>
      <c r="AN321" s="98">
        <f t="shared" si="197"/>
        <v>177.74224805720965</v>
      </c>
      <c r="AO321" s="98">
        <f t="shared" si="198"/>
        <v>1.565170172706313</v>
      </c>
      <c r="AP321" s="168" t="str">
        <f t="shared" si="199"/>
        <v>-0.249974202777022+0.0199196082088133i</v>
      </c>
      <c r="AQ321" s="98">
        <f t="shared" si="200"/>
        <v>-12.014605810135194</v>
      </c>
      <c r="AR321" s="169">
        <f t="shared" si="201"/>
        <v>175.44391832428715</v>
      </c>
      <c r="AS321" s="168" t="str">
        <f t="shared" si="202"/>
        <v>-2.12931019277538-0.31331283535448i</v>
      </c>
      <c r="AT321" s="190">
        <f t="shared" si="203"/>
        <v>6.6578044207345499</v>
      </c>
      <c r="AU321" s="169">
        <f t="shared" si="204"/>
        <v>-171.6293997702503</v>
      </c>
      <c r="AV321" s="225"/>
      <c r="AX321">
        <f t="shared" si="205"/>
        <v>0</v>
      </c>
      <c r="AY321">
        <f t="shared" si="206"/>
        <v>0</v>
      </c>
    </row>
    <row r="322" spans="14:51" x14ac:dyDescent="0.2">
      <c r="N322" s="170">
        <v>4</v>
      </c>
      <c r="O322" s="199">
        <f t="shared" si="208"/>
        <v>10964.781961431856</v>
      </c>
      <c r="P322" s="189" t="str">
        <f t="shared" si="173"/>
        <v>1757.57575757576</v>
      </c>
      <c r="Q322" s="160" t="str">
        <f t="shared" si="174"/>
        <v>1+3972.87331551797i</v>
      </c>
      <c r="R322" s="160">
        <f t="shared" si="182"/>
        <v>3972.8734413714651</v>
      </c>
      <c r="S322" s="160">
        <f t="shared" si="183"/>
        <v>1.5705446198061599</v>
      </c>
      <c r="T322" s="160" t="str">
        <f t="shared" si="175"/>
        <v>1+19.290251936619i</v>
      </c>
      <c r="U322" s="160">
        <f t="shared" si="184"/>
        <v>19.316154373431399</v>
      </c>
      <c r="V322" s="160">
        <f t="shared" si="185"/>
        <v>1.5190030344305281</v>
      </c>
      <c r="W322" s="98" t="str">
        <f t="shared" si="176"/>
        <v>1-0.0124152291109936i</v>
      </c>
      <c r="X322" s="160">
        <f t="shared" si="186"/>
        <v>1.0000770659873561</v>
      </c>
      <c r="Y322" s="160">
        <f t="shared" si="187"/>
        <v>-1.2414591284142044E-2</v>
      </c>
      <c r="Z322" s="98" t="str">
        <f t="shared" si="177"/>
        <v>0.951909422615303-0.291855386302533i</v>
      </c>
      <c r="AA322" s="160">
        <f t="shared" si="188"/>
        <v>0.99564607937640182</v>
      </c>
      <c r="AB322" s="160">
        <f t="shared" si="189"/>
        <v>-0.29750074664728754</v>
      </c>
      <c r="AC322" s="171" t="str">
        <f t="shared" si="190"/>
        <v>8.3503626168657+1.98642916767341i</v>
      </c>
      <c r="AD322" s="190">
        <f t="shared" si="191"/>
        <v>18.673169417325155</v>
      </c>
      <c r="AE322" s="169">
        <f t="shared" si="192"/>
        <v>13.381118188482246</v>
      </c>
      <c r="AF322" s="98" t="str">
        <f t="shared" si="178"/>
        <v>-0.0000114342530449913</v>
      </c>
      <c r="AG322" s="98" t="str">
        <f t="shared" si="179"/>
        <v>0.0082706955178254i</v>
      </c>
      <c r="AH322" s="98">
        <f t="shared" si="193"/>
        <v>8.2706955178254004E-3</v>
      </c>
      <c r="AI322" s="98">
        <f t="shared" si="194"/>
        <v>1.5707963267948966</v>
      </c>
      <c r="AJ322" s="98" t="str">
        <f t="shared" si="180"/>
        <v>1+0.0757515694542068i</v>
      </c>
      <c r="AK322" s="98">
        <f t="shared" si="195"/>
        <v>1.0028650458934021</v>
      </c>
      <c r="AL322" s="98">
        <f t="shared" si="196"/>
        <v>7.5607171205487253E-2</v>
      </c>
      <c r="AM322" s="98" t="str">
        <f t="shared" si="181"/>
        <v>1+181.87951825955i</v>
      </c>
      <c r="AN322" s="98">
        <f t="shared" si="197"/>
        <v>181.88226731137365</v>
      </c>
      <c r="AO322" s="98">
        <f t="shared" si="198"/>
        <v>1.5652982369977695</v>
      </c>
      <c r="AP322" s="168" t="str">
        <f t="shared" si="199"/>
        <v>-0.249910011275677+0.0203135775704306i</v>
      </c>
      <c r="AQ322" s="98">
        <f t="shared" si="200"/>
        <v>-12.015727376127487</v>
      </c>
      <c r="AR322" s="169">
        <f t="shared" si="201"/>
        <v>175.35301084824323</v>
      </c>
      <c r="AS322" s="168" t="str">
        <f t="shared" si="202"/>
        <v>-2.1271906987226-0.32680279693267i</v>
      </c>
      <c r="AT322" s="190">
        <f t="shared" si="203"/>
        <v>6.6574420411976742</v>
      </c>
      <c r="AU322" s="169">
        <f t="shared" si="204"/>
        <v>-171.26587096327455</v>
      </c>
      <c r="AV322" s="225"/>
      <c r="AX322">
        <f t="shared" si="205"/>
        <v>0</v>
      </c>
      <c r="AY322">
        <f t="shared" si="206"/>
        <v>0</v>
      </c>
    </row>
    <row r="323" spans="14:51" x14ac:dyDescent="0.2">
      <c r="N323" s="170">
        <v>5</v>
      </c>
      <c r="O323" s="199">
        <f t="shared" si="208"/>
        <v>11220.184543019639</v>
      </c>
      <c r="P323" s="189" t="str">
        <f t="shared" si="173"/>
        <v>1757.57575757576</v>
      </c>
      <c r="Q323" s="160" t="str">
        <f t="shared" si="174"/>
        <v>1+4065.41342298874i</v>
      </c>
      <c r="R323" s="160">
        <f t="shared" si="182"/>
        <v>4065.4135459774593</v>
      </c>
      <c r="S323" s="160">
        <f t="shared" si="183"/>
        <v>1.5705503493564947</v>
      </c>
      <c r="T323" s="160" t="str">
        <f t="shared" si="175"/>
        <v>1+19.7395796260725i</v>
      </c>
      <c r="U323" s="160">
        <f t="shared" si="184"/>
        <v>19.764893215346664</v>
      </c>
      <c r="V323" s="160">
        <f t="shared" si="185"/>
        <v>1.5201799576817374</v>
      </c>
      <c r="W323" s="98" t="str">
        <f t="shared" si="176"/>
        <v>1-0.0127044169468398i</v>
      </c>
      <c r="X323" s="160">
        <f t="shared" si="186"/>
        <v>1.0000806978489083</v>
      </c>
      <c r="Y323" s="160">
        <f t="shared" si="187"/>
        <v>-1.2703733506033406E-2</v>
      </c>
      <c r="Z323" s="98" t="str">
        <f t="shared" si="177"/>
        <v>0.949642983528233-0.298653571562774i</v>
      </c>
      <c r="AA323" s="160">
        <f t="shared" si="188"/>
        <v>0.99549774081692666</v>
      </c>
      <c r="AB323" s="160">
        <f t="shared" si="189"/>
        <v>-0.30469712865984799</v>
      </c>
      <c r="AC323" s="171" t="str">
        <f t="shared" si="190"/>
        <v>8.33481246822331+2.05401107121852i</v>
      </c>
      <c r="AD323" s="190">
        <f t="shared" si="191"/>
        <v>18.673971250457832</v>
      </c>
      <c r="AE323" s="169">
        <f t="shared" si="192"/>
        <v>13.843978332624825</v>
      </c>
      <c r="AF323" s="98" t="str">
        <f t="shared" si="178"/>
        <v>-0.0000114342530449913</v>
      </c>
      <c r="AG323" s="98" t="str">
        <f t="shared" si="179"/>
        <v>0.00846334476467857i</v>
      </c>
      <c r="AH323" s="98">
        <f t="shared" si="193"/>
        <v>8.4633447646785698E-3</v>
      </c>
      <c r="AI323" s="98">
        <f t="shared" si="194"/>
        <v>1.5707963267948966</v>
      </c>
      <c r="AJ323" s="98" t="str">
        <f t="shared" si="180"/>
        <v>1+0.0775160501767586i</v>
      </c>
      <c r="AK323" s="98">
        <f t="shared" si="195"/>
        <v>1.0029998694092666</v>
      </c>
      <c r="AL323" s="98">
        <f t="shared" si="196"/>
        <v>7.7361349648224331E-2</v>
      </c>
      <c r="AM323" s="98" t="str">
        <f t="shared" si="181"/>
        <v>1+186.116036474397i</v>
      </c>
      <c r="AN323" s="98">
        <f t="shared" si="197"/>
        <v>186.11872295107517</v>
      </c>
      <c r="AO323" s="98">
        <f t="shared" si="198"/>
        <v>1.5654233863643205</v>
      </c>
      <c r="AP323" s="168" t="str">
        <f t="shared" si="199"/>
        <v>-0.249842829847571+0.02071786174133i</v>
      </c>
      <c r="AQ323" s="98">
        <f t="shared" si="200"/>
        <v>-12.01690092290497</v>
      </c>
      <c r="AR323" s="169">
        <f t="shared" si="201"/>
        <v>175.25967435747367</v>
      </c>
      <c r="AS323" s="168" t="str">
        <f t="shared" si="202"/>
        <v>-2.1249478506984-0.340500446214912i</v>
      </c>
      <c r="AT323" s="190">
        <f t="shared" si="203"/>
        <v>6.6570703275528764</v>
      </c>
      <c r="AU323" s="169">
        <f t="shared" si="204"/>
        <v>-170.8963473099015</v>
      </c>
      <c r="AV323" s="225"/>
      <c r="AX323">
        <f t="shared" si="205"/>
        <v>0</v>
      </c>
      <c r="AY323">
        <f t="shared" si="206"/>
        <v>0</v>
      </c>
    </row>
    <row r="324" spans="14:51" x14ac:dyDescent="0.2">
      <c r="N324" s="170">
        <v>6</v>
      </c>
      <c r="O324" s="199">
        <f t="shared" si="208"/>
        <v>11481.536214968832</v>
      </c>
      <c r="P324" s="189" t="str">
        <f t="shared" si="173"/>
        <v>1757.57575757576</v>
      </c>
      <c r="Q324" s="160" t="str">
        <f t="shared" si="174"/>
        <v>1+4160.1090664685i</v>
      </c>
      <c r="R324" s="160">
        <f t="shared" si="182"/>
        <v>4160.1091866576553</v>
      </c>
      <c r="S324" s="160">
        <f t="shared" si="183"/>
        <v>1.5705559484863567</v>
      </c>
      <c r="T324" s="160" t="str">
        <f t="shared" si="175"/>
        <v>1+20.1993735019279i</v>
      </c>
      <c r="U324" s="160">
        <f t="shared" si="184"/>
        <v>20.224111596566786</v>
      </c>
      <c r="V324" s="160">
        <f t="shared" si="185"/>
        <v>1.5213302265155821</v>
      </c>
      <c r="W324" s="98" t="str">
        <f t="shared" si="176"/>
        <v>1-0.013000340832714i</v>
      </c>
      <c r="X324" s="160">
        <f t="shared" si="186"/>
        <v>1.0000845008606856</v>
      </c>
      <c r="Y324" s="160">
        <f t="shared" si="187"/>
        <v>-1.2999608516037797E-2</v>
      </c>
      <c r="Z324" s="98" t="str">
        <f t="shared" si="177"/>
        <v>0.947269730457744-0.305610106899806i</v>
      </c>
      <c r="AA324" s="160">
        <f t="shared" si="188"/>
        <v>0.99534791891117036</v>
      </c>
      <c r="AB324" s="160">
        <f t="shared" si="189"/>
        <v>-0.31207962786898014</v>
      </c>
      <c r="AC324" s="171" t="str">
        <f t="shared" si="190"/>
        <v>8.31842753482723+2.12275227675679i</v>
      </c>
      <c r="AD324" s="190">
        <f t="shared" si="191"/>
        <v>18.674811227277427</v>
      </c>
      <c r="AE324" s="169">
        <f t="shared" si="192"/>
        <v>14.315596733204808</v>
      </c>
      <c r="AF324" s="98" t="str">
        <f t="shared" si="178"/>
        <v>-0.0000114342530449913</v>
      </c>
      <c r="AG324" s="98" t="str">
        <f t="shared" si="179"/>
        <v>0.00866048138895159i</v>
      </c>
      <c r="AH324" s="98">
        <f t="shared" si="193"/>
        <v>8.6604813889515908E-3</v>
      </c>
      <c r="AI324" s="98">
        <f t="shared" si="194"/>
        <v>1.5707963267948966</v>
      </c>
      <c r="AJ324" s="98" t="str">
        <f t="shared" si="180"/>
        <v>1+0.0793216309351604i</v>
      </c>
      <c r="AK324" s="98">
        <f t="shared" si="195"/>
        <v>1.0031410275401031</v>
      </c>
      <c r="AL324" s="98">
        <f t="shared" si="196"/>
        <v>7.9155894352233816E-2</v>
      </c>
      <c r="AM324" s="98" t="str">
        <f t="shared" si="181"/>
        <v>1+190.45123587532i</v>
      </c>
      <c r="AN324" s="98">
        <f t="shared" si="197"/>
        <v>190.4538612011759</v>
      </c>
      <c r="AO324" s="98">
        <f t="shared" si="198"/>
        <v>1.5655456871461266</v>
      </c>
      <c r="AP324" s="168" t="str">
        <f t="shared" si="199"/>
        <v>-0.249772520958684+0.0211326428796397i</v>
      </c>
      <c r="AQ324" s="98">
        <f t="shared" si="200"/>
        <v>-12.018128896469396</v>
      </c>
      <c r="AR324" s="169">
        <f t="shared" si="201"/>
        <v>175.16386183841499</v>
      </c>
      <c r="AS324" s="168" t="str">
        <f t="shared" si="202"/>
        <v>-2.12257398157257-0.354414829122664i</v>
      </c>
      <c r="AT324" s="190">
        <f t="shared" si="203"/>
        <v>6.6566823308080236</v>
      </c>
      <c r="AU324" s="169">
        <f t="shared" si="204"/>
        <v>-170.5205414283802</v>
      </c>
      <c r="AV324" s="225"/>
      <c r="AX324">
        <f t="shared" si="205"/>
        <v>0</v>
      </c>
      <c r="AY324">
        <f t="shared" si="206"/>
        <v>0</v>
      </c>
    </row>
    <row r="325" spans="14:51" x14ac:dyDescent="0.2">
      <c r="N325" s="170">
        <v>7</v>
      </c>
      <c r="O325" s="199">
        <f t="shared" si="208"/>
        <v>11748.975549395318</v>
      </c>
      <c r="P325" s="189" t="str">
        <f t="shared" si="173"/>
        <v>1757.57575757576</v>
      </c>
      <c r="Q325" s="160" t="str">
        <f t="shared" si="174"/>
        <v>1+4257.01045484085i</v>
      </c>
      <c r="R325" s="160">
        <f t="shared" si="182"/>
        <v>4257.0105722941662</v>
      </c>
      <c r="S325" s="160">
        <f t="shared" si="183"/>
        <v>1.5705614201644773</v>
      </c>
      <c r="T325" s="160" t="str">
        <f t="shared" si="175"/>
        <v>1+20.6698773529844i</v>
      </c>
      <c r="U325" s="160">
        <f t="shared" si="184"/>
        <v>20.694053005330236</v>
      </c>
      <c r="V325" s="160">
        <f t="shared" si="185"/>
        <v>1.5224544386373748</v>
      </c>
      <c r="W325" s="98" t="str">
        <f t="shared" si="176"/>
        <v>1-0.0133031576713776i</v>
      </c>
      <c r="X325" s="160">
        <f t="shared" si="186"/>
        <v>1.0000884830873864</v>
      </c>
      <c r="Y325" s="160">
        <f t="shared" si="187"/>
        <v>-1.3302372983671065E-2</v>
      </c>
      <c r="Z325" s="98" t="str">
        <f t="shared" si="177"/>
        <v>0.944784629415884-0.312728680760744i</v>
      </c>
      <c r="AA325" s="160">
        <f t="shared" si="188"/>
        <v>0.99519707784481792</v>
      </c>
      <c r="AB325" s="160">
        <f t="shared" si="189"/>
        <v>-0.31965382597619768</v>
      </c>
      <c r="AC325" s="171" t="str">
        <f t="shared" si="190"/>
        <v>8.30115907370095+2.1926901924998i</v>
      </c>
      <c r="AD325" s="190">
        <f t="shared" si="191"/>
        <v>18.675684318989966</v>
      </c>
      <c r="AE325" s="169">
        <f t="shared" si="192"/>
        <v>14.796318297555427</v>
      </c>
      <c r="AF325" s="98" t="str">
        <f t="shared" si="178"/>
        <v>-0.0000114342530449913</v>
      </c>
      <c r="AG325" s="98" t="str">
        <f t="shared" si="179"/>
        <v>0.00886220991509206i</v>
      </c>
      <c r="AH325" s="98">
        <f t="shared" si="193"/>
        <v>8.8622099150920605E-3</v>
      </c>
      <c r="AI325" s="98">
        <f t="shared" si="194"/>
        <v>1.5707963267948966</v>
      </c>
      <c r="AJ325" s="98" t="str">
        <f t="shared" si="180"/>
        <v>1+0.0811692690722301i</v>
      </c>
      <c r="AK325" s="98">
        <f t="shared" si="195"/>
        <v>1.0032888169623542</v>
      </c>
      <c r="AL325" s="98">
        <f t="shared" si="196"/>
        <v>8.0991710549975018E-2</v>
      </c>
      <c r="AM325" s="98" t="str">
        <f t="shared" si="181"/>
        <v>1+194.887415042424i</v>
      </c>
      <c r="AN325" s="98">
        <f t="shared" si="197"/>
        <v>194.88998060936339</v>
      </c>
      <c r="AO325" s="98">
        <f t="shared" si="198"/>
        <v>1.5656652041740382</v>
      </c>
      <c r="AP325" s="168" t="str">
        <f t="shared" si="199"/>
        <v>-0.249698940914425+0.0215581064538757i</v>
      </c>
      <c r="AQ325" s="98">
        <f t="shared" si="200"/>
        <v>-12.019413854131455</v>
      </c>
      <c r="AR325" s="169">
        <f t="shared" si="201"/>
        <v>175.06552513960193</v>
      </c>
      <c r="AS325" s="168" t="str">
        <f t="shared" si="202"/>
        <v>-2.12006087765558-0.368555147819245i</v>
      </c>
      <c r="AT325" s="190">
        <f t="shared" si="203"/>
        <v>6.656270464858526</v>
      </c>
      <c r="AU325" s="169">
        <f t="shared" si="204"/>
        <v>-170.13815656284265</v>
      </c>
      <c r="AV325" s="225"/>
      <c r="AX325">
        <f t="shared" si="205"/>
        <v>0</v>
      </c>
      <c r="AY325">
        <f t="shared" si="206"/>
        <v>0</v>
      </c>
    </row>
    <row r="326" spans="14:51" x14ac:dyDescent="0.2">
      <c r="N326" s="170">
        <v>8</v>
      </c>
      <c r="O326" s="199">
        <f t="shared" si="208"/>
        <v>12022.644346174151</v>
      </c>
      <c r="P326" s="189" t="str">
        <f t="shared" si="173"/>
        <v>1757.57575757576</v>
      </c>
      <c r="Q326" s="160" t="str">
        <f t="shared" si="174"/>
        <v>1+4356.16896650454i</v>
      </c>
      <c r="R326" s="160">
        <f t="shared" si="182"/>
        <v>4356.1690812842908</v>
      </c>
      <c r="S326" s="160">
        <f t="shared" si="183"/>
        <v>1.5705667672920116</v>
      </c>
      <c r="T326" s="160" t="str">
        <f t="shared" si="175"/>
        <v>1+21.1513406466116i</v>
      </c>
      <c r="U326" s="160">
        <f t="shared" si="184"/>
        <v>21.174966615062328</v>
      </c>
      <c r="V326" s="160">
        <f t="shared" si="185"/>
        <v>1.523553178746095</v>
      </c>
      <c r="W326" s="98" t="str">
        <f t="shared" si="176"/>
        <v>1-0.0136130280203267i</v>
      </c>
      <c r="X326" s="160">
        <f t="shared" si="186"/>
        <v>1.0000926529736542</v>
      </c>
      <c r="Y326" s="160">
        <f t="shared" si="187"/>
        <v>-1.3612187216507591E-2</v>
      </c>
      <c r="Z326" s="98" t="str">
        <f t="shared" si="177"/>
        <v>0.942182409170163-0.320013067507674i</v>
      </c>
      <c r="AA326" s="160">
        <f t="shared" si="188"/>
        <v>0.99504575549336605</v>
      </c>
      <c r="AB326" s="160">
        <f t="shared" si="189"/>
        <v>-0.32742551371239748</v>
      </c>
      <c r="AC326" s="171" t="str">
        <f t="shared" si="190"/>
        <v>8.28295522411091+2.26386242306919i</v>
      </c>
      <c r="AD326" s="190">
        <f t="shared" si="191"/>
        <v>18.676584901392083</v>
      </c>
      <c r="AE326" s="169">
        <f t="shared" si="192"/>
        <v>15.286498959729782</v>
      </c>
      <c r="AF326" s="98" t="str">
        <f t="shared" si="178"/>
        <v>-0.0000114342530449913</v>
      </c>
      <c r="AG326" s="98" t="str">
        <f t="shared" si="179"/>
        <v>0.00906863730223473i</v>
      </c>
      <c r="AH326" s="98">
        <f t="shared" si="193"/>
        <v>9.0686373022347295E-3</v>
      </c>
      <c r="AI326" s="98">
        <f t="shared" si="194"/>
        <v>1.5707963267948966</v>
      </c>
      <c r="AJ326" s="98" t="str">
        <f t="shared" si="180"/>
        <v>1+0.0830599442301639i</v>
      </c>
      <c r="AK326" s="98">
        <f t="shared" si="195"/>
        <v>1.0034435481558084</v>
      </c>
      <c r="AL326" s="98">
        <f t="shared" si="196"/>
        <v>8.2869722091042153E-2</v>
      </c>
      <c r="AM326" s="98" t="str">
        <f t="shared" si="181"/>
        <v>1+199.426926096623i</v>
      </c>
      <c r="AN326" s="98">
        <f t="shared" si="197"/>
        <v>199.42943326487176</v>
      </c>
      <c r="AO326" s="98">
        <f t="shared" si="198"/>
        <v>1.5657820008038998</v>
      </c>
      <c r="AP326" s="168" t="str">
        <f t="shared" si="199"/>
        <v>-0.249621939599608+0.0219944411857093i</v>
      </c>
      <c r="AQ326" s="98">
        <f t="shared" si="200"/>
        <v>-12.020758469541157</v>
      </c>
      <c r="AR326" s="169">
        <f t="shared" si="201"/>
        <v>174.96461495837437</v>
      </c>
      <c r="AS326" s="168" t="str">
        <f t="shared" si="202"/>
        <v>-2.117399737576-0.382930757512629i</v>
      </c>
      <c r="AT326" s="190">
        <f t="shared" si="203"/>
        <v>6.6558264318509082</v>
      </c>
      <c r="AU326" s="169">
        <f t="shared" si="204"/>
        <v>-169.74888608189582</v>
      </c>
      <c r="AV326" s="225"/>
      <c r="AX326">
        <f t="shared" si="205"/>
        <v>0</v>
      </c>
      <c r="AY326">
        <f t="shared" si="206"/>
        <v>0</v>
      </c>
    </row>
    <row r="327" spans="14:51" x14ac:dyDescent="0.2">
      <c r="N327" s="170">
        <v>9</v>
      </c>
      <c r="O327" s="199">
        <f t="shared" si="208"/>
        <v>12302.687708123816</v>
      </c>
      <c r="P327" s="189" t="str">
        <f t="shared" si="173"/>
        <v>1757.57575757576</v>
      </c>
      <c r="Q327" s="160" t="str">
        <f t="shared" si="174"/>
        <v>1+4457.63717661499i</v>
      </c>
      <c r="R327" s="160">
        <f t="shared" si="182"/>
        <v>4457.6372887820353</v>
      </c>
      <c r="S327" s="160">
        <f t="shared" si="183"/>
        <v>1.5705719927040758</v>
      </c>
      <c r="T327" s="160" t="str">
        <f t="shared" si="175"/>
        <v>1+21.6440186610207i</v>
      </c>
      <c r="U327" s="160">
        <f t="shared" si="184"/>
        <v>21.667107416510685</v>
      </c>
      <c r="V327" s="160">
        <f t="shared" si="185"/>
        <v>1.5246270187908049</v>
      </c>
      <c r="W327" s="98" t="str">
        <f t="shared" si="176"/>
        <v>1-0.0139301161769218i</v>
      </c>
      <c r="X327" s="160">
        <f t="shared" si="186"/>
        <v>1.0000970193619729</v>
      </c>
      <c r="Y327" s="160">
        <f t="shared" si="187"/>
        <v>-1.3929215244118012E-2</v>
      </c>
      <c r="Z327" s="98" t="str">
        <f t="shared" si="177"/>
        <v>0.939457550062551-0.32746712941887i</v>
      </c>
      <c r="AA327" s="160">
        <f t="shared" si="188"/>
        <v>0.99489457191170039</v>
      </c>
      <c r="AB327" s="160">
        <f t="shared" si="189"/>
        <v>-0.33540069997874666</v>
      </c>
      <c r="AC327" s="171" t="str">
        <f t="shared" si="190"/>
        <v>8.26376079558755+2.33630669495899i</v>
      </c>
      <c r="AD327" s="190">
        <f t="shared" si="191"/>
        <v>18.677506678311502</v>
      </c>
      <c r="AE327" s="169">
        <f t="shared" si="192"/>
        <v>15.786506214029396</v>
      </c>
      <c r="AF327" s="98" t="str">
        <f t="shared" si="178"/>
        <v>-0.0000114342530449913</v>
      </c>
      <c r="AG327" s="98" t="str">
        <f t="shared" si="179"/>
        <v>0.00927987300091262i</v>
      </c>
      <c r="AH327" s="98">
        <f t="shared" si="193"/>
        <v>9.2798730009126199E-3</v>
      </c>
      <c r="AI327" s="98">
        <f t="shared" si="194"/>
        <v>1.5707963267948966</v>
      </c>
      <c r="AJ327" s="98" t="str">
        <f t="shared" si="180"/>
        <v>1+0.0849946588699569i</v>
      </c>
      <c r="AK327" s="98">
        <f t="shared" si="195"/>
        <v>1.0036055460370974</v>
      </c>
      <c r="AL327" s="98">
        <f t="shared" si="196"/>
        <v>8.4790871703623941E-2</v>
      </c>
      <c r="AM327" s="98" t="str">
        <f t="shared" si="181"/>
        <v>1+204.072175946766i</v>
      </c>
      <c r="AN327" s="98">
        <f t="shared" si="197"/>
        <v>204.07462604559103</v>
      </c>
      <c r="AO327" s="98">
        <f t="shared" si="198"/>
        <v>1.5658961389500772</v>
      </c>
      <c r="AP327" s="168" t="str">
        <f t="shared" si="199"/>
        <v>-0.249541360209006+0.0224418389840155i</v>
      </c>
      <c r="AQ327" s="98">
        <f t="shared" si="200"/>
        <v>-12.022165537927552</v>
      </c>
      <c r="AR327" s="169">
        <f t="shared" si="201"/>
        <v>174.86108082781766</v>
      </c>
      <c r="AS327" s="168" t="str">
        <f t="shared" si="202"/>
        <v>-2.11458112803832-0.397551161348478i</v>
      </c>
      <c r="AT327" s="190">
        <f t="shared" si="203"/>
        <v>6.6553411403839471</v>
      </c>
      <c r="AU327" s="169">
        <f t="shared" si="204"/>
        <v>-169.35241295815294</v>
      </c>
      <c r="AV327" s="225"/>
      <c r="AX327">
        <f t="shared" si="205"/>
        <v>0</v>
      </c>
      <c r="AY327">
        <f t="shared" si="206"/>
        <v>0</v>
      </c>
    </row>
    <row r="328" spans="14:51" x14ac:dyDescent="0.2">
      <c r="N328" s="170">
        <v>10</v>
      </c>
      <c r="O328" s="199">
        <f t="shared" si="208"/>
        <v>12589.254117941671</v>
      </c>
      <c r="P328" s="189" t="str">
        <f t="shared" si="173"/>
        <v>1757.57575757576</v>
      </c>
      <c r="Q328" s="160" t="str">
        <f t="shared" si="174"/>
        <v>1+4561.46888496028i</v>
      </c>
      <c r="R328" s="160">
        <f t="shared" si="182"/>
        <v>4561.468994574092</v>
      </c>
      <c r="S328" s="160">
        <f t="shared" si="183"/>
        <v>1.5705770991712518</v>
      </c>
      <c r="T328" s="160" t="str">
        <f t="shared" si="175"/>
        <v>1+22.1481726206163i</v>
      </c>
      <c r="U328" s="160">
        <f t="shared" si="184"/>
        <v>22.170736352963505</v>
      </c>
      <c r="V328" s="160">
        <f t="shared" si="185"/>
        <v>1.5256765182238377</v>
      </c>
      <c r="W328" s="98" t="str">
        <f t="shared" si="176"/>
        <v>1-0.0142545902655008i</v>
      </c>
      <c r="X328" s="160">
        <f t="shared" si="186"/>
        <v>1.0001015915114011</v>
      </c>
      <c r="Y328" s="160">
        <f t="shared" si="187"/>
        <v>-1.4253624903905021E-2</v>
      </c>
      <c r="Z328" s="98" t="str">
        <f t="shared" si="177"/>
        <v>0.936604272301555-0.335094818736624i</v>
      </c>
      <c r="AA328" s="160">
        <f t="shared" si="188"/>
        <v>0.99474423870543549</v>
      </c>
      <c r="AB328" s="160">
        <f t="shared" si="189"/>
        <v>-0.34358562131435139</v>
      </c>
      <c r="AC328" s="171" t="str">
        <f t="shared" si="190"/>
        <v>8.2435170421601+2.41006076752409i</v>
      </c>
      <c r="AD328" s="190">
        <f t="shared" si="191"/>
        <v>18.678442597402434</v>
      </c>
      <c r="AE328" s="169">
        <f t="shared" si="192"/>
        <v>16.296719666963874</v>
      </c>
      <c r="AF328" s="98" t="str">
        <f t="shared" si="178"/>
        <v>-0.0000114342530449913</v>
      </c>
      <c r="AG328" s="98" t="str">
        <f t="shared" si="179"/>
        <v>0.00949602901108926i</v>
      </c>
      <c r="AH328" s="98">
        <f t="shared" si="193"/>
        <v>9.4960290110892593E-3</v>
      </c>
      <c r="AI328" s="98">
        <f t="shared" si="194"/>
        <v>1.5707963267948966</v>
      </c>
      <c r="AJ328" s="98" t="str">
        <f t="shared" si="180"/>
        <v>1+0.0869744388029201i</v>
      </c>
      <c r="AK328" s="98">
        <f t="shared" si="195"/>
        <v>1.0037751506214343</v>
      </c>
      <c r="AL328" s="98">
        <f t="shared" si="196"/>
        <v>8.6756121250258292E-2</v>
      </c>
      <c r="AM328" s="98" t="str">
        <f t="shared" si="181"/>
        <v>1+208.825627565811i</v>
      </c>
      <c r="AN328" s="98">
        <f t="shared" si="197"/>
        <v>208.82802189422475</v>
      </c>
      <c r="AO328" s="98">
        <f t="shared" si="198"/>
        <v>1.5660076791182236</v>
      </c>
      <c r="AP328" s="168" t="str">
        <f t="shared" si="199"/>
        <v>-0.249457038968284+0.0229004948695025i</v>
      </c>
      <c r="AQ328" s="98">
        <f t="shared" si="200"/>
        <v>-12.02363798155581</v>
      </c>
      <c r="AR328" s="169">
        <f t="shared" si="201"/>
        <v>174.75487110398649</v>
      </c>
      <c r="AS328" s="168" t="str">
        <f t="shared" si="202"/>
        <v>-2.11159493626372-0.412426003069546i</v>
      </c>
      <c r="AT328" s="190">
        <f t="shared" si="203"/>
        <v>6.6548046158466221</v>
      </c>
      <c r="AU328" s="169">
        <f t="shared" si="204"/>
        <v>-168.94840922904962</v>
      </c>
      <c r="AV328" s="225"/>
      <c r="AX328">
        <f t="shared" si="205"/>
        <v>0</v>
      </c>
      <c r="AY328">
        <f t="shared" si="206"/>
        <v>0</v>
      </c>
    </row>
    <row r="329" spans="14:51" x14ac:dyDescent="0.2">
      <c r="N329" s="170">
        <v>11</v>
      </c>
      <c r="O329" s="199">
        <f t="shared" si="208"/>
        <v>12882.49551693136</v>
      </c>
      <c r="P329" s="189" t="str">
        <f t="shared" si="173"/>
        <v>1757.57575757576</v>
      </c>
      <c r="Q329" s="160" t="str">
        <f t="shared" si="174"/>
        <v>1+4667.71914448657i</v>
      </c>
      <c r="R329" s="160">
        <f t="shared" si="182"/>
        <v>4667.7192516052673</v>
      </c>
      <c r="S329" s="160">
        <f t="shared" si="183"/>
        <v>1.5705820894010547</v>
      </c>
      <c r="T329" s="160" t="str">
        <f t="shared" si="175"/>
        <v>1+22.6640698345012i</v>
      </c>
      <c r="U329" s="160">
        <f t="shared" si="184"/>
        <v>22.68612045862287</v>
      </c>
      <c r="V329" s="160">
        <f t="shared" si="185"/>
        <v>1.5267022242506616</v>
      </c>
      <c r="W329" s="98" t="str">
        <f t="shared" si="176"/>
        <v>1-0.0145866223265205i</v>
      </c>
      <c r="X329" s="160">
        <f t="shared" si="186"/>
        <v>1.00010637911719</v>
      </c>
      <c r="Y329" s="160">
        <f t="shared" si="187"/>
        <v>-1.4585587928876445E-2</v>
      </c>
      <c r="Z329" s="98" t="str">
        <f t="shared" si="177"/>
        <v>0.933616523702497-0.342900179762778i</v>
      </c>
      <c r="AA329" s="160">
        <f t="shared" si="188"/>
        <v>0.99459556937062632</v>
      </c>
      <c r="AB329" s="160">
        <f t="shared" si="189"/>
        <v>-0.35198675167942517</v>
      </c>
      <c r="AC329" s="171" t="str">
        <f t="shared" si="190"/>
        <v>8.22216142222222+2.48516232748105i</v>
      </c>
      <c r="AD329" s="190">
        <f t="shared" si="191"/>
        <v>18.679384757544085</v>
      </c>
      <c r="AE329" s="169">
        <f t="shared" si="192"/>
        <v>16.817531606988176</v>
      </c>
      <c r="AF329" s="98" t="str">
        <f t="shared" si="178"/>
        <v>-0.0000114342530449913</v>
      </c>
      <c r="AG329" s="98" t="str">
        <f t="shared" si="179"/>
        <v>0.00971721994154239i</v>
      </c>
      <c r="AH329" s="98">
        <f t="shared" si="193"/>
        <v>9.7172199415423901E-3</v>
      </c>
      <c r="AI329" s="98">
        <f t="shared" si="194"/>
        <v>1.5707963267948966</v>
      </c>
      <c r="AJ329" s="98" t="str">
        <f t="shared" si="180"/>
        <v>1+0.0890003337345796i</v>
      </c>
      <c r="AK329" s="98">
        <f t="shared" si="195"/>
        <v>1.003952717713771</v>
      </c>
      <c r="AL329" s="98">
        <f t="shared" si="196"/>
        <v>8.8766451976971833E-2</v>
      </c>
      <c r="AM329" s="98" t="str">
        <f t="shared" si="181"/>
        <v>1+213.689801296725i</v>
      </c>
      <c r="AN329" s="98">
        <f t="shared" si="197"/>
        <v>213.69214112417382</v>
      </c>
      <c r="AO329" s="98">
        <f t="shared" si="198"/>
        <v>1.5661166804373052</v>
      </c>
      <c r="AP329" s="168" t="str">
        <f t="shared" si="199"/>
        <v>-0.249368804845151+0.0233706068891783i</v>
      </c>
      <c r="AQ329" s="98">
        <f t="shared" si="200"/>
        <v>-12.02517885540912</v>
      </c>
      <c r="AR329" s="169">
        <f t="shared" si="201"/>
        <v>174.64593295346506</v>
      </c>
      <c r="AS329" s="168" t="str">
        <f t="shared" si="202"/>
        <v>-2.10843031891482-0.427565057072021i</v>
      </c>
      <c r="AT329" s="190">
        <f t="shared" si="203"/>
        <v>6.6542059021349775</v>
      </c>
      <c r="AU329" s="169">
        <f t="shared" si="204"/>
        <v>-168.53653543954675</v>
      </c>
      <c r="AV329" s="225"/>
      <c r="AX329">
        <f t="shared" si="205"/>
        <v>0</v>
      </c>
      <c r="AY329">
        <f t="shared" si="206"/>
        <v>0</v>
      </c>
    </row>
    <row r="330" spans="14:51" x14ac:dyDescent="0.2">
      <c r="N330" s="170">
        <v>12</v>
      </c>
      <c r="O330" s="199">
        <f t="shared" si="208"/>
        <v>13182.567385564091</v>
      </c>
      <c r="P330" s="189" t="str">
        <f t="shared" si="173"/>
        <v>1757.57575757576</v>
      </c>
      <c r="Q330" s="160" t="str">
        <f t="shared" si="174"/>
        <v>1+4776.44429048782i</v>
      </c>
      <c r="R330" s="160">
        <f t="shared" si="182"/>
        <v>4776.4443951681969</v>
      </c>
      <c r="S330" s="160">
        <f t="shared" si="183"/>
        <v>1.5705869660393696</v>
      </c>
      <c r="T330" s="160" t="str">
        <f t="shared" si="175"/>
        <v>1+23.1919838382067i</v>
      </c>
      <c r="U330" s="160">
        <f t="shared" si="184"/>
        <v>23.213533000205736</v>
      </c>
      <c r="V330" s="160">
        <f t="shared" si="185"/>
        <v>1.5277046720763348</v>
      </c>
      <c r="W330" s="98" t="str">
        <f t="shared" si="176"/>
        <v>1-0.0149263884077744i</v>
      </c>
      <c r="X330" s="160">
        <f t="shared" si="186"/>
        <v>1.0001113923313241</v>
      </c>
      <c r="Y330" s="160">
        <f t="shared" si="187"/>
        <v>-1.4925280037396843E-2</v>
      </c>
      <c r="Z330" s="98" t="str">
        <f t="shared" si="177"/>
        <v>0.930487966850025-0.350887351003061i</v>
      </c>
      <c r="AA330" s="160">
        <f t="shared" si="188"/>
        <v>0.99444949069655553</v>
      </c>
      <c r="AB330" s="160">
        <f t="shared" si="189"/>
        <v>-0.36061081253718053</v>
      </c>
      <c r="AC330" s="171" t="str">
        <f t="shared" si="190"/>
        <v>8.19962734350016+2.56164886465664i</v>
      </c>
      <c r="AD330" s="190">
        <f t="shared" si="191"/>
        <v>18.680324307025476</v>
      </c>
      <c r="AE330" s="169">
        <f t="shared" si="192"/>
        <v>17.34934759104889</v>
      </c>
      <c r="AF330" s="98" t="str">
        <f t="shared" si="178"/>
        <v>-0.0000114342530449913</v>
      </c>
      <c r="AG330" s="98" t="str">
        <f t="shared" si="179"/>
        <v>0.00994356307063113i</v>
      </c>
      <c r="AH330" s="98">
        <f t="shared" si="193"/>
        <v>9.9435630706311302E-3</v>
      </c>
      <c r="AI330" s="98">
        <f t="shared" si="194"/>
        <v>1.5707963267948966</v>
      </c>
      <c r="AJ330" s="98" t="str">
        <f t="shared" si="180"/>
        <v>1+0.0910734178212437i</v>
      </c>
      <c r="AK330" s="98">
        <f t="shared" si="195"/>
        <v>1.0041386196305981</v>
      </c>
      <c r="AL330" s="98">
        <f t="shared" si="196"/>
        <v>9.0822864754817739E-2</v>
      </c>
      <c r="AM330" s="98" t="str">
        <f t="shared" si="181"/>
        <v>1+218.667276188806i</v>
      </c>
      <c r="AN330" s="98">
        <f t="shared" si="197"/>
        <v>218.669562755843</v>
      </c>
      <c r="AO330" s="98">
        <f t="shared" si="198"/>
        <v>1.5662232006908972</v>
      </c>
      <c r="AP330" s="168" t="str">
        <f t="shared" si="199"/>
        <v>-0.249276479250581+0.0238523760198662i</v>
      </c>
      <c r="AQ330" s="98">
        <f t="shared" si="200"/>
        <v>-12.026791353103015</v>
      </c>
      <c r="AR330" s="169">
        <f t="shared" si="201"/>
        <v>174.53421234132117</v>
      </c>
      <c r="AS330" s="168" t="str">
        <f t="shared" si="202"/>
        <v>-2.10507564730517-0.442978215437913i</v>
      </c>
      <c r="AT330" s="190">
        <f t="shared" si="203"/>
        <v>6.6535329539224684</v>
      </c>
      <c r="AU330" s="169">
        <f t="shared" si="204"/>
        <v>-168.11644006762992</v>
      </c>
      <c r="AV330" s="225"/>
      <c r="AX330">
        <f t="shared" si="205"/>
        <v>0</v>
      </c>
      <c r="AY330">
        <f t="shared" si="206"/>
        <v>0</v>
      </c>
    </row>
    <row r="331" spans="14:51" x14ac:dyDescent="0.2">
      <c r="N331" s="170">
        <v>13</v>
      </c>
      <c r="O331" s="199">
        <f t="shared" si="208"/>
        <v>13489.628825916556</v>
      </c>
      <c r="P331" s="189" t="str">
        <f t="shared" si="173"/>
        <v>1757.57575757576</v>
      </c>
      <c r="Q331" s="160" t="str">
        <f t="shared" si="174"/>
        <v>1+4887.70197047561i</v>
      </c>
      <c r="R331" s="160">
        <f t="shared" si="182"/>
        <v>4887.7020727731724</v>
      </c>
      <c r="S331" s="160">
        <f t="shared" si="183"/>
        <v>1.5705917316718536</v>
      </c>
      <c r="T331" s="160" t="str">
        <f t="shared" si="175"/>
        <v>1+23.7321945387254i</v>
      </c>
      <c r="U331" s="160">
        <f t="shared" si="184"/>
        <v>23.753253621849527</v>
      </c>
      <c r="V331" s="160">
        <f t="shared" si="185"/>
        <v>1.5286843851484821</v>
      </c>
      <c r="W331" s="98" t="str">
        <f t="shared" si="176"/>
        <v>1-0.0152740686577362i</v>
      </c>
      <c r="X331" s="160">
        <f t="shared" si="186"/>
        <v>1.0001166417840277</v>
      </c>
      <c r="Y331" s="160">
        <f t="shared" si="187"/>
        <v>-1.5272881024960066E-2</v>
      </c>
      <c r="Z331" s="98" t="str">
        <f t="shared" si="177"/>
        <v>0.9272119656556-0.35906056736139i</v>
      </c>
      <c r="AA331" s="160">
        <f t="shared" si="188"/>
        <v>0.9943070553349227</v>
      </c>
      <c r="AB331" s="160">
        <f t="shared" si="189"/>
        <v>-0.36946478321124065</v>
      </c>
      <c r="AC331" s="171" t="str">
        <f t="shared" si="190"/>
        <v>8.17584389267408+2.63955752644322i</v>
      </c>
      <c r="AD331" s="190">
        <f t="shared" si="191"/>
        <v>18.68125133163117</v>
      </c>
      <c r="AE331" s="169">
        <f t="shared" si="192"/>
        <v>17.892587046602877</v>
      </c>
      <c r="AF331" s="98" t="str">
        <f t="shared" si="178"/>
        <v>-0.0000114342530449913</v>
      </c>
      <c r="AG331" s="98" t="str">
        <f t="shared" si="179"/>
        <v>0.0101751784084785i</v>
      </c>
      <c r="AH331" s="98">
        <f t="shared" si="193"/>
        <v>1.0175178408478499E-2</v>
      </c>
      <c r="AI331" s="98">
        <f t="shared" si="194"/>
        <v>1.5707963267948966</v>
      </c>
      <c r="AJ331" s="98" t="str">
        <f t="shared" si="180"/>
        <v>1+0.0931947902395358i</v>
      </c>
      <c r="AK331" s="98">
        <f t="shared" si="195"/>
        <v>1.004333245953648</v>
      </c>
      <c r="AL331" s="98">
        <f t="shared" si="196"/>
        <v>9.2926380312756948E-2</v>
      </c>
      <c r="AM331" s="98" t="str">
        <f t="shared" si="181"/>
        <v>1+223.760691365125i</v>
      </c>
      <c r="AN331" s="98">
        <f t="shared" si="197"/>
        <v>223.76292588406758</v>
      </c>
      <c r="AO331" s="98">
        <f t="shared" si="198"/>
        <v>1.5663272963477735</v>
      </c>
      <c r="AP331" s="168" t="str">
        <f t="shared" si="199"/>
        <v>-0.249179875729942+0.0243460060599299i</v>
      </c>
      <c r="AQ331" s="98">
        <f t="shared" si="200"/>
        <v>-12.02847881304114</v>
      </c>
      <c r="AR331" s="169">
        <f t="shared" si="201"/>
        <v>174.4196540195158</v>
      </c>
      <c r="AS331" s="168" t="str">
        <f t="shared" si="202"/>
        <v>-2.10151844869825-0.458675471465071i</v>
      </c>
      <c r="AT331" s="190">
        <f t="shared" si="203"/>
        <v>6.6527725185900213</v>
      </c>
      <c r="AU331" s="169">
        <f t="shared" si="204"/>
        <v>-167.6877589338813</v>
      </c>
      <c r="AV331" s="225"/>
      <c r="AX331">
        <f t="shared" si="205"/>
        <v>0</v>
      </c>
      <c r="AY331">
        <f t="shared" si="206"/>
        <v>0</v>
      </c>
    </row>
    <row r="332" spans="14:51" x14ac:dyDescent="0.2">
      <c r="N332" s="170">
        <v>14</v>
      </c>
      <c r="O332" s="199">
        <f t="shared" si="208"/>
        <v>13803.842646028841</v>
      </c>
      <c r="P332" s="189" t="str">
        <f t="shared" si="173"/>
        <v>1757.57575757576</v>
      </c>
      <c r="Q332" s="160" t="str">
        <f t="shared" si="174"/>
        <v>1+5001.55117474451i</v>
      </c>
      <c r="R332" s="160">
        <f t="shared" si="182"/>
        <v>5001.5512747134953</v>
      </c>
      <c r="S332" s="160">
        <f t="shared" si="183"/>
        <v>1.5705963888253074</v>
      </c>
      <c r="T332" s="160" t="str">
        <f t="shared" si="175"/>
        <v>1+24.2849883629213i</v>
      </c>
      <c r="U332" s="160">
        <f t="shared" si="184"/>
        <v>24.305568493397207</v>
      </c>
      <c r="V332" s="160">
        <f t="shared" si="185"/>
        <v>1.5296418753967327</v>
      </c>
      <c r="W332" s="98" t="str">
        <f t="shared" si="176"/>
        <v>1-0.0156298474210766i</v>
      </c>
      <c r="X332" s="160">
        <f t="shared" si="186"/>
        <v>1.0001221386062835</v>
      </c>
      <c r="Y332" s="160">
        <f t="shared" si="187"/>
        <v>-1.5628574858022871E-2</v>
      </c>
      <c r="Z332" s="98" t="str">
        <f t="shared" si="177"/>
        <v>0.92378157128147-0.367424162385261i</v>
      </c>
      <c r="AA332" s="160">
        <f t="shared" si="188"/>
        <v>0.99416945564816672</v>
      </c>
      <c r="AB332" s="160">
        <f t="shared" si="189"/>
        <v>-0.37855591148761947</v>
      </c>
      <c r="AC332" s="171" t="str">
        <f t="shared" si="190"/>
        <v>8.15073554930952+2.71892494811415i</v>
      </c>
      <c r="AD332" s="190">
        <f t="shared" si="191"/>
        <v>18.682154731668899</v>
      </c>
      <c r="AE332" s="169">
        <f t="shared" si="192"/>
        <v>18.447683887330349</v>
      </c>
      <c r="AF332" s="98" t="str">
        <f t="shared" si="178"/>
        <v>-0.0000114342530449913</v>
      </c>
      <c r="AG332" s="98" t="str">
        <f t="shared" si="179"/>
        <v>0.0104121887606025i</v>
      </c>
      <c r="AH332" s="98">
        <f t="shared" si="193"/>
        <v>1.04121887606025E-2</v>
      </c>
      <c r="AI332" s="98">
        <f t="shared" si="194"/>
        <v>1.5707963267948966</v>
      </c>
      <c r="AJ332" s="98" t="str">
        <f t="shared" si="180"/>
        <v>1+0.0953655757691916i</v>
      </c>
      <c r="AK332" s="98">
        <f t="shared" si="195"/>
        <v>1.0045370043168094</v>
      </c>
      <c r="AL332" s="98">
        <f t="shared" si="196"/>
        <v>9.5078039460742531E-2</v>
      </c>
      <c r="AM332" s="98" t="str">
        <f t="shared" si="181"/>
        <v>1+228.972747421829i</v>
      </c>
      <c r="AN332" s="98">
        <f t="shared" si="197"/>
        <v>228.97493107740135</v>
      </c>
      <c r="AO332" s="98">
        <f t="shared" si="198"/>
        <v>1.5664290225918001</v>
      </c>
      <c r="AP332" s="168" t="str">
        <f t="shared" si="199"/>
        <v>-0.249078799643951+0.0248517035083251i</v>
      </c>
      <c r="AQ332" s="98">
        <f t="shared" si="200"/>
        <v>-12.030244724819404</v>
      </c>
      <c r="AR332" s="169">
        <f t="shared" si="201"/>
        <v>174.30220151583399</v>
      </c>
      <c r="AS332" s="168" t="str">
        <f t="shared" si="202"/>
        <v>-2.09774534350922-0.474666899152059i</v>
      </c>
      <c r="AT332" s="190">
        <f t="shared" si="203"/>
        <v>6.6519100068495129</v>
      </c>
      <c r="AU332" s="169">
        <f t="shared" si="204"/>
        <v>-167.25011459683569</v>
      </c>
      <c r="AV332" s="225"/>
      <c r="AX332">
        <f t="shared" si="205"/>
        <v>0</v>
      </c>
      <c r="AY332">
        <f t="shared" si="206"/>
        <v>0</v>
      </c>
    </row>
    <row r="333" spans="14:51" x14ac:dyDescent="0.2">
      <c r="N333" s="170">
        <v>15</v>
      </c>
      <c r="O333" s="199">
        <f t="shared" si="208"/>
        <v>14125.375446227561</v>
      </c>
      <c r="P333" s="189" t="str">
        <f t="shared" si="173"/>
        <v>1757.57575757576</v>
      </c>
      <c r="Q333" s="160" t="str">
        <f t="shared" si="174"/>
        <v>1+5118.05226764964i</v>
      </c>
      <c r="R333" s="160">
        <f t="shared" si="182"/>
        <v>5118.0523653430537</v>
      </c>
      <c r="S333" s="160">
        <f t="shared" si="183"/>
        <v>1.5706009399690146</v>
      </c>
      <c r="T333" s="160" t="str">
        <f t="shared" si="175"/>
        <v>1+24.8506584093971i</v>
      </c>
      <c r="U333" s="160">
        <f t="shared" si="184"/>
        <v>24.870770462141675</v>
      </c>
      <c r="V333" s="160">
        <f t="shared" si="185"/>
        <v>1.5305776434685665</v>
      </c>
      <c r="W333" s="98" t="str">
        <f t="shared" si="176"/>
        <v>1-0.0159939133364051i</v>
      </c>
      <c r="X333" s="160">
        <f t="shared" si="186"/>
        <v>1.0001278944534107</v>
      </c>
      <c r="Y333" s="160">
        <f t="shared" si="187"/>
        <v>-1.5992549769943333E-2</v>
      </c>
      <c r="Z333" s="98" t="str">
        <f t="shared" si="177"/>
        <v>0.920189507401244-0.375982570563464i</v>
      </c>
      <c r="AA333" s="160">
        <f t="shared" si="188"/>
        <v>0.99403803895970411</v>
      </c>
      <c r="AB333" s="160">
        <f t="shared" si="189"/>
        <v>-0.38789172442137804</v>
      </c>
      <c r="AC333" s="171" t="str">
        <f t="shared" si="190"/>
        <v>8.12422188389829+2.79978705581741i</v>
      </c>
      <c r="AD333" s="190">
        <f t="shared" si="191"/>
        <v>18.683022086903321</v>
      </c>
      <c r="AE333" s="169">
        <f t="shared" si="192"/>
        <v>19.015087140249527</v>
      </c>
      <c r="AF333" s="98" t="str">
        <f t="shared" si="178"/>
        <v>-0.0000114342530449913</v>
      </c>
      <c r="AG333" s="98" t="str">
        <f t="shared" si="179"/>
        <v>0.010654719793029i</v>
      </c>
      <c r="AH333" s="98">
        <f t="shared" si="193"/>
        <v>1.0654719793029E-2</v>
      </c>
      <c r="AI333" s="98">
        <f t="shared" si="194"/>
        <v>1.5707963267948966</v>
      </c>
      <c r="AJ333" s="98" t="str">
        <f t="shared" si="180"/>
        <v>1+0.0975869253894333i</v>
      </c>
      <c r="AK333" s="98">
        <f t="shared" si="195"/>
        <v>1.0047503212275988</v>
      </c>
      <c r="AL333" s="98">
        <f t="shared" si="196"/>
        <v>9.727890330179155E-2</v>
      </c>
      <c r="AM333" s="98" t="str">
        <f t="shared" si="181"/>
        <v>1+234.306207860029i</v>
      </c>
      <c r="AN333" s="98">
        <f t="shared" si="197"/>
        <v>234.30834180999</v>
      </c>
      <c r="AO333" s="98">
        <f t="shared" si="198"/>
        <v>1.566528433351152</v>
      </c>
      <c r="AP333" s="168" t="str">
        <f t="shared" si="199"/>
        <v>-0.248973047839348+0.0253696774300383i</v>
      </c>
      <c r="AQ333" s="98">
        <f t="shared" si="200"/>
        <v>-12.032092735887518</v>
      </c>
      <c r="AR333" s="169">
        <f t="shared" si="201"/>
        <v>174.18179712340799</v>
      </c>
      <c r="AS333" s="168" t="str">
        <f t="shared" si="202"/>
        <v>-2.09374197823617-0.490962628023458i</v>
      </c>
      <c r="AT333" s="190">
        <f t="shared" si="203"/>
        <v>6.6509293510157965</v>
      </c>
      <c r="AU333" s="169">
        <f t="shared" si="204"/>
        <v>-166.80311573634248</v>
      </c>
      <c r="AV333" s="225"/>
      <c r="AX333">
        <f t="shared" si="205"/>
        <v>0</v>
      </c>
      <c r="AY333">
        <f t="shared" si="206"/>
        <v>0</v>
      </c>
    </row>
    <row r="334" spans="14:51" x14ac:dyDescent="0.2">
      <c r="N334" s="170">
        <v>16</v>
      </c>
      <c r="O334" s="199">
        <f t="shared" si="208"/>
        <v>14454.397707459291</v>
      </c>
      <c r="P334" s="189" t="str">
        <f t="shared" si="173"/>
        <v>1757.57575757576</v>
      </c>
      <c r="Q334" s="160" t="str">
        <f t="shared" si="174"/>
        <v>1+5237.2670196125i</v>
      </c>
      <c r="R334" s="160">
        <f t="shared" si="182"/>
        <v>5237.2671150821398</v>
      </c>
      <c r="S334" s="160">
        <f t="shared" si="183"/>
        <v>1.5706053875160508</v>
      </c>
      <c r="T334" s="160" t="str">
        <f t="shared" si="175"/>
        <v>1+25.4295046038988i</v>
      </c>
      <c r="U334" s="160">
        <f t="shared" si="184"/>
        <v>25.449159208109609</v>
      </c>
      <c r="V334" s="160">
        <f t="shared" si="185"/>
        <v>1.5314921789615321</v>
      </c>
      <c r="W334" s="98" t="str">
        <f t="shared" si="176"/>
        <v>1-0.016366459436289i</v>
      </c>
      <c r="X334" s="160">
        <f t="shared" si="186"/>
        <v>1.0001339215297518</v>
      </c>
      <c r="Y334" s="160">
        <f t="shared" si="187"/>
        <v>-1.6364998359067601E-2</v>
      </c>
      <c r="Z334" s="98" t="str">
        <f t="shared" si="177"/>
        <v>0.916428154765838-0.384740329677297i</v>
      </c>
      <c r="AA334" s="160">
        <f t="shared" si="188"/>
        <v>0.99391432433973614</v>
      </c>
      <c r="AB334" s="160">
        <f t="shared" si="189"/>
        <v>-0.39748003929735631</v>
      </c>
      <c r="AC334" s="171" t="str">
        <f t="shared" si="190"/>
        <v>8.0962172399931+2.88217883869863i</v>
      </c>
      <c r="AD334" s="190">
        <f t="shared" si="191"/>
        <v>18.683839508280741</v>
      </c>
      <c r="AE334" s="169">
        <f t="shared" si="192"/>
        <v>19.595261581330551</v>
      </c>
      <c r="AF334" s="98" t="str">
        <f t="shared" si="178"/>
        <v>-0.0000114342530449913</v>
      </c>
      <c r="AG334" s="98" t="str">
        <f t="shared" si="179"/>
        <v>0.0109029000989216i</v>
      </c>
      <c r="AH334" s="98">
        <f t="shared" si="193"/>
        <v>1.09029000989216E-2</v>
      </c>
      <c r="AI334" s="98">
        <f t="shared" si="194"/>
        <v>1.5707963267948966</v>
      </c>
      <c r="AJ334" s="98" t="str">
        <f t="shared" si="180"/>
        <v>1+0.0998600168892318i</v>
      </c>
      <c r="AK334" s="98">
        <f t="shared" si="195"/>
        <v>1.0049736429245881</v>
      </c>
      <c r="AL334" s="98">
        <f t="shared" si="196"/>
        <v>9.9530053431731727E-2</v>
      </c>
      <c r="AM334" s="98" t="str">
        <f t="shared" si="181"/>
        <v>1+239.763900551046i</v>
      </c>
      <c r="AN334" s="98">
        <f t="shared" si="197"/>
        <v>239.76598592680295</v>
      </c>
      <c r="AO334" s="98">
        <f t="shared" si="198"/>
        <v>1.5666255813268657</v>
      </c>
      <c r="AP334" s="168" t="str">
        <f t="shared" si="199"/>
        <v>-0.248862408309246+0.0259001393069222i</v>
      </c>
      <c r="AQ334" s="98">
        <f t="shared" si="200"/>
        <v>-12.034026658475607</v>
      </c>
      <c r="AR334" s="169">
        <f t="shared" si="201"/>
        <v>174.05838189090872</v>
      </c>
      <c r="AS334" s="168" t="str">
        <f t="shared" si="202"/>
        <v>-2.08949295396928-0.50757281260156i</v>
      </c>
      <c r="AT334" s="190">
        <f t="shared" si="203"/>
        <v>6.6498128498051434</v>
      </c>
      <c r="AU334" s="169">
        <f t="shared" si="204"/>
        <v>-166.34635652776078</v>
      </c>
      <c r="AV334" s="225"/>
      <c r="AX334">
        <f t="shared" si="205"/>
        <v>0</v>
      </c>
      <c r="AY334">
        <f t="shared" si="206"/>
        <v>0</v>
      </c>
    </row>
    <row r="335" spans="14:51" x14ac:dyDescent="0.2">
      <c r="N335" s="170">
        <v>17</v>
      </c>
      <c r="O335" s="199">
        <f t="shared" si="208"/>
        <v>14791.083881682089</v>
      </c>
      <c r="P335" s="189" t="str">
        <f t="shared" si="173"/>
        <v>1757.57575757576</v>
      </c>
      <c r="Q335" s="160" t="str">
        <f t="shared" si="174"/>
        <v>1+5359.25863987258i</v>
      </c>
      <c r="R335" s="160">
        <f t="shared" si="182"/>
        <v>5359.2587331690647</v>
      </c>
      <c r="S335" s="160">
        <f t="shared" si="183"/>
        <v>1.5706097338245641</v>
      </c>
      <c r="T335" s="160" t="str">
        <f t="shared" si="175"/>
        <v>1+26.0218338583408i</v>
      </c>
      <c r="U335" s="160">
        <f t="shared" si="184"/>
        <v>26.041041402967963</v>
      </c>
      <c r="V335" s="160">
        <f t="shared" si="185"/>
        <v>1.532385960651806</v>
      </c>
      <c r="W335" s="98" t="str">
        <f t="shared" si="176"/>
        <v>1-0.0167476832496018i</v>
      </c>
      <c r="X335" s="160">
        <f t="shared" si="186"/>
        <v>1.0001402326145215</v>
      </c>
      <c r="Y335" s="160">
        <f t="shared" si="187"/>
        <v>-1.6746117689008067E-2</v>
      </c>
      <c r="Z335" s="98" t="str">
        <f t="shared" si="177"/>
        <v>0.912489535042018-0.393702083206565i</v>
      </c>
      <c r="AA335" s="160">
        <f t="shared" si="188"/>
        <v>0.99380002107183885</v>
      </c>
      <c r="AB335" s="160">
        <f t="shared" si="189"/>
        <v>-0.40732897468208723</v>
      </c>
      <c r="AC335" s="171" t="str">
        <f t="shared" si="190"/>
        <v>8.06663040065414+2.96613408620601i</v>
      </c>
      <c r="AD335" s="190">
        <f t="shared" si="191"/>
        <v>18.684591475245536</v>
      </c>
      <c r="AE335" s="169">
        <f t="shared" si="192"/>
        <v>20.188688376000844</v>
      </c>
      <c r="AF335" s="98" t="str">
        <f t="shared" si="178"/>
        <v>-0.0000114342530449913</v>
      </c>
      <c r="AG335" s="98" t="str">
        <f t="shared" si="179"/>
        <v>0.0111568612667636i</v>
      </c>
      <c r="AH335" s="98">
        <f t="shared" si="193"/>
        <v>1.11568612667636E-2</v>
      </c>
      <c r="AI335" s="98">
        <f t="shared" si="194"/>
        <v>1.5707963267948966</v>
      </c>
      <c r="AJ335" s="98" t="str">
        <f t="shared" si="180"/>
        <v>1+0.102186055491789i</v>
      </c>
      <c r="AK335" s="98">
        <f t="shared" si="195"/>
        <v>1.005207436272221</v>
      </c>
      <c r="AL335" s="98">
        <f t="shared" si="196"/>
        <v>0.10183259212523071</v>
      </c>
      <c r="AM335" s="98" t="str">
        <f t="shared" si="181"/>
        <v>1+245.348719235785i</v>
      </c>
      <c r="AN335" s="98">
        <f t="shared" si="197"/>
        <v>245.35075714299325</v>
      </c>
      <c r="AO335" s="98">
        <f t="shared" si="198"/>
        <v>1.5667205180207446</v>
      </c>
      <c r="AP335" s="168" t="str">
        <f t="shared" si="199"/>
        <v>-0.248746659843114+0.0264433028728817i</v>
      </c>
      <c r="AQ335" s="98">
        <f t="shared" si="200"/>
        <v>-12.036050476794898</v>
      </c>
      <c r="AR335" s="169">
        <f t="shared" si="201"/>
        <v>173.93189561348584</v>
      </c>
      <c r="AS335" s="168" t="str">
        <f t="shared" si="202"/>
        <v>-2.08498175035476-0.52450759574246i</v>
      </c>
      <c r="AT335" s="190">
        <f t="shared" si="203"/>
        <v>6.6485409984506365</v>
      </c>
      <c r="AU335" s="169">
        <f t="shared" si="204"/>
        <v>-165.87941601051332</v>
      </c>
      <c r="AV335" s="225"/>
      <c r="AX335">
        <f t="shared" si="205"/>
        <v>0</v>
      </c>
      <c r="AY335">
        <f t="shared" si="206"/>
        <v>0</v>
      </c>
    </row>
    <row r="336" spans="14:51" x14ac:dyDescent="0.2">
      <c r="N336" s="170">
        <v>18</v>
      </c>
      <c r="O336" s="199">
        <f t="shared" si="208"/>
        <v>15135.612484362096</v>
      </c>
      <c r="P336" s="189" t="str">
        <f t="shared" si="173"/>
        <v>1757.57575757576</v>
      </c>
      <c r="Q336" s="160" t="str">
        <f t="shared" si="174"/>
        <v>1+5484.0918100017i</v>
      </c>
      <c r="R336" s="160">
        <f t="shared" si="182"/>
        <v>5484.0919011744973</v>
      </c>
      <c r="S336" s="160">
        <f t="shared" si="183"/>
        <v>1.5706139811990236</v>
      </c>
      <c r="T336" s="160" t="str">
        <f t="shared" si="175"/>
        <v>1+26.6279602335342i</v>
      </c>
      <c r="U336" s="160">
        <f t="shared" si="184"/>
        <v>26.646730872635739</v>
      </c>
      <c r="V336" s="160">
        <f t="shared" si="185"/>
        <v>1.5332594567190625</v>
      </c>
      <c r="W336" s="98" t="str">
        <f t="shared" si="176"/>
        <v>1-0.0171377869062553i</v>
      </c>
      <c r="X336" s="160">
        <f t="shared" si="186"/>
        <v>1.0001468410888694</v>
      </c>
      <c r="Y336" s="160">
        <f t="shared" si="187"/>
        <v>-1.713610939115737E-2</v>
      </c>
      <c r="Z336" s="98" t="str">
        <f t="shared" si="177"/>
        <v>0.908365293889289-0.402872582791613i</v>
      </c>
      <c r="AA336" s="160">
        <f t="shared" si="188"/>
        <v>0.99369704895796063</v>
      </c>
      <c r="AB336" s="160">
        <f t="shared" si="189"/>
        <v>-0.4174469614894788</v>
      </c>
      <c r="AC336" s="171" t="str">
        <f t="shared" si="190"/>
        <v>8.03536423972214+3.05168508619701i</v>
      </c>
      <c r="AD336" s="190">
        <f t="shared" si="191"/>
        <v>18.685260657364292</v>
      </c>
      <c r="AE336" s="169">
        <f t="shared" si="192"/>
        <v>20.795865720099677</v>
      </c>
      <c r="AF336" s="98" t="str">
        <f t="shared" si="178"/>
        <v>-0.0000114342530449913</v>
      </c>
      <c r="AG336" s="98" t="str">
        <f t="shared" si="179"/>
        <v>0.0114167379501278i</v>
      </c>
      <c r="AH336" s="98">
        <f t="shared" si="193"/>
        <v>1.1416737950127801E-2</v>
      </c>
      <c r="AI336" s="98">
        <f t="shared" si="194"/>
        <v>1.5707963267948966</v>
      </c>
      <c r="AJ336" s="98" t="str">
        <f t="shared" si="180"/>
        <v>1+0.10456627449356i</v>
      </c>
      <c r="AK336" s="98">
        <f t="shared" si="195"/>
        <v>1.0054521896944988</v>
      </c>
      <c r="AL336" s="98">
        <f t="shared" si="196"/>
        <v>0.10418764250659833</v>
      </c>
      <c r="AM336" s="98" t="str">
        <f t="shared" si="181"/>
        <v>1+251.063625059036i</v>
      </c>
      <c r="AN336" s="98">
        <f t="shared" si="197"/>
        <v>251.065616578185</v>
      </c>
      <c r="AO336" s="98">
        <f t="shared" si="198"/>
        <v>1.5668132937626316</v>
      </c>
      <c r="AP336" s="168" t="str">
        <f t="shared" si="199"/>
        <v>-0.248625571666444+0.0269993839323059i</v>
      </c>
      <c r="AQ336" s="98">
        <f t="shared" si="200"/>
        <v>-12.038168354519609</v>
      </c>
      <c r="AR336" s="169">
        <f t="shared" si="201"/>
        <v>173.80227682454409</v>
      </c>
      <c r="AS336" s="168" t="str">
        <f t="shared" si="202"/>
        <v>-2.08019064493174-0.541777064957514i</v>
      </c>
      <c r="AT336" s="190">
        <f t="shared" si="203"/>
        <v>6.6470923028446718</v>
      </c>
      <c r="AU336" s="169">
        <f t="shared" si="204"/>
        <v>-165.40185745535621</v>
      </c>
      <c r="AV336" s="225"/>
      <c r="AX336">
        <f t="shared" si="205"/>
        <v>0</v>
      </c>
      <c r="AY336">
        <f t="shared" si="206"/>
        <v>0</v>
      </c>
    </row>
    <row r="337" spans="14:51" x14ac:dyDescent="0.2">
      <c r="N337" s="170">
        <v>19</v>
      </c>
      <c r="O337" s="199">
        <f t="shared" si="208"/>
        <v>15488.166189124853</v>
      </c>
      <c r="P337" s="189" t="str">
        <f t="shared" si="173"/>
        <v>1757.57575757576</v>
      </c>
      <c r="Q337" s="160" t="str">
        <f t="shared" si="174"/>
        <v>1+5611.83271819902i</v>
      </c>
      <c r="R337" s="160">
        <f t="shared" si="182"/>
        <v>5611.8328072964714</v>
      </c>
      <c r="S337" s="160">
        <f t="shared" si="183"/>
        <v>1.5706181318914434</v>
      </c>
      <c r="T337" s="160" t="str">
        <f t="shared" si="175"/>
        <v>1+27.2482051057062i</v>
      </c>
      <c r="U337" s="160">
        <f t="shared" si="184"/>
        <v>27.266548763689062</v>
      </c>
      <c r="V337" s="160">
        <f t="shared" si="185"/>
        <v>1.5341131249676481</v>
      </c>
      <c r="W337" s="98" t="str">
        <f t="shared" si="176"/>
        <v>1-0.0175369772443719i</v>
      </c>
      <c r="X337" s="160">
        <f t="shared" si="186"/>
        <v>1.0001537609642177</v>
      </c>
      <c r="Y337" s="160">
        <f t="shared" si="187"/>
        <v>-1.7535179769484193E-2</v>
      </c>
      <c r="Z337" s="98" t="str">
        <f t="shared" si="177"/>
        <v>0.90404668323922-0.412256690752706i</v>
      </c>
      <c r="AA337" s="160">
        <f t="shared" si="188"/>
        <v>0.99360756063257039</v>
      </c>
      <c r="AB337" s="160">
        <f t="shared" si="189"/>
        <v>-0.42784275396614496</v>
      </c>
      <c r="AC337" s="171" t="str">
        <f t="shared" si="190"/>
        <v>8.00231535880043+3.1388622790052i</v>
      </c>
      <c r="AD337" s="190">
        <f t="shared" si="191"/>
        <v>18.685827718888504</v>
      </c>
      <c r="AE337" s="169">
        <f t="shared" si="192"/>
        <v>21.417309475890221</v>
      </c>
      <c r="AF337" s="98" t="str">
        <f t="shared" si="178"/>
        <v>-0.0000114342530449913</v>
      </c>
      <c r="AG337" s="98" t="str">
        <f t="shared" si="179"/>
        <v>0.0116826679390715i</v>
      </c>
      <c r="AH337" s="98">
        <f t="shared" si="193"/>
        <v>1.16826679390715E-2</v>
      </c>
      <c r="AI337" s="98">
        <f t="shared" si="194"/>
        <v>1.5707963267948966</v>
      </c>
      <c r="AJ337" s="98" t="str">
        <f t="shared" si="180"/>
        <v>1+0.107001935918165i</v>
      </c>
      <c r="AK337" s="98">
        <f t="shared" si="195"/>
        <v>1.0057084141490689</v>
      </c>
      <c r="AL337" s="98">
        <f t="shared" si="196"/>
        <v>0.10659634870377037</v>
      </c>
      <c r="AM337" s="98" t="str">
        <f t="shared" si="181"/>
        <v>1+256.911648139515i</v>
      </c>
      <c r="AN337" s="98">
        <f t="shared" si="197"/>
        <v>256.91359432650108</v>
      </c>
      <c r="AO337" s="98">
        <f t="shared" si="198"/>
        <v>1.5669039577370605</v>
      </c>
      <c r="AP337" s="168" t="str">
        <f t="shared" si="199"/>
        <v>-0.248498903070131+0.027568600160585i</v>
      </c>
      <c r="AQ337" s="98">
        <f t="shared" si="200"/>
        <v>-12.040384642559264</v>
      </c>
      <c r="AR337" s="169">
        <f t="shared" si="201"/>
        <v>173.66946278844779</v>
      </c>
      <c r="AS337" s="168" t="str">
        <f t="shared" si="202"/>
        <v>-2.07510062781221-0.559391200735326i</v>
      </c>
      <c r="AT337" s="190">
        <f t="shared" si="203"/>
        <v>6.6454430763292551</v>
      </c>
      <c r="AU337" s="169">
        <f t="shared" si="204"/>
        <v>-164.91322773566202</v>
      </c>
      <c r="AV337" s="225"/>
      <c r="AX337">
        <f t="shared" si="205"/>
        <v>0</v>
      </c>
      <c r="AY337">
        <f t="shared" si="206"/>
        <v>0</v>
      </c>
    </row>
    <row r="338" spans="14:51" x14ac:dyDescent="0.2">
      <c r="N338" s="170">
        <v>20</v>
      </c>
      <c r="O338" s="199">
        <f t="shared" si="208"/>
        <v>15848.931924611146</v>
      </c>
      <c r="P338" s="189" t="str">
        <f t="shared" si="173"/>
        <v>1757.57575757576</v>
      </c>
      <c r="Q338" s="160" t="str">
        <f t="shared" si="174"/>
        <v>1+5742.54909438491i</v>
      </c>
      <c r="R338" s="160">
        <f t="shared" si="182"/>
        <v>5742.5491814542556</v>
      </c>
      <c r="S338" s="160">
        <f t="shared" si="183"/>
        <v>1.5706221881025744</v>
      </c>
      <c r="T338" s="160" t="str">
        <f t="shared" si="175"/>
        <v>1+27.8828973368977i</v>
      </c>
      <c r="U338" s="160">
        <f t="shared" si="184"/>
        <v>27.900823713646464</v>
      </c>
      <c r="V338" s="160">
        <f t="shared" si="185"/>
        <v>1.5349474130440441</v>
      </c>
      <c r="W338" s="98" t="str">
        <f t="shared" si="176"/>
        <v>1-0.0179454659199528i</v>
      </c>
      <c r="X338" s="160">
        <f t="shared" si="186"/>
        <v>1.0001610069119293</v>
      </c>
      <c r="Y338" s="160">
        <f t="shared" si="187"/>
        <v>-1.7943539907655223E-2</v>
      </c>
      <c r="Z338" s="98" t="str">
        <f t="shared" si="177"/>
        <v>0.899524542739617-0.421859382668097i</v>
      </c>
      <c r="AA338" s="160">
        <f t="shared" si="188"/>
        <v>0.9935339660706245</v>
      </c>
      <c r="AB338" s="160">
        <f t="shared" si="189"/>
        <v>-0.438525440482882</v>
      </c>
      <c r="AC338" s="171" t="str">
        <f t="shared" si="190"/>
        <v>7.96737371128144+3.22769386213144i</v>
      </c>
      <c r="AD338" s="190">
        <f t="shared" si="191"/>
        <v>18.686271104801062</v>
      </c>
      <c r="AE338" s="169">
        <f t="shared" si="192"/>
        <v>22.053553796618978</v>
      </c>
      <c r="AF338" s="98" t="str">
        <f t="shared" si="178"/>
        <v>-0.0000114342530449913</v>
      </c>
      <c r="AG338" s="98" t="str">
        <f t="shared" si="179"/>
        <v>0.0119547922331949i</v>
      </c>
      <c r="AH338" s="98">
        <f t="shared" si="193"/>
        <v>1.19547922331949E-2</v>
      </c>
      <c r="AI338" s="98">
        <f t="shared" si="194"/>
        <v>1.5707963267948966</v>
      </c>
      <c r="AJ338" s="98" t="str">
        <f t="shared" si="180"/>
        <v>1+0.109494331185533i</v>
      </c>
      <c r="AK338" s="98">
        <f t="shared" si="195"/>
        <v>1.0059766441432758</v>
      </c>
      <c r="AL338" s="98">
        <f t="shared" si="196"/>
        <v>0.10905987598375833</v>
      </c>
      <c r="AM338" s="98" t="str">
        <f t="shared" si="181"/>
        <v>1+262.895889176464i</v>
      </c>
      <c r="AN338" s="98">
        <f t="shared" si="197"/>
        <v>262.8977910631499</v>
      </c>
      <c r="AO338" s="98">
        <f t="shared" si="198"/>
        <v>1.5669925580093054</v>
      </c>
      <c r="AP338" s="168" t="str">
        <f t="shared" si="199"/>
        <v>-0.248366403029672+0.0281511708854827i</v>
      </c>
      <c r="AQ338" s="98">
        <f t="shared" si="200"/>
        <v>-12.042703887129759</v>
      </c>
      <c r="AR338" s="169">
        <f t="shared" si="201"/>
        <v>173.5333894942525</v>
      </c>
      <c r="AS338" s="168" t="str">
        <f t="shared" si="202"/>
        <v>-2.06969131174303-0.577359815763749i</v>
      </c>
      <c r="AT338" s="190">
        <f t="shared" si="203"/>
        <v>6.6435672176713219</v>
      </c>
      <c r="AU338" s="169">
        <f t="shared" si="204"/>
        <v>-164.41305670912857</v>
      </c>
      <c r="AV338" s="225"/>
      <c r="AX338">
        <f t="shared" si="205"/>
        <v>0</v>
      </c>
      <c r="AY338">
        <f t="shared" si="206"/>
        <v>0</v>
      </c>
    </row>
    <row r="339" spans="14:51" x14ac:dyDescent="0.2">
      <c r="N339" s="170">
        <v>21</v>
      </c>
      <c r="O339" s="199">
        <f t="shared" si="208"/>
        <v>16218.100973589309</v>
      </c>
      <c r="P339" s="189" t="str">
        <f t="shared" ref="P339:P402" si="209">COMPLEX(Adc,0)</f>
        <v>1757.57575757576</v>
      </c>
      <c r="Q339" s="160" t="str">
        <f t="shared" ref="Q339:Q402" si="210">IMSUM(COMPLEX(1,0),IMDIV(COMPLEX(0,2*PI()*O339),COMPLEX(wp_lf,0)))</f>
        <v>1+5876.31024611225i</v>
      </c>
      <c r="R339" s="160">
        <f t="shared" si="182"/>
        <v>5876.3103311996556</v>
      </c>
      <c r="S339" s="160">
        <f t="shared" si="183"/>
        <v>1.5706261519830735</v>
      </c>
      <c r="T339" s="160" t="str">
        <f t="shared" ref="T339:T402" si="211">IMSUM(COMPLEX(1,0),IMDIV(COMPLEX(0,2*PI()*O339),COMPLEX(wz_esr,0)))</f>
        <v>1+28.5323734493311i</v>
      </c>
      <c r="U339" s="160">
        <f t="shared" si="184"/>
        <v>28.549892025226548</v>
      </c>
      <c r="V339" s="160">
        <f t="shared" si="185"/>
        <v>1.5357627586506193</v>
      </c>
      <c r="W339" s="98" t="str">
        <f t="shared" ref="W339:W402" si="212">IMSUB(COMPLEX(1,0),IMDIV(COMPLEX(0,2*PI()*O339),COMPLEX(wz_rhp,0)))</f>
        <v>1-0.0183634695191007i</v>
      </c>
      <c r="X339" s="160">
        <f t="shared" si="186"/>
        <v>1.0001685942943714</v>
      </c>
      <c r="Y339" s="160">
        <f t="shared" si="187"/>
        <v>-1.8361405778529839E-2</v>
      </c>
      <c r="Z339" s="98" t="str">
        <f t="shared" ref="Z339:Z402" si="213">IF(Dc_Mode_Loop="CCM",IMSUM(COMPLEX(1,0),IMDIV(COMPLEX(0,2*PI()*O339),COMPLEX(Q*(wsl/2),0)),IMDIV(IMPOWER(COMPLEX(0,2*PI()*O339),2),IMPOWER(COMPLEX(wsl/2,0),2))),COMPLEX(1,0))</f>
        <v>0.894789280324185-0.431685750012147i</v>
      </c>
      <c r="AA339" s="160">
        <f t="shared" si="188"/>
        <v>0.99347895948863596</v>
      </c>
      <c r="AB339" s="160">
        <f t="shared" si="189"/>
        <v>-0.44950445399645372</v>
      </c>
      <c r="AC339" s="171" t="str">
        <f t="shared" si="190"/>
        <v>7.93042221530641+3.31820533970541i</v>
      </c>
      <c r="AD339" s="190">
        <f t="shared" si="191"/>
        <v>18.686566806809189</v>
      </c>
      <c r="AE339" s="169">
        <f t="shared" si="192"/>
        <v>22.705151731838317</v>
      </c>
      <c r="AF339" s="98" t="str">
        <f t="shared" ref="AF339:AF402" si="214">COMPLEX(Adc_ea,0)</f>
        <v>-0.0000114342530449913</v>
      </c>
      <c r="AG339" s="98" t="str">
        <f t="shared" ref="AG339:AG402" si="215">COMPLEX(0,2*PI()*O339*wp0_ea)</f>
        <v>0.0122332551164007i</v>
      </c>
      <c r="AH339" s="98">
        <f t="shared" si="193"/>
        <v>1.22332551164007E-2</v>
      </c>
      <c r="AI339" s="98">
        <f t="shared" si="194"/>
        <v>1.5707963267948966</v>
      </c>
      <c r="AJ339" s="98" t="str">
        <f t="shared" ref="AJ339:AJ402" si="216">IMSUM(COMPLEX(1,0),IMDIV(COMPLEX(0,2*PI()*O339),COMPLEX(wp1_ea,0)))</f>
        <v>1+0.112044781796623i</v>
      </c>
      <c r="AK339" s="98">
        <f t="shared" si="195"/>
        <v>1.0062574387937975</v>
      </c>
      <c r="AL339" s="98">
        <f t="shared" si="196"/>
        <v>0.11157941086773017</v>
      </c>
      <c r="AM339" s="98" t="str">
        <f t="shared" ref="AM339:AM402" si="217">IMSUM(COMPLEX(1,0),IMDIV(COMPLEX(0,2*PI()*O339),COMPLEX(wz_ea,0)))</f>
        <v>1+269.019521093693i</v>
      </c>
      <c r="AN339" s="98">
        <f t="shared" si="197"/>
        <v>269.02137968845517</v>
      </c>
      <c r="AO339" s="98">
        <f t="shared" si="198"/>
        <v>1.5670791415508361</v>
      </c>
      <c r="AP339" s="168" t="str">
        <f t="shared" si="199"/>
        <v>-0.248227809814386+0.0287473168480816i</v>
      </c>
      <c r="AQ339" s="98">
        <f t="shared" si="200"/>
        <v>-12.045130838129863</v>
      </c>
      <c r="AR339" s="169">
        <f t="shared" si="201"/>
        <v>173.39399165056992</v>
      </c>
      <c r="AS339" s="168" t="str">
        <f t="shared" si="202"/>
        <v>-2.06394083767637-0.595692483826996i</v>
      </c>
      <c r="AT339" s="190">
        <f t="shared" si="203"/>
        <v>6.6414359686793309</v>
      </c>
      <c r="AU339" s="169">
        <f t="shared" si="204"/>
        <v>-163.90085661759178</v>
      </c>
      <c r="AV339" s="225"/>
      <c r="AX339">
        <f t="shared" si="205"/>
        <v>0</v>
      </c>
      <c r="AY339">
        <f t="shared" si="206"/>
        <v>0</v>
      </c>
    </row>
    <row r="340" spans="14:51" x14ac:dyDescent="0.2">
      <c r="N340" s="170">
        <v>22</v>
      </c>
      <c r="O340" s="199">
        <f t="shared" si="208"/>
        <v>16595.869074375616</v>
      </c>
      <c r="P340" s="189" t="str">
        <f t="shared" si="209"/>
        <v>1757.57575757576</v>
      </c>
      <c r="Q340" s="160" t="str">
        <f t="shared" si="210"/>
        <v>1+6013.18709531428i</v>
      </c>
      <c r="R340" s="160">
        <f t="shared" ref="R340:R403" si="218">IMABS(Q340)</f>
        <v>6013.1871784648602</v>
      </c>
      <c r="S340" s="160">
        <f t="shared" ref="S340:S403" si="219">IMARGUMENT(Q340)</f>
        <v>1.5706300256346415</v>
      </c>
      <c r="T340" s="160" t="str">
        <f t="shared" si="211"/>
        <v>1+29.196977803838i</v>
      </c>
      <c r="U340" s="160">
        <f t="shared" ref="U340:U403" si="220">IMABS(T340)</f>
        <v>29.214097844667545</v>
      </c>
      <c r="V340" s="160">
        <f t="shared" ref="V340:V403" si="221">IMARGUMENT(T340)</f>
        <v>1.536559589755671</v>
      </c>
      <c r="W340" s="98" t="str">
        <f t="shared" si="212"/>
        <v>1-0.0187912096728571i</v>
      </c>
      <c r="X340" s="160">
        <f t="shared" ref="X340:X403" si="222">IMABS(W340)</f>
        <v>1.0001765391974404</v>
      </c>
      <c r="Y340" s="160">
        <f t="shared" ref="Y340:Y403" si="223">IMARGUMENT(W340)</f>
        <v>-1.8788998356074567E-2</v>
      </c>
      <c r="Z340" s="98" t="str">
        <f t="shared" si="213"/>
        <v>0.889830851866473-0.441741002854893i</v>
      </c>
      <c r="AA340" s="160">
        <f t="shared" ref="AA340:AA403" si="224">IMABS(Z340)</f>
        <v>0.99344554885341341</v>
      </c>
      <c r="AB340" s="160">
        <f t="shared" ref="AB340:AB403" si="225">IMARGUMENT(Z340)</f>
        <v>-0.4607895820202032</v>
      </c>
      <c r="AC340" s="171" t="str">
        <f t="shared" ref="AC340:AC403" si="226">(IMDIV(IMPRODUCT(P340,T340,W340),IMPRODUCT(Q340,Z340)))</f>
        <v>7.89133635821794+3.41041901032439i</v>
      </c>
      <c r="AD340" s="190">
        <f t="shared" ref="AD340:AD403" si="227">20*LOG(IMABS(AC340))</f>
        <v>18.686688107669138</v>
      </c>
      <c r="AE340" s="169">
        <f t="shared" ref="AE340:AE403" si="228">(180/PI())*IMARGUMENT(AC340)</f>
        <v>23.372675804237502</v>
      </c>
      <c r="AF340" s="98" t="str">
        <f t="shared" si="214"/>
        <v>-0.0000114342530449913</v>
      </c>
      <c r="AG340" s="98" t="str">
        <f t="shared" si="215"/>
        <v>0.0125182042333956i</v>
      </c>
      <c r="AH340" s="98">
        <f t="shared" ref="AH340:AH403" si="229">IMABS(AG340)</f>
        <v>1.25182042333956E-2</v>
      </c>
      <c r="AI340" s="98">
        <f t="shared" ref="AI340:AI403" si="230">IMARGUMENT(AG340)</f>
        <v>1.5707963267948966</v>
      </c>
      <c r="AJ340" s="98" t="str">
        <f t="shared" si="216"/>
        <v>1+0.114654640034111i</v>
      </c>
      <c r="AK340" s="98">
        <f t="shared" ref="AK340:AK403" si="231">IMABS(AJ340)</f>
        <v>1.006551382931518</v>
      </c>
      <c r="AL340" s="98">
        <f t="shared" ref="AL340:AL403" si="232">IMARGUMENT(AJ340)</f>
        <v>0.11415616122380068</v>
      </c>
      <c r="AM340" s="98" t="str">
        <f t="shared" si="217"/>
        <v>1+275.285790721901i</v>
      </c>
      <c r="AN340" s="98">
        <f t="shared" ref="AN340:AN403" si="233">IMABS(AM340)</f>
        <v>275.28760701016358</v>
      </c>
      <c r="AO340" s="98">
        <f t="shared" ref="AO340:AO403" si="234">IMARGUMENT(AM340)</f>
        <v>1.5671637542641967</v>
      </c>
      <c r="AP340" s="168" t="str">
        <f t="shared" ref="AP340:AP403" si="235">IMPRODUCT(AF340,IMDIV(AM340,IMPRODUCT(AG340,AJ340)))</f>
        <v>-0.248082850586834+0.0293572599419494i</v>
      </c>
      <c r="AQ340" s="98">
        <f t="shared" ref="AQ340:AQ403" si="236">20*LOG(IMABS(AP340))</f>
        <v>-12.047670457832673</v>
      </c>
      <c r="AR340" s="169">
        <f t="shared" ref="AR340:AR403" si="237">(180/PI())*IMARGUMENT(AP340)</f>
        <v>173.25120268167694</v>
      </c>
      <c r="AS340" s="168" t="str">
        <f t="shared" ref="AS340:AS403" si="238">IMPRODUCT(AC340,AP340)</f>
        <v>-2.05782577608329-0.614398457019244i</v>
      </c>
      <c r="AT340" s="190">
        <f t="shared" ref="AT340:AT403" si="239">20*LOG(IMABS(AS340))</f>
        <v>6.6390176498364593</v>
      </c>
      <c r="AU340" s="169">
        <f t="shared" ref="AU340:AU403" si="240">(180/PI())*IMARGUMENT(AS340)</f>
        <v>-163.37612151408553</v>
      </c>
      <c r="AV340" s="225"/>
      <c r="AX340">
        <f t="shared" ref="AX340:AX403" si="241">SUM((AT341&lt;0)*(AT340&gt;0))*O340</f>
        <v>0</v>
      </c>
      <c r="AY340">
        <f t="shared" ref="AY340:AY403" si="242">IF(AX340&gt;0,AU340,0)</f>
        <v>0</v>
      </c>
    </row>
    <row r="341" spans="14:51" x14ac:dyDescent="0.2">
      <c r="N341" s="170">
        <v>23</v>
      </c>
      <c r="O341" s="199">
        <f t="shared" si="208"/>
        <v>16982.436524617482</v>
      </c>
      <c r="P341" s="189" t="str">
        <f t="shared" si="209"/>
        <v>1757.57575757576</v>
      </c>
      <c r="Q341" s="160" t="str">
        <f t="shared" si="210"/>
        <v>1+6153.2522159082i</v>
      </c>
      <c r="R341" s="160">
        <f t="shared" si="218"/>
        <v>6153.2522971660419</v>
      </c>
      <c r="S341" s="160">
        <f t="shared" si="219"/>
        <v>1.5706338111111398</v>
      </c>
      <c r="T341" s="160" t="str">
        <f t="shared" si="211"/>
        <v>1+29.8770627824444i</v>
      </c>
      <c r="U341" s="160">
        <f t="shared" si="220"/>
        <v>29.89379334420649</v>
      </c>
      <c r="V341" s="160">
        <f t="shared" si="221"/>
        <v>1.5373383247997678</v>
      </c>
      <c r="W341" s="98" t="str">
        <f t="shared" si="212"/>
        <v>1-0.0192289131747131i</v>
      </c>
      <c r="X341" s="160">
        <f t="shared" si="222"/>
        <v>1.0001848584646145</v>
      </c>
      <c r="Y341" s="160">
        <f t="shared" si="223"/>
        <v>-1.9226543729742383E-2</v>
      </c>
      <c r="Z341" s="98" t="str">
        <f t="shared" si="213"/>
        <v>0.884638739874934-0.452030472624488i</v>
      </c>
      <c r="AA341" s="160">
        <f t="shared" si="224"/>
        <v>0.99343708822885668</v>
      </c>
      <c r="AB341" s="160">
        <f t="shared" si="225"/>
        <v>-0.47239097591267998</v>
      </c>
      <c r="AC341" s="171" t="str">
        <f t="shared" si="226"/>
        <v>7.84998379587412+3.50435338632654i</v>
      </c>
      <c r="AD341" s="190">
        <f t="shared" si="227"/>
        <v>18.68660530216086</v>
      </c>
      <c r="AE341" s="169">
        <f t="shared" si="228"/>
        <v>24.056718547047552</v>
      </c>
      <c r="AF341" s="98" t="str">
        <f t="shared" si="214"/>
        <v>-0.0000114342530449913</v>
      </c>
      <c r="AG341" s="98" t="str">
        <f t="shared" si="215"/>
        <v>0.012809790667973i</v>
      </c>
      <c r="AH341" s="98">
        <f t="shared" si="229"/>
        <v>1.2809790667973E-2</v>
      </c>
      <c r="AI341" s="98">
        <f t="shared" si="230"/>
        <v>1.5707963267948966</v>
      </c>
      <c r="AJ341" s="98" t="str">
        <f t="shared" si="216"/>
        <v>1+0.117325289679379i</v>
      </c>
      <c r="AK341" s="98">
        <f t="shared" si="231"/>
        <v>1.0068590882533417</v>
      </c>
      <c r="AL341" s="98">
        <f t="shared" si="232"/>
        <v>0.11679135633542362</v>
      </c>
      <c r="AM341" s="98" t="str">
        <f t="shared" si="217"/>
        <v>1+281.69802052019i</v>
      </c>
      <c r="AN341" s="98">
        <f t="shared" si="233"/>
        <v>281.69979546494778</v>
      </c>
      <c r="AO341" s="98">
        <f t="shared" si="234"/>
        <v>1.5672464410073188</v>
      </c>
      <c r="AP341" s="168" t="str">
        <f t="shared" si="235"/>
        <v>-0.247931240992769+0.0299812229291063i</v>
      </c>
      <c r="AQ341" s="98">
        <f t="shared" si="236"/>
        <v>-12.050327929898401</v>
      </c>
      <c r="AR341" s="169">
        <f t="shared" si="237"/>
        <v>173.10495472499005</v>
      </c>
      <c r="AS341" s="168" t="str">
        <f t="shared" si="238"/>
        <v>-2.05132102438202-0.633486569775177i</v>
      </c>
      <c r="AT341" s="190">
        <f t="shared" si="239"/>
        <v>6.6362773722624455</v>
      </c>
      <c r="AU341" s="169">
        <f t="shared" si="240"/>
        <v>-162.8383267279624</v>
      </c>
      <c r="AV341" s="225"/>
      <c r="AX341">
        <f t="shared" si="241"/>
        <v>0</v>
      </c>
      <c r="AY341">
        <f t="shared" si="242"/>
        <v>0</v>
      </c>
    </row>
    <row r="342" spans="14:51" x14ac:dyDescent="0.2">
      <c r="N342" s="170">
        <v>24</v>
      </c>
      <c r="O342" s="199">
        <f t="shared" si="208"/>
        <v>17378.008287493791</v>
      </c>
      <c r="P342" s="189" t="str">
        <f t="shared" si="209"/>
        <v>1757.57575757576</v>
      </c>
      <c r="Q342" s="160" t="str">
        <f t="shared" si="210"/>
        <v>1+6296.57987227485i</v>
      </c>
      <c r="R342" s="160">
        <f t="shared" si="218"/>
        <v>6296.5799516830375</v>
      </c>
      <c r="S342" s="160">
        <f t="shared" si="219"/>
        <v>1.5706375104196775</v>
      </c>
      <c r="T342" s="160" t="str">
        <f t="shared" si="211"/>
        <v>1+30.5729889752073i</v>
      </c>
      <c r="U342" s="160">
        <f t="shared" si="220"/>
        <v>30.58933890881179</v>
      </c>
      <c r="V342" s="160">
        <f t="shared" si="221"/>
        <v>1.5380993728984025</v>
      </c>
      <c r="W342" s="98" t="str">
        <f t="shared" si="212"/>
        <v>1-0.0196768121008588i</v>
      </c>
      <c r="X342" s="160">
        <f t="shared" si="222"/>
        <v>1.0001935697326056</v>
      </c>
      <c r="Y342" s="160">
        <f t="shared" si="223"/>
        <v>-1.9674273221367052E-2</v>
      </c>
      <c r="Z342" s="98" t="str">
        <f t="shared" si="213"/>
        <v>0.879201931183919-0.462559614933993i</v>
      </c>
      <c r="AA342" s="160">
        <f t="shared" si="224"/>
        <v>0.99345731320747577</v>
      </c>
      <c r="AB342" s="160">
        <f t="shared" si="225"/>
        <v>-0.48431915926005814</v>
      </c>
      <c r="AC342" s="171" t="str">
        <f t="shared" si="226"/>
        <v>7.80622395115602+3.60002253700521i</v>
      </c>
      <c r="AD342" s="190">
        <f t="shared" si="227"/>
        <v>18.686285392971293</v>
      </c>
      <c r="AE342" s="169">
        <f t="shared" si="228"/>
        <v>24.757892989168784</v>
      </c>
      <c r="AF342" s="98" t="str">
        <f t="shared" si="214"/>
        <v>-0.0000114342530449913</v>
      </c>
      <c r="AG342" s="98" t="str">
        <f t="shared" si="215"/>
        <v>0.0131081690231201i</v>
      </c>
      <c r="AH342" s="98">
        <f t="shared" si="229"/>
        <v>1.3108169023120101E-2</v>
      </c>
      <c r="AI342" s="98">
        <f t="shared" si="230"/>
        <v>1.5707963267948966</v>
      </c>
      <c r="AJ342" s="98" t="str">
        <f t="shared" si="216"/>
        <v>1+0.120058146746218i</v>
      </c>
      <c r="AK342" s="98">
        <f t="shared" si="231"/>
        <v>1.0071811945226818</v>
      </c>
      <c r="AL342" s="98">
        <f t="shared" si="232"/>
        <v>0.11948624694321155</v>
      </c>
      <c r="AM342" s="98" t="str">
        <f t="shared" si="217"/>
        <v>1+288.259610337669i</v>
      </c>
      <c r="AN342" s="98">
        <f t="shared" si="233"/>
        <v>288.26134487999741</v>
      </c>
      <c r="AO342" s="98">
        <f t="shared" si="234"/>
        <v>1.5673272456172829</v>
      </c>
      <c r="AP342" s="168" t="str">
        <f t="shared" si="235"/>
        <v>-0.247772684741936+0.0306194291313116i</v>
      </c>
      <c r="AQ342" s="98">
        <f t="shared" si="236"/>
        <v>-12.053108668717572</v>
      </c>
      <c r="AR342" s="169">
        <f t="shared" si="237"/>
        <v>172.9551786300305</v>
      </c>
      <c r="AS342" s="168" t="str">
        <f t="shared" si="238"/>
        <v>-2.04439970101769-0.652965128069688i</v>
      </c>
      <c r="AT342" s="190">
        <f t="shared" si="239"/>
        <v>6.6331767242537349</v>
      </c>
      <c r="AU342" s="169">
        <f t="shared" si="240"/>
        <v>-162.28692838080073</v>
      </c>
      <c r="AV342" s="225"/>
      <c r="AX342">
        <f t="shared" si="241"/>
        <v>0</v>
      </c>
      <c r="AY342">
        <f t="shared" si="242"/>
        <v>0</v>
      </c>
    </row>
    <row r="343" spans="14:51" x14ac:dyDescent="0.2">
      <c r="N343" s="170">
        <v>25</v>
      </c>
      <c r="O343" s="199">
        <f t="shared" si="208"/>
        <v>17782.794100389234</v>
      </c>
      <c r="P343" s="189" t="str">
        <f t="shared" si="209"/>
        <v>1757.57575757576</v>
      </c>
      <c r="Q343" s="160" t="str">
        <f t="shared" si="210"/>
        <v>1+6443.24605863487i</v>
      </c>
      <c r="R343" s="160">
        <f t="shared" si="218"/>
        <v>6443.246136235507</v>
      </c>
      <c r="S343" s="160">
        <f t="shared" si="219"/>
        <v>1.5706411255216766</v>
      </c>
      <c r="T343" s="160" t="str">
        <f t="shared" si="211"/>
        <v>1+31.2851253714062i</v>
      </c>
      <c r="U343" s="160">
        <f t="shared" si="220"/>
        <v>31.301103327272731</v>
      </c>
      <c r="V343" s="160">
        <f t="shared" si="221"/>
        <v>1.5388431340409785</v>
      </c>
      <c r="W343" s="98" t="str">
        <f t="shared" si="212"/>
        <v>1-0.0201351439332339i</v>
      </c>
      <c r="X343" s="160">
        <f t="shared" si="222"/>
        <v>1.0002026914686903</v>
      </c>
      <c r="Y343" s="160">
        <f t="shared" si="223"/>
        <v>-2.0132423504619145E-2</v>
      </c>
      <c r="Z343" s="98" t="str">
        <f t="shared" si="213"/>
        <v>0.873508893593265-0.473334012474037i</v>
      </c>
      <c r="AA343" s="160">
        <f t="shared" si="224"/>
        <v>0.99351037968976541</v>
      </c>
      <c r="AB343" s="160">
        <f t="shared" si="225"/>
        <v>-0.49658503509019902</v>
      </c>
      <c r="AC343" s="171" t="str">
        <f t="shared" si="226"/>
        <v>7.75990761715041+3.69743534774113i</v>
      </c>
      <c r="AD343" s="190">
        <f t="shared" si="227"/>
        <v>18.685691759709751</v>
      </c>
      <c r="AE343" s="169">
        <f t="shared" si="228"/>
        <v>25.476833073002709</v>
      </c>
      <c r="AF343" s="98" t="str">
        <f t="shared" si="214"/>
        <v>-0.0000114342530449913</v>
      </c>
      <c r="AG343" s="98" t="str">
        <f t="shared" si="215"/>
        <v>0.0134134975029905i</v>
      </c>
      <c r="AH343" s="98">
        <f t="shared" si="229"/>
        <v>1.34134975029905E-2</v>
      </c>
      <c r="AI343" s="98">
        <f t="shared" si="230"/>
        <v>1.5707963267948966</v>
      </c>
      <c r="AJ343" s="98" t="str">
        <f t="shared" si="216"/>
        <v>1+0.122854660231618i</v>
      </c>
      <c r="AK343" s="98">
        <f t="shared" si="231"/>
        <v>1.0075183708204165</v>
      </c>
      <c r="AL343" s="98">
        <f t="shared" si="232"/>
        <v>0.12224210525782374</v>
      </c>
      <c r="AM343" s="98" t="str">
        <f t="shared" si="217"/>
        <v>1+294.974039216115i</v>
      </c>
      <c r="AN343" s="98">
        <f t="shared" si="233"/>
        <v>294.97573427566914</v>
      </c>
      <c r="AO343" s="98">
        <f t="shared" si="234"/>
        <v>1.5674062109335392</v>
      </c>
      <c r="AP343" s="168" t="str">
        <f t="shared" si="235"/>
        <v>-0.24760687318024+0.0312721020951231i</v>
      </c>
      <c r="AQ343" s="98">
        <f t="shared" si="236"/>
        <v>-12.056018329089415</v>
      </c>
      <c r="AR343" s="169">
        <f t="shared" si="237"/>
        <v>172.80180395901655</v>
      </c>
      <c r="AS343" s="168" t="str">
        <f t="shared" si="238"/>
        <v>-2.03703303693482-0.672841781988024i</v>
      </c>
      <c r="AT343" s="190">
        <f t="shared" si="239"/>
        <v>6.6296734306203495</v>
      </c>
      <c r="AU343" s="169">
        <f t="shared" si="240"/>
        <v>-161.72136296798072</v>
      </c>
      <c r="AV343" s="225"/>
      <c r="AX343">
        <f t="shared" si="241"/>
        <v>0</v>
      </c>
      <c r="AY343">
        <f t="shared" si="242"/>
        <v>0</v>
      </c>
    </row>
    <row r="344" spans="14:51" x14ac:dyDescent="0.2">
      <c r="N344" s="170">
        <v>26</v>
      </c>
      <c r="O344" s="199">
        <f t="shared" si="208"/>
        <v>18197.008586099837</v>
      </c>
      <c r="P344" s="189" t="str">
        <f t="shared" si="209"/>
        <v>1757.57575757576</v>
      </c>
      <c r="Q344" s="160" t="str">
        <f t="shared" si="210"/>
        <v>1+6593.32853934166i</v>
      </c>
      <c r="R344" s="160">
        <f t="shared" si="218"/>
        <v>6593.3286151758912</v>
      </c>
      <c r="S344" s="160">
        <f t="shared" si="219"/>
        <v>1.5706446583339113</v>
      </c>
      <c r="T344" s="160" t="str">
        <f t="shared" si="211"/>
        <v>1+32.0138495551848i</v>
      </c>
      <c r="U344" s="160">
        <f t="shared" si="220"/>
        <v>32.029463987741131</v>
      </c>
      <c r="V344" s="160">
        <f t="shared" si="221"/>
        <v>1.5395699992861422</v>
      </c>
      <c r="W344" s="98" t="str">
        <f t="shared" si="212"/>
        <v>1-0.0206041516854426i</v>
      </c>
      <c r="X344" s="160">
        <f t="shared" si="222"/>
        <v>1.0002122430097908</v>
      </c>
      <c r="Y344" s="160">
        <f t="shared" si="223"/>
        <v>-2.0601236727069819E-2</v>
      </c>
      <c r="Z344" s="98" t="str">
        <f t="shared" si="213"/>
        <v>0.867547551406964-0.484359377972813i</v>
      </c>
      <c r="AA344" s="160">
        <f t="shared" si="224"/>
        <v>0.99360090629106668</v>
      </c>
      <c r="AB344" s="160">
        <f t="shared" si="225"/>
        <v>-0.50919989161325985</v>
      </c>
      <c r="AC344" s="171" t="str">
        <f t="shared" si="226"/>
        <v>7.71087657184182+3.79659468653458i</v>
      </c>
      <c r="AD344" s="190">
        <f t="shared" si="227"/>
        <v>18.684783799260622</v>
      </c>
      <c r="AE344" s="169">
        <f t="shared" si="228"/>
        <v>26.214193987502558</v>
      </c>
      <c r="AF344" s="98" t="str">
        <f t="shared" si="214"/>
        <v>-0.0000114342530449913</v>
      </c>
      <c r="AG344" s="98" t="str">
        <f t="shared" si="215"/>
        <v>0.0137259379967855i</v>
      </c>
      <c r="AH344" s="98">
        <f t="shared" si="229"/>
        <v>1.37259379967855E-2</v>
      </c>
      <c r="AI344" s="98">
        <f t="shared" si="230"/>
        <v>1.5707963267948966</v>
      </c>
      <c r="AJ344" s="98" t="str">
        <f t="shared" si="216"/>
        <v>1+0.125716312884048i</v>
      </c>
      <c r="AK344" s="98">
        <f t="shared" si="231"/>
        <v>1.0078713168481181</v>
      </c>
      <c r="AL344" s="98">
        <f t="shared" si="232"/>
        <v>0.12506022494143765</v>
      </c>
      <c r="AM344" s="98" t="str">
        <f t="shared" si="217"/>
        <v>1+301.8448672346i</v>
      </c>
      <c r="AN344" s="98">
        <f t="shared" si="233"/>
        <v>301.84652371010219</v>
      </c>
      <c r="AO344" s="98">
        <f t="shared" si="234"/>
        <v>1.5674833788206026</v>
      </c>
      <c r="AP344" s="168" t="str">
        <f t="shared" si="235"/>
        <v>-0.247433484853776+0.031939465229107i</v>
      </c>
      <c r="AQ344" s="98">
        <f t="shared" si="236"/>
        <v>-12.059062816243886</v>
      </c>
      <c r="AR344" s="169">
        <f t="shared" si="237"/>
        <v>172.64475898922544</v>
      </c>
      <c r="AS344" s="168" t="str">
        <f t="shared" si="238"/>
        <v>-2.02919026542774-0.693123379714303i</v>
      </c>
      <c r="AT344" s="190">
        <f t="shared" si="239"/>
        <v>6.6257209830167261</v>
      </c>
      <c r="AU344" s="169">
        <f t="shared" si="240"/>
        <v>-161.14104702327199</v>
      </c>
      <c r="AV344" s="225"/>
      <c r="AX344">
        <f t="shared" si="241"/>
        <v>0</v>
      </c>
      <c r="AY344">
        <f t="shared" si="242"/>
        <v>0</v>
      </c>
    </row>
    <row r="345" spans="14:51" x14ac:dyDescent="0.2">
      <c r="N345" s="170">
        <v>27</v>
      </c>
      <c r="O345" s="199">
        <f t="shared" si="208"/>
        <v>18620.871366628675</v>
      </c>
      <c r="P345" s="189" t="str">
        <f t="shared" si="209"/>
        <v>1757.57575757576</v>
      </c>
      <c r="Q345" s="160" t="str">
        <f t="shared" si="210"/>
        <v>1+6746.90689011301i</v>
      </c>
      <c r="R345" s="160">
        <f t="shared" si="218"/>
        <v>6746.9069642210425</v>
      </c>
      <c r="S345" s="160">
        <f t="shared" si="219"/>
        <v>1.5706481107295256</v>
      </c>
      <c r="T345" s="160" t="str">
        <f t="shared" si="211"/>
        <v>1+32.759547905751i</v>
      </c>
      <c r="U345" s="160">
        <f t="shared" si="220"/>
        <v>32.774807077833344</v>
      </c>
      <c r="V345" s="160">
        <f t="shared" si="221"/>
        <v>1.5402803509534957</v>
      </c>
      <c r="W345" s="98" t="str">
        <f t="shared" si="212"/>
        <v>1-0.0210840840316031i</v>
      </c>
      <c r="X345" s="160">
        <f t="shared" si="222"/>
        <v>1.0002222446033939</v>
      </c>
      <c r="Y345" s="160">
        <f t="shared" si="223"/>
        <v>-2.1080960634914311E-2</v>
      </c>
      <c r="Z345" s="98" t="str">
        <f t="shared" si="213"/>
        <v>0.861305259818988-0.495641557225045i</v>
      </c>
      <c r="AA345" s="160">
        <f t="shared" si="224"/>
        <v>0.99373402067168959</v>
      </c>
      <c r="AB345" s="160">
        <f t="shared" si="225"/>
        <v>-0.52217540613573521</v>
      </c>
      <c r="AC345" s="171" t="str">
        <f t="shared" si="226"/>
        <v>7.65896321273632+3.89749646899921i</v>
      </c>
      <c r="AD345" s="190">
        <f t="shared" si="227"/>
        <v>18.683516535695766</v>
      </c>
      <c r="AE345" s="169">
        <f t="shared" si="228"/>
        <v>26.970652396211662</v>
      </c>
      <c r="AF345" s="98" t="str">
        <f t="shared" si="214"/>
        <v>-0.0000114342530449913</v>
      </c>
      <c r="AG345" s="98" t="str">
        <f t="shared" si="215"/>
        <v>0.0140456561645908i</v>
      </c>
      <c r="AH345" s="98">
        <f t="shared" si="229"/>
        <v>1.4045656164590799E-2</v>
      </c>
      <c r="AI345" s="98">
        <f t="shared" si="230"/>
        <v>1.5707963267948966</v>
      </c>
      <c r="AJ345" s="98" t="str">
        <f t="shared" si="216"/>
        <v>1+0.128644621989621i</v>
      </c>
      <c r="AK345" s="98">
        <f t="shared" si="231"/>
        <v>1.0082407642854223</v>
      </c>
      <c r="AL345" s="98">
        <f t="shared" si="232"/>
        <v>0.1279419210551524</v>
      </c>
      <c r="AM345" s="98" t="str">
        <f t="shared" si="217"/>
        <v>1+308.87573739708i</v>
      </c>
      <c r="AN345" s="98">
        <f t="shared" si="233"/>
        <v>308.87735616679629</v>
      </c>
      <c r="AO345" s="98">
        <f t="shared" si="234"/>
        <v>1.5675587901902299</v>
      </c>
      <c r="AP345" s="168" t="str">
        <f t="shared" si="235"/>
        <v>-0.247252185065339+0.0326217414115096i</v>
      </c>
      <c r="AQ345" s="98">
        <f t="shared" si="236"/>
        <v>-12.062248296214392</v>
      </c>
      <c r="AR345" s="169">
        <f t="shared" si="237"/>
        <v>172.48397071727729</v>
      </c>
      <c r="AS345" s="168" t="str">
        <f t="shared" si="238"/>
        <v>-2.02083851164807-0.713815800838349i</v>
      </c>
      <c r="AT345" s="190">
        <f t="shared" si="239"/>
        <v>6.6212682394813784</v>
      </c>
      <c r="AU345" s="169">
        <f t="shared" si="240"/>
        <v>-160.54537688651104</v>
      </c>
      <c r="AV345" s="225"/>
      <c r="AX345">
        <f t="shared" si="241"/>
        <v>0</v>
      </c>
      <c r="AY345">
        <f t="shared" si="242"/>
        <v>0</v>
      </c>
    </row>
    <row r="346" spans="14:51" x14ac:dyDescent="0.2">
      <c r="N346" s="170">
        <v>28</v>
      </c>
      <c r="O346" s="199">
        <f t="shared" si="208"/>
        <v>19054.607179632505</v>
      </c>
      <c r="P346" s="189" t="str">
        <f t="shared" si="209"/>
        <v>1757.57575757576</v>
      </c>
      <c r="Q346" s="160" t="str">
        <f t="shared" si="210"/>
        <v>1+6904.06254022344i</v>
      </c>
      <c r="R346" s="160">
        <f t="shared" si="218"/>
        <v>6904.0626126445677</v>
      </c>
      <c r="S346" s="160">
        <f t="shared" si="219"/>
        <v>1.5706514845390247</v>
      </c>
      <c r="T346" s="160" t="str">
        <f t="shared" si="211"/>
        <v>1+33.5226158022409i</v>
      </c>
      <c r="U346" s="160">
        <f t="shared" si="220"/>
        <v>33.537527789398126</v>
      </c>
      <c r="V346" s="160">
        <f t="shared" si="221"/>
        <v>1.5409745628117104</v>
      </c>
      <c r="W346" s="98" t="str">
        <f t="shared" si="212"/>
        <v>1-0.0215751954381982i</v>
      </c>
      <c r="X346" s="160">
        <f t="shared" si="222"/>
        <v>1.0002327174503924</v>
      </c>
      <c r="Y346" s="160">
        <f t="shared" si="223"/>
        <v>-2.1571848700402067E-2</v>
      </c>
      <c r="Z346" s="98" t="str">
        <f t="shared" si="213"/>
        <v>0.854768778091957-0.507186532191513i</v>
      </c>
      <c r="AA346" s="160">
        <f t="shared" si="224"/>
        <v>0.99391541010151851</v>
      </c>
      <c r="AB346" s="160">
        <f t="shared" si="225"/>
        <v>-0.5355236467408655</v>
      </c>
      <c r="AC346" s="171" t="str">
        <f t="shared" si="226"/>
        <v>7.60399022168849+4.00012861256075i</v>
      </c>
      <c r="AD346" s="190">
        <f t="shared" si="227"/>
        <v>18.681840198024073</v>
      </c>
      <c r="AE346" s="169">
        <f t="shared" si="228"/>
        <v>27.74690653696344</v>
      </c>
      <c r="AF346" s="98" t="str">
        <f t="shared" si="214"/>
        <v>-0.0000114342530449913</v>
      </c>
      <c r="AG346" s="98" t="str">
        <f t="shared" si="215"/>
        <v>0.0143728215252107i</v>
      </c>
      <c r="AH346" s="98">
        <f t="shared" si="229"/>
        <v>1.43728215252107E-2</v>
      </c>
      <c r="AI346" s="98">
        <f t="shared" si="230"/>
        <v>1.5707963267948966</v>
      </c>
      <c r="AJ346" s="98" t="str">
        <f t="shared" si="216"/>
        <v>1+0.131641140176587i</v>
      </c>
      <c r="AK346" s="98">
        <f t="shared" si="231"/>
        <v>1.0086274782034206</v>
      </c>
      <c r="AL346" s="98">
        <f t="shared" si="232"/>
        <v>0.13088852996955247</v>
      </c>
      <c r="AM346" s="98" t="str">
        <f t="shared" si="217"/>
        <v>1+316.070377563985i</v>
      </c>
      <c r="AN346" s="98">
        <f t="shared" si="233"/>
        <v>316.07195948619051</v>
      </c>
      <c r="AO346" s="98">
        <f t="shared" si="234"/>
        <v>1.5676324850230945</v>
      </c>
      <c r="AP346" s="168" t="str">
        <f t="shared" si="235"/>
        <v>-0.247062625424277+0.0333191525666569i</v>
      </c>
      <c r="AQ346" s="98">
        <f t="shared" si="236"/>
        <v>-12.065581206563131</v>
      </c>
      <c r="AR346" s="169">
        <f t="shared" si="237"/>
        <v>172.31936486550163</v>
      </c>
      <c r="AS346" s="168" t="str">
        <f t="shared" si="238"/>
        <v>-2.01194268339905-0.734923766742223i</v>
      </c>
      <c r="AT346" s="190">
        <f t="shared" si="239"/>
        <v>6.6162589914609429</v>
      </c>
      <c r="AU346" s="169">
        <f t="shared" si="240"/>
        <v>-159.93372859753495</v>
      </c>
      <c r="AV346" s="225"/>
      <c r="AX346">
        <f t="shared" si="241"/>
        <v>0</v>
      </c>
      <c r="AY346">
        <f t="shared" si="242"/>
        <v>0</v>
      </c>
    </row>
    <row r="347" spans="14:51" x14ac:dyDescent="0.2">
      <c r="N347" s="170">
        <v>29</v>
      </c>
      <c r="O347" s="199">
        <f t="shared" si="208"/>
        <v>19498.445997580486</v>
      </c>
      <c r="P347" s="189" t="str">
        <f t="shared" si="209"/>
        <v>1757.57575757576</v>
      </c>
      <c r="Q347" s="160" t="str">
        <f t="shared" si="210"/>
        <v>1+7064.87881567866i</v>
      </c>
      <c r="R347" s="160">
        <f t="shared" si="218"/>
        <v>7064.8788864512826</v>
      </c>
      <c r="S347" s="160">
        <f t="shared" si="219"/>
        <v>1.5706547815512468</v>
      </c>
      <c r="T347" s="160" t="str">
        <f t="shared" si="211"/>
        <v>1+34.303457833353i</v>
      </c>
      <c r="U347" s="160">
        <f t="shared" si="220"/>
        <v>34.318030528056639</v>
      </c>
      <c r="V347" s="160">
        <f t="shared" si="221"/>
        <v>1.5416530002630782</v>
      </c>
      <c r="W347" s="98" t="str">
        <f t="shared" si="212"/>
        <v>1-0.0220777462989958i</v>
      </c>
      <c r="X347" s="160">
        <f t="shared" si="222"/>
        <v>1.0002436837499364</v>
      </c>
      <c r="Y347" s="160">
        <f t="shared" si="223"/>
        <v>-2.2074160252021403E-2</v>
      </c>
      <c r="Z347" s="98" t="str">
        <f t="shared" si="213"/>
        <v>0.847924241471776-0.519000424170749i</v>
      </c>
      <c r="AA347" s="160">
        <f t="shared" si="224"/>
        <v>0.99415137658452402</v>
      </c>
      <c r="AB347" s="160">
        <f t="shared" si="225"/>
        <v>-0.54925707126851708</v>
      </c>
      <c r="AC347" s="171" t="str">
        <f t="shared" si="226"/>
        <v>7.54577027234075+4.10446987044099i</v>
      </c>
      <c r="AD347" s="190">
        <f t="shared" si="227"/>
        <v>18.67969976416186</v>
      </c>
      <c r="AE347" s="169">
        <f t="shared" si="228"/>
        <v>28.543676166492524</v>
      </c>
      <c r="AF347" s="98" t="str">
        <f t="shared" si="214"/>
        <v>-0.0000114342530449913</v>
      </c>
      <c r="AG347" s="98" t="str">
        <f t="shared" si="215"/>
        <v>0.0147076075460501i</v>
      </c>
      <c r="AH347" s="98">
        <f t="shared" si="229"/>
        <v>1.47076075460501E-2</v>
      </c>
      <c r="AI347" s="98">
        <f t="shared" si="230"/>
        <v>1.5707963267948966</v>
      </c>
      <c r="AJ347" s="98" t="str">
        <f t="shared" si="216"/>
        <v>1+0.134707456238549i</v>
      </c>
      <c r="AK347" s="98">
        <f t="shared" si="231"/>
        <v>1.0090322585359996</v>
      </c>
      <c r="AL347" s="98">
        <f t="shared" si="232"/>
        <v>0.13390140923544125</v>
      </c>
      <c r="AM347" s="98" t="str">
        <f t="shared" si="217"/>
        <v>1+323.432602428756i</v>
      </c>
      <c r="AN347" s="98">
        <f t="shared" si="233"/>
        <v>323.43414834218993</v>
      </c>
      <c r="AO347" s="98">
        <f t="shared" si="234"/>
        <v>1.5677045023899687</v>
      </c>
      <c r="AP347" s="168" t="str">
        <f t="shared" si="235"/>
        <v>-0.24686444339041+0.0340319192082401i</v>
      </c>
      <c r="AQ347" s="98">
        <f t="shared" si="236"/>
        <v>-12.069068267469438</v>
      </c>
      <c r="AR347" s="169">
        <f t="shared" si="237"/>
        <v>172.15086589055727</v>
      </c>
      <c r="AS347" s="168" t="str">
        <f t="shared" si="238"/>
        <v>-2.00246536525681-0.756450625706883i</v>
      </c>
      <c r="AT347" s="190">
        <f t="shared" si="239"/>
        <v>6.6106314966924433</v>
      </c>
      <c r="AU347" s="169">
        <f t="shared" si="240"/>
        <v>-159.30545794295028</v>
      </c>
      <c r="AV347" s="225"/>
      <c r="AX347">
        <f t="shared" si="241"/>
        <v>0</v>
      </c>
      <c r="AY347">
        <f t="shared" si="242"/>
        <v>0</v>
      </c>
    </row>
    <row r="348" spans="14:51" x14ac:dyDescent="0.2">
      <c r="N348" s="170">
        <v>30</v>
      </c>
      <c r="O348" s="199">
        <f t="shared" si="208"/>
        <v>19952.623149688792</v>
      </c>
      <c r="P348" s="189" t="str">
        <f t="shared" si="209"/>
        <v>1757.57575757576</v>
      </c>
      <c r="Q348" s="160" t="str">
        <f t="shared" si="210"/>
        <v>1+7229.44098339674i</v>
      </c>
      <c r="R348" s="160">
        <f t="shared" si="218"/>
        <v>7229.4410525583808</v>
      </c>
      <c r="S348" s="160">
        <f t="shared" si="219"/>
        <v>1.5706580035143112</v>
      </c>
      <c r="T348" s="160" t="str">
        <f t="shared" si="211"/>
        <v>1+35.1024880118685i</v>
      </c>
      <c r="U348" s="160">
        <f t="shared" si="220"/>
        <v>35.116729127630492</v>
      </c>
      <c r="V348" s="160">
        <f t="shared" si="221"/>
        <v>1.5423160205245319</v>
      </c>
      <c r="W348" s="98" t="str">
        <f t="shared" si="212"/>
        <v>1-0.0225920030731148i</v>
      </c>
      <c r="X348" s="160">
        <f t="shared" si="222"/>
        <v>1.0002551667463935</v>
      </c>
      <c r="Y348" s="160">
        <f t="shared" si="223"/>
        <v>-2.2588160607491553E-2</v>
      </c>
      <c r="Z348" s="98" t="str">
        <f t="shared" si="213"/>
        <v>0.840757131778601-0.531089497044667i</v>
      </c>
      <c r="AA348" s="160">
        <f t="shared" si="224"/>
        <v>0.99444889688094951</v>
      </c>
      <c r="AB348" s="160">
        <f t="shared" si="225"/>
        <v>-0.56338852306178722</v>
      </c>
      <c r="AC348" s="171" t="str">
        <f t="shared" si="226"/>
        <v>7.48410579503532+4.21048853605676i</v>
      </c>
      <c r="AD348" s="190">
        <f t="shared" si="227"/>
        <v>18.6770344696763</v>
      </c>
      <c r="AE348" s="169">
        <f t="shared" si="228"/>
        <v>29.361702319430414</v>
      </c>
      <c r="AF348" s="98" t="str">
        <f t="shared" si="214"/>
        <v>-0.0000114342530449913</v>
      </c>
      <c r="AG348" s="98" t="str">
        <f t="shared" si="215"/>
        <v>0.0150501917350886i</v>
      </c>
      <c r="AH348" s="98">
        <f t="shared" si="229"/>
        <v>1.50501917350886E-2</v>
      </c>
      <c r="AI348" s="98">
        <f t="shared" si="230"/>
        <v>1.5707963267948966</v>
      </c>
      <c r="AJ348" s="98" t="str">
        <f t="shared" si="216"/>
        <v>1+0.137845195976874i</v>
      </c>
      <c r="AK348" s="98">
        <f t="shared" si="231"/>
        <v>1.0094559416110753</v>
      </c>
      <c r="AL348" s="98">
        <f t="shared" si="232"/>
        <v>0.13698193741164916</v>
      </c>
      <c r="AM348" s="98" t="str">
        <f t="shared" si="217"/>
        <v>1+330.966315540474i</v>
      </c>
      <c r="AN348" s="98">
        <f t="shared" si="233"/>
        <v>330.96782626478449</v>
      </c>
      <c r="AO348" s="98">
        <f t="shared" si="234"/>
        <v>1.5677748804724236</v>
      </c>
      <c r="AP348" s="168" t="str">
        <f t="shared" si="235"/>
        <v>-0.246657261813178+0.0347602599476381i</v>
      </c>
      <c r="AQ348" s="98">
        <f t="shared" si="236"/>
        <v>-12.072716493179891</v>
      </c>
      <c r="AR348" s="169">
        <f t="shared" si="237"/>
        <v>171.97839699448426</v>
      </c>
      <c r="AS348" s="168" t="str">
        <f t="shared" si="238"/>
        <v>-1.99236671854343-0.778398110288484i</v>
      </c>
      <c r="AT348" s="190">
        <f t="shared" si="239"/>
        <v>6.6043179764963984</v>
      </c>
      <c r="AU348" s="169">
        <f t="shared" si="240"/>
        <v>-158.65990068608528</v>
      </c>
      <c r="AV348" s="225"/>
      <c r="AX348">
        <f t="shared" si="241"/>
        <v>0</v>
      </c>
      <c r="AY348">
        <f t="shared" si="242"/>
        <v>0</v>
      </c>
    </row>
    <row r="349" spans="14:51" x14ac:dyDescent="0.2">
      <c r="N349" s="170">
        <v>31</v>
      </c>
      <c r="O349" s="199">
        <f t="shared" si="208"/>
        <v>20417.379446695286</v>
      </c>
      <c r="P349" s="189" t="str">
        <f t="shared" si="209"/>
        <v>1757.57575757576</v>
      </c>
      <c r="Q349" s="160" t="str">
        <f t="shared" si="210"/>
        <v>1+7397.83629641715i</v>
      </c>
      <c r="R349" s="160">
        <f t="shared" si="218"/>
        <v>7397.836364004479</v>
      </c>
      <c r="S349" s="160">
        <f t="shared" si="219"/>
        <v>1.570661152136545</v>
      </c>
      <c r="T349" s="160" t="str">
        <f t="shared" si="211"/>
        <v>1+35.9201299941641i</v>
      </c>
      <c r="U349" s="160">
        <f t="shared" si="220"/>
        <v>35.934047069564095</v>
      </c>
      <c r="V349" s="160">
        <f t="shared" si="221"/>
        <v>1.5429639728051676</v>
      </c>
      <c r="W349" s="98" t="str">
        <f t="shared" si="212"/>
        <v>1-0.0231182384263035i</v>
      </c>
      <c r="X349" s="160">
        <f t="shared" si="222"/>
        <v>1.0002671907785117</v>
      </c>
      <c r="Y349" s="160">
        <f t="shared" si="223"/>
        <v>-2.3114121209605369E-2</v>
      </c>
      <c r="Z349" s="98" t="str">
        <f t="shared" si="213"/>
        <v>0.833252246611867-0.543460160599716i</v>
      </c>
      <c r="AA349" s="160">
        <f t="shared" si="224"/>
        <v>0.99481568777477214</v>
      </c>
      <c r="AB349" s="160">
        <f t="shared" si="225"/>
        <v>-0.57793122287510168</v>
      </c>
      <c r="AC349" s="171" t="str">
        <f t="shared" si="226"/>
        <v>7.41878881684886+4.31814100879575i</v>
      </c>
      <c r="AD349" s="190">
        <f t="shared" si="227"/>
        <v>18.673777280101859</v>
      </c>
      <c r="AE349" s="169">
        <f t="shared" si="228"/>
        <v>30.201746847008739</v>
      </c>
      <c r="AF349" s="98" t="str">
        <f t="shared" si="214"/>
        <v>-0.0000114342530449913</v>
      </c>
      <c r="AG349" s="98" t="str">
        <f t="shared" si="215"/>
        <v>0.0154007557349979i</v>
      </c>
      <c r="AH349" s="98">
        <f t="shared" si="229"/>
        <v>1.54007557349979E-2</v>
      </c>
      <c r="AI349" s="98">
        <f t="shared" si="230"/>
        <v>1.5707963267948966</v>
      </c>
      <c r="AJ349" s="98" t="str">
        <f t="shared" si="216"/>
        <v>1+0.141056023062702i</v>
      </c>
      <c r="AK349" s="98">
        <f t="shared" si="231"/>
        <v>1.0098994017436913</v>
      </c>
      <c r="AL349" s="98">
        <f t="shared" si="232"/>
        <v>0.14013151384657052</v>
      </c>
      <c r="AM349" s="98" t="str">
        <f t="shared" si="217"/>
        <v>1+338.675511373547i</v>
      </c>
      <c r="AN349" s="98">
        <f t="shared" si="233"/>
        <v>338.67698770972549</v>
      </c>
      <c r="AO349" s="98">
        <f t="shared" si="234"/>
        <v>1.56784365658306</v>
      </c>
      <c r="AP349" s="168" t="str">
        <f t="shared" si="235"/>
        <v>-0.246440688467037+0.0355043909653068i</v>
      </c>
      <c r="AQ349" s="98">
        <f t="shared" si="236"/>
        <v>-12.076533203828374</v>
      </c>
      <c r="AR349" s="169">
        <f t="shared" si="237"/>
        <v>171.80188013838023</v>
      </c>
      <c r="AS349" s="168" t="str">
        <f t="shared" si="238"/>
        <v>-1.9816043902354-0.800766064462923i</v>
      </c>
      <c r="AT349" s="190">
        <f t="shared" si="239"/>
        <v>6.5972440762734976</v>
      </c>
      <c r="AU349" s="169">
        <f t="shared" si="240"/>
        <v>-157.99637301461107</v>
      </c>
      <c r="AV349" s="225"/>
      <c r="AX349">
        <f t="shared" si="241"/>
        <v>0</v>
      </c>
      <c r="AY349">
        <f t="shared" si="242"/>
        <v>0</v>
      </c>
    </row>
    <row r="350" spans="14:51" x14ac:dyDescent="0.2">
      <c r="N350" s="170">
        <v>32</v>
      </c>
      <c r="O350" s="199">
        <f t="shared" si="208"/>
        <v>20892.961308540423</v>
      </c>
      <c r="P350" s="189" t="str">
        <f t="shared" si="209"/>
        <v>1757.57575757576</v>
      </c>
      <c r="Q350" s="160" t="str">
        <f t="shared" si="210"/>
        <v>1+7570.15404016392i</v>
      </c>
      <c r="R350" s="160">
        <f t="shared" si="218"/>
        <v>7570.1541062127735</v>
      </c>
      <c r="S350" s="160">
        <f t="shared" si="219"/>
        <v>1.5706642290873893</v>
      </c>
      <c r="T350" s="160" t="str">
        <f t="shared" si="211"/>
        <v>1+36.7568173048421i</v>
      </c>
      <c r="U350" s="160">
        <f t="shared" si="220"/>
        <v>36.770417707466144</v>
      </c>
      <c r="V350" s="160">
        <f t="shared" si="221"/>
        <v>1.5435971984803145</v>
      </c>
      <c r="W350" s="98" t="str">
        <f t="shared" si="212"/>
        <v>1-0.0236567313755122i</v>
      </c>
      <c r="X350" s="160">
        <f t="shared" si="222"/>
        <v>1.0002797813308899</v>
      </c>
      <c r="Y350" s="160">
        <f t="shared" si="223"/>
        <v>-2.365231976497837E-2</v>
      </c>
      <c r="Z350" s="98" t="str">
        <f t="shared" si="213"/>
        <v>0.825393667103932-0.556118973925466i</v>
      </c>
      <c r="AA350" s="160">
        <f t="shared" si="224"/>
        <v>0.99526027694025343</v>
      </c>
      <c r="AB350" s="160">
        <f t="shared" si="225"/>
        <v>-0.59289875626069144</v>
      </c>
      <c r="AC350" s="171" t="str">
        <f t="shared" si="226"/>
        <v>7.34960089753828+4.4273702128401i</v>
      </c>
      <c r="AD350" s="190">
        <f t="shared" si="227"/>
        <v>18.669854325971553</v>
      </c>
      <c r="AE350" s="169">
        <f t="shared" si="228"/>
        <v>31.064591696329384</v>
      </c>
      <c r="AF350" s="98" t="str">
        <f t="shared" si="214"/>
        <v>-0.0000114342530449913</v>
      </c>
      <c r="AG350" s="98" t="str">
        <f t="shared" si="215"/>
        <v>0.015759485419451i</v>
      </c>
      <c r="AH350" s="98">
        <f t="shared" si="229"/>
        <v>1.5759485419450998E-2</v>
      </c>
      <c r="AI350" s="98">
        <f t="shared" si="230"/>
        <v>1.5707963267948966</v>
      </c>
      <c r="AJ350" s="98" t="str">
        <f t="shared" si="216"/>
        <v>1+0.144341639919056i</v>
      </c>
      <c r="AK350" s="98">
        <f t="shared" si="231"/>
        <v>1.0103635528929784</v>
      </c>
      <c r="AL350" s="98">
        <f t="shared" si="232"/>
        <v>0.14335155840999006</v>
      </c>
      <c r="AM350" s="98" t="str">
        <f t="shared" si="217"/>
        <v>1+346.564277445653i</v>
      </c>
      <c r="AN350" s="98">
        <f t="shared" si="233"/>
        <v>346.5657201764588</v>
      </c>
      <c r="AO350" s="98">
        <f t="shared" si="234"/>
        <v>1.5679108671852779</v>
      </c>
      <c r="AP350" s="168" t="str">
        <f t="shared" si="235"/>
        <v>-0.246214315584501+0.0362645254432655i</v>
      </c>
      <c r="AQ350" s="98">
        <f t="shared" si="236"/>
        <v>-12.080526037625281</v>
      </c>
      <c r="AR350" s="169">
        <f t="shared" si="237"/>
        <v>171.62123605889786</v>
      </c>
      <c r="AS350" s="168" t="str">
        <f t="shared" si="238"/>
        <v>-1.97013343453692-0.823552138047008i</v>
      </c>
      <c r="AT350" s="190">
        <f t="shared" si="239"/>
        <v>6.5893282883462856</v>
      </c>
      <c r="AU350" s="169">
        <f t="shared" si="240"/>
        <v>-157.31417224477278</v>
      </c>
      <c r="AV350" s="225"/>
      <c r="AX350">
        <f t="shared" si="241"/>
        <v>0</v>
      </c>
      <c r="AY350">
        <f t="shared" si="242"/>
        <v>0</v>
      </c>
    </row>
    <row r="351" spans="14:51" x14ac:dyDescent="0.2">
      <c r="N351" s="170">
        <v>33</v>
      </c>
      <c r="O351" s="199">
        <f t="shared" si="208"/>
        <v>21379.620895022348</v>
      </c>
      <c r="P351" s="189" t="str">
        <f t="shared" si="209"/>
        <v>1757.57575757576</v>
      </c>
      <c r="Q351" s="160" t="str">
        <f t="shared" si="210"/>
        <v>1+7746.48557978555i</v>
      </c>
      <c r="R351" s="160">
        <f t="shared" si="218"/>
        <v>7746.4856443309482</v>
      </c>
      <c r="S351" s="160">
        <f t="shared" si="219"/>
        <v>1.5706672359982836</v>
      </c>
      <c r="T351" s="160" t="str">
        <f t="shared" si="211"/>
        <v>1+37.6129935665887i</v>
      </c>
      <c r="U351" s="160">
        <f t="shared" si="220"/>
        <v>37.626284496881205</v>
      </c>
      <c r="V351" s="160">
        <f t="shared" si="221"/>
        <v>1.5442160312621838</v>
      </c>
      <c r="W351" s="98" t="str">
        <f t="shared" si="212"/>
        <v>1-0.0242077674368298i</v>
      </c>
      <c r="X351" s="160">
        <f t="shared" si="222"/>
        <v>1.0002929650878665</v>
      </c>
      <c r="Y351" s="160">
        <f t="shared" si="223"/>
        <v>-2.4203040385746482E-2</v>
      </c>
      <c r="Z351" s="98" t="str">
        <f t="shared" si="213"/>
        <v>0.817164724154049-0.569072648892292i</v>
      </c>
      <c r="AA351" s="160">
        <f t="shared" si="224"/>
        <v>0.99579207976316664</v>
      </c>
      <c r="AB351" s="160">
        <f t="shared" si="225"/>
        <v>-0.60830505566610582</v>
      </c>
      <c r="AC351" s="171" t="str">
        <f t="shared" si="226"/>
        <v>7.27631318568389+4.53810386189014i</v>
      </c>
      <c r="AD351" s="190">
        <f t="shared" si="227"/>
        <v>18.665184300160885</v>
      </c>
      <c r="AE351" s="169">
        <f t="shared" si="228"/>
        <v>31.951037886235557</v>
      </c>
      <c r="AF351" s="98" t="str">
        <f t="shared" si="214"/>
        <v>-0.0000114342530449913</v>
      </c>
      <c r="AG351" s="98" t="str">
        <f t="shared" si="215"/>
        <v>0.0161265709916749i</v>
      </c>
      <c r="AH351" s="98">
        <f t="shared" si="229"/>
        <v>1.6126570991674902E-2</v>
      </c>
      <c r="AI351" s="98">
        <f t="shared" si="230"/>
        <v>1.5707963267948966</v>
      </c>
      <c r="AJ351" s="98" t="str">
        <f t="shared" si="216"/>
        <v>1+0.147703788623482i</v>
      </c>
      <c r="AK351" s="98">
        <f t="shared" si="231"/>
        <v>1.0108493503849771</v>
      </c>
      <c r="AL351" s="98">
        <f t="shared" si="232"/>
        <v>0.14664351117149219</v>
      </c>
      <c r="AM351" s="98" t="str">
        <f t="shared" si="217"/>
        <v>1+354.636796484979i</v>
      </c>
      <c r="AN351" s="98">
        <f t="shared" si="233"/>
        <v>354.6382063753544</v>
      </c>
      <c r="AO351" s="98">
        <f t="shared" si="234"/>
        <v>1.5679765479125982</v>
      </c>
      <c r="AP351" s="168" t="str">
        <f t="shared" si="235"/>
        <v>-0.245977719388256+0.0370408729566123i</v>
      </c>
      <c r="AQ351" s="98">
        <f t="shared" si="236"/>
        <v>-12.084702963419087</v>
      </c>
      <c r="AR351" s="169">
        <f t="shared" si="237"/>
        <v>171.43638428777814</v>
      </c>
      <c r="AS351" s="168" t="str">
        <f t="shared" si="238"/>
        <v>-1.9579062515814-0.846751445991334i</v>
      </c>
      <c r="AT351" s="190">
        <f t="shared" si="239"/>
        <v>6.5804813367417871</v>
      </c>
      <c r="AU351" s="169">
        <f t="shared" si="240"/>
        <v>-156.61257782598625</v>
      </c>
      <c r="AV351" s="225"/>
      <c r="AX351">
        <f t="shared" si="241"/>
        <v>0</v>
      </c>
      <c r="AY351">
        <f t="shared" si="242"/>
        <v>0</v>
      </c>
    </row>
    <row r="352" spans="14:51" x14ac:dyDescent="0.2">
      <c r="N352" s="170">
        <v>34</v>
      </c>
      <c r="O352" s="199">
        <f t="shared" si="208"/>
        <v>21877.61623949555</v>
      </c>
      <c r="P352" s="189" t="str">
        <f t="shared" si="209"/>
        <v>1757.57575757576</v>
      </c>
      <c r="Q352" s="160" t="str">
        <f t="shared" si="210"/>
        <v>1+7926.92440859848i</v>
      </c>
      <c r="R352" s="160">
        <f t="shared" si="218"/>
        <v>7926.9244716746452</v>
      </c>
      <c r="S352" s="160">
        <f t="shared" si="219"/>
        <v>1.5706701744635321</v>
      </c>
      <c r="T352" s="160" t="str">
        <f t="shared" si="211"/>
        <v>1+38.4891127353914i</v>
      </c>
      <c r="U352" s="160">
        <f t="shared" si="220"/>
        <v>38.50210123042207</v>
      </c>
      <c r="V352" s="160">
        <f t="shared" si="221"/>
        <v>1.5448207973671464</v>
      </c>
      <c r="W352" s="98" t="str">
        <f t="shared" si="212"/>
        <v>1-0.0247716387768702i</v>
      </c>
      <c r="X352" s="160">
        <f t="shared" si="222"/>
        <v>1.0003067699899324</v>
      </c>
      <c r="Y352" s="160">
        <f t="shared" si="223"/>
        <v>-2.4766573734268646E-2</v>
      </c>
      <c r="Z352" s="98" t="str">
        <f t="shared" si="213"/>
        <v>0.808547963070944-0.582328053710129i</v>
      </c>
      <c r="AA352" s="160">
        <f t="shared" si="224"/>
        <v>0.99642148246813678</v>
      </c>
      <c r="AB352" s="160">
        <f t="shared" si="225"/>
        <v>-0.62416437638714473</v>
      </c>
      <c r="AC352" s="171" t="str">
        <f t="shared" si="226"/>
        <v>7.19868662315835+4.65025256443067i</v>
      </c>
      <c r="AD352" s="190">
        <f t="shared" si="227"/>
        <v>18.659677817736302</v>
      </c>
      <c r="AE352" s="169">
        <f t="shared" si="228"/>
        <v>32.861904130760202</v>
      </c>
      <c r="AF352" s="98" t="str">
        <f t="shared" si="214"/>
        <v>-0.0000114342530449913</v>
      </c>
      <c r="AG352" s="98" t="str">
        <f t="shared" si="215"/>
        <v>0.016502207085299i</v>
      </c>
      <c r="AH352" s="98">
        <f t="shared" si="229"/>
        <v>1.6502207085298998E-2</v>
      </c>
      <c r="AI352" s="98">
        <f t="shared" si="230"/>
        <v>1.5707963267948966</v>
      </c>
      <c r="AJ352" s="98" t="str">
        <f t="shared" si="216"/>
        <v>1+0.151144251831727i</v>
      </c>
      <c r="AK352" s="98">
        <f t="shared" si="231"/>
        <v>1.0113577927033401</v>
      </c>
      <c r="AL352" s="98">
        <f t="shared" si="232"/>
        <v>0.15000883202162349</v>
      </c>
      <c r="AM352" s="98" t="str">
        <f t="shared" si="217"/>
        <v>1+362.897348647975i</v>
      </c>
      <c r="AN352" s="98">
        <f t="shared" si="233"/>
        <v>362.89872644545051</v>
      </c>
      <c r="AO352" s="98">
        <f t="shared" si="234"/>
        <v>1.5680407335875437</v>
      </c>
      <c r="AP352" s="168" t="str">
        <f t="shared" si="235"/>
        <v>-0.245730459624046+0.0378336388219897i</v>
      </c>
      <c r="AQ352" s="98">
        <f t="shared" si="236"/>
        <v>-12.08907229362903</v>
      </c>
      <c r="AR352" s="169">
        <f t="shared" si="237"/>
        <v>171.24724317463779</v>
      </c>
      <c r="AS352" s="168" t="str">
        <f t="shared" si="238"/>
        <v>-1.94487254855187-0.870356190332185i</v>
      </c>
      <c r="AT352" s="190">
        <f t="shared" si="239"/>
        <v>6.5706055241072523</v>
      </c>
      <c r="AU352" s="169">
        <f t="shared" si="240"/>
        <v>-155.89085269460196</v>
      </c>
      <c r="AV352" s="225"/>
      <c r="AX352">
        <f t="shared" si="241"/>
        <v>0</v>
      </c>
      <c r="AY352">
        <f t="shared" si="242"/>
        <v>0</v>
      </c>
    </row>
    <row r="353" spans="14:51" x14ac:dyDescent="0.2">
      <c r="N353" s="170">
        <v>35</v>
      </c>
      <c r="O353" s="199">
        <f t="shared" si="208"/>
        <v>22387.211385683382</v>
      </c>
      <c r="P353" s="189" t="str">
        <f t="shared" si="209"/>
        <v>1757.57575757576</v>
      </c>
      <c r="Q353" s="160" t="str">
        <f t="shared" si="210"/>
        <v>1+8111.56619765805i</v>
      </c>
      <c r="R353" s="160">
        <f t="shared" si="218"/>
        <v>8111.5662592984263</v>
      </c>
      <c r="S353" s="160">
        <f t="shared" si="219"/>
        <v>1.5706730460411473</v>
      </c>
      <c r="T353" s="160" t="str">
        <f t="shared" si="211"/>
        <v>1+39.3856393412297i</v>
      </c>
      <c r="U353" s="160">
        <f t="shared" si="220"/>
        <v>39.398332278377225</v>
      </c>
      <c r="V353" s="160">
        <f t="shared" si="221"/>
        <v>1.5454118156796754</v>
      </c>
      <c r="W353" s="98" t="str">
        <f t="shared" si="212"/>
        <v>1-0.0253486443676813i</v>
      </c>
      <c r="X353" s="160">
        <f t="shared" si="222"/>
        <v>1.0003212252927951</v>
      </c>
      <c r="Y353" s="160">
        <f t="shared" si="223"/>
        <v>-2.5343217170875405E-2</v>
      </c>
      <c r="Z353" s="98" t="str">
        <f t="shared" si="213"/>
        <v>0.799525106549092-0.595892216570062i</v>
      </c>
      <c r="AA353" s="160">
        <f t="shared" si="224"/>
        <v>0.99715993189213059</v>
      </c>
      <c r="AB353" s="160">
        <f t="shared" si="225"/>
        <v>-0.64049126542819579</v>
      </c>
      <c r="AC353" s="171" t="str">
        <f t="shared" si="226"/>
        <v>7.11647233020864+4.7637077667128i</v>
      </c>
      <c r="AD353" s="190">
        <f t="shared" si="227"/>
        <v>18.653236739253302</v>
      </c>
      <c r="AE353" s="169">
        <f t="shared" si="228"/>
        <v>33.798025055834245</v>
      </c>
      <c r="AF353" s="98" t="str">
        <f t="shared" si="214"/>
        <v>-0.0000114342530449913</v>
      </c>
      <c r="AG353" s="98" t="str">
        <f t="shared" si="215"/>
        <v>0.0168865928675523i</v>
      </c>
      <c r="AH353" s="98">
        <f t="shared" si="229"/>
        <v>1.68865928675523E-2</v>
      </c>
      <c r="AI353" s="98">
        <f t="shared" si="230"/>
        <v>1.5707963267948966</v>
      </c>
      <c r="AJ353" s="98" t="str">
        <f t="shared" si="216"/>
        <v>1+0.154664853722923i</v>
      </c>
      <c r="AK353" s="98">
        <f t="shared" si="231"/>
        <v>1.011889923349933</v>
      </c>
      <c r="AL353" s="98">
        <f t="shared" si="232"/>
        <v>0.15344900023173483</v>
      </c>
      <c r="AM353" s="98" t="str">
        <f t="shared" si="217"/>
        <v>1+371.350313788737i</v>
      </c>
      <c r="AN353" s="98">
        <f t="shared" si="233"/>
        <v>371.35166022382805</v>
      </c>
      <c r="AO353" s="98">
        <f t="shared" si="234"/>
        <v>1.5681034582400921</v>
      </c>
      <c r="AP353" s="168" t="str">
        <f t="shared" si="235"/>
        <v>-0.245472079096162+0.0386430234008554i</v>
      </c>
      <c r="AQ353" s="98">
        <f t="shared" si="236"/>
        <v>-12.093642697548546</v>
      </c>
      <c r="AR353" s="169">
        <f t="shared" si="237"/>
        <v>171.05372991324583</v>
      </c>
      <c r="AS353" s="168" t="str">
        <f t="shared" si="238"/>
        <v>-1.93097932943054-0.894355242913733i</v>
      </c>
      <c r="AT353" s="190">
        <f t="shared" si="239"/>
        <v>6.5595940417047487</v>
      </c>
      <c r="AU353" s="169">
        <f t="shared" si="240"/>
        <v>-155.1482450309199</v>
      </c>
      <c r="AV353" s="225"/>
      <c r="AX353">
        <f t="shared" si="241"/>
        <v>0</v>
      </c>
      <c r="AY353">
        <f t="shared" si="242"/>
        <v>0</v>
      </c>
    </row>
    <row r="354" spans="14:51" x14ac:dyDescent="0.2">
      <c r="N354" s="170">
        <v>36</v>
      </c>
      <c r="O354" s="199">
        <f t="shared" si="208"/>
        <v>22908.676527677751</v>
      </c>
      <c r="P354" s="189" t="str">
        <f t="shared" si="209"/>
        <v>1757.57575757576</v>
      </c>
      <c r="Q354" s="160" t="str">
        <f t="shared" si="210"/>
        <v>1+8300.50884648497i</v>
      </c>
      <c r="R354" s="160">
        <f t="shared" si="218"/>
        <v>8300.5089067222416</v>
      </c>
      <c r="S354" s="160">
        <f t="shared" si="219"/>
        <v>1.5706758522536779</v>
      </c>
      <c r="T354" s="160" t="str">
        <f t="shared" si="211"/>
        <v>1+40.3030487343778i</v>
      </c>
      <c r="U354" s="160">
        <f t="shared" si="220"/>
        <v>40.315452834932067</v>
      </c>
      <c r="V354" s="160">
        <f t="shared" si="221"/>
        <v>1.5459893979130039</v>
      </c>
      <c r="W354" s="98" t="str">
        <f t="shared" si="212"/>
        <v>1-0.0259390901452655i</v>
      </c>
      <c r="X354" s="160">
        <f t="shared" si="222"/>
        <v>1.0003363616292094</v>
      </c>
      <c r="Y354" s="160">
        <f t="shared" si="223"/>
        <v>-2.5933274904718528E-2</v>
      </c>
      <c r="Z354" s="98" t="str">
        <f t="shared" si="213"/>
        <v>0.790077015900089-0.609772329370794i</v>
      </c>
      <c r="AA354" s="160">
        <f t="shared" si="224"/>
        <v>0.99802003222373925</v>
      </c>
      <c r="AB354" s="160">
        <f t="shared" si="225"/>
        <v>-0.65730052222864843</v>
      </c>
      <c r="AC354" s="171" t="str">
        <f t="shared" si="226"/>
        <v>7.02941220785098+4.87833953407136i</v>
      </c>
      <c r="AD354" s="190">
        <f t="shared" si="227"/>
        <v>18.645753459392555</v>
      </c>
      <c r="AE354" s="169">
        <f t="shared" si="228"/>
        <v>34.760248949590554</v>
      </c>
      <c r="AF354" s="98" t="str">
        <f t="shared" si="214"/>
        <v>-0.0000114342530449913</v>
      </c>
      <c r="AG354" s="98" t="str">
        <f t="shared" si="215"/>
        <v>0.0172799321448644i</v>
      </c>
      <c r="AH354" s="98">
        <f t="shared" si="229"/>
        <v>1.72799321448644E-2</v>
      </c>
      <c r="AI354" s="98">
        <f t="shared" si="230"/>
        <v>1.5707963267948966</v>
      </c>
      <c r="AJ354" s="98" t="str">
        <f t="shared" si="216"/>
        <v>1+0.158267460966796i</v>
      </c>
      <c r="AK354" s="98">
        <f t="shared" si="231"/>
        <v>1.0124468327773446</v>
      </c>
      <c r="AL354" s="98">
        <f t="shared" si="232"/>
        <v>0.15696551394827271</v>
      </c>
      <c r="AM354" s="98" t="str">
        <f t="shared" si="217"/>
        <v>1+380.000173781276i</v>
      </c>
      <c r="AN354" s="98">
        <f t="shared" si="233"/>
        <v>380.0014895678699</v>
      </c>
      <c r="AO354" s="98">
        <f t="shared" si="234"/>
        <v>1.5681647551257092</v>
      </c>
      <c r="AP354" s="168" t="str">
        <f t="shared" si="235"/>
        <v>-0.245202103207613+0.0394692213554018i</v>
      </c>
      <c r="AQ354" s="98">
        <f t="shared" si="236"/>
        <v>-12.098423215016394</v>
      </c>
      <c r="AR354" s="169">
        <f t="shared" si="237"/>
        <v>170.85576057153148</v>
      </c>
      <c r="AS354" s="168" t="str">
        <f t="shared" si="238"/>
        <v>-1.9161709205954-0.91873368748511i</v>
      </c>
      <c r="AT354" s="190">
        <f t="shared" si="239"/>
        <v>6.547330244376159</v>
      </c>
      <c r="AU354" s="169">
        <f t="shared" si="240"/>
        <v>-154.38399047887796</v>
      </c>
      <c r="AV354" s="225"/>
      <c r="AX354">
        <f t="shared" si="241"/>
        <v>0</v>
      </c>
      <c r="AY354">
        <f t="shared" si="242"/>
        <v>0</v>
      </c>
    </row>
    <row r="355" spans="14:51" x14ac:dyDescent="0.2">
      <c r="N355" s="170">
        <v>37</v>
      </c>
      <c r="O355" s="199">
        <f t="shared" si="208"/>
        <v>23442.288153199243</v>
      </c>
      <c r="P355" s="189" t="str">
        <f t="shared" si="209"/>
        <v>1757.57575757576</v>
      </c>
      <c r="Q355" s="160" t="str">
        <f t="shared" si="210"/>
        <v>1+8493.85253497249i</v>
      </c>
      <c r="R355" s="160">
        <f t="shared" si="218"/>
        <v>8493.8525938385937</v>
      </c>
      <c r="S355" s="160">
        <f t="shared" si="219"/>
        <v>1.5706785945890145</v>
      </c>
      <c r="T355" s="160" t="str">
        <f t="shared" si="211"/>
        <v>1+41.2418273374386i</v>
      </c>
      <c r="U355" s="160">
        <f t="shared" si="220"/>
        <v>41.253949170123072</v>
      </c>
      <c r="V355" s="160">
        <f t="shared" si="221"/>
        <v>1.5465538487665365</v>
      </c>
      <c r="W355" s="98" t="str">
        <f t="shared" si="212"/>
        <v>1-0.026543289171789i</v>
      </c>
      <c r="X355" s="160">
        <f t="shared" si="222"/>
        <v>1.0003522110737084</v>
      </c>
      <c r="Y355" s="160">
        <f t="shared" si="223"/>
        <v>-2.6537058147762565E-2</v>
      </c>
      <c r="Z355" s="98" t="str">
        <f t="shared" si="213"/>
        <v>0.780183650456948-0.623975751531846i</v>
      </c>
      <c r="AA355" s="160">
        <f t="shared" si="224"/>
        <v>0.9990156489965818</v>
      </c>
      <c r="AB355" s="160">
        <f t="shared" si="225"/>
        <v>-0.67460715012136918</v>
      </c>
      <c r="AC355" s="171" t="str">
        <f t="shared" si="226"/>
        <v>6.93723979884921+4.99399417573347i</v>
      </c>
      <c r="AD355" s="190">
        <f t="shared" si="227"/>
        <v>18.63711016398025</v>
      </c>
      <c r="AE355" s="169">
        <f t="shared" si="228"/>
        <v>35.749434981288843</v>
      </c>
      <c r="AF355" s="98" t="str">
        <f t="shared" si="214"/>
        <v>-0.0000114342530449913</v>
      </c>
      <c r="AG355" s="98" t="str">
        <f t="shared" si="215"/>
        <v>0.0176824334709267i</v>
      </c>
      <c r="AH355" s="98">
        <f t="shared" si="229"/>
        <v>1.7682433470926701E-2</v>
      </c>
      <c r="AI355" s="98">
        <f t="shared" si="230"/>
        <v>1.5707963267948966</v>
      </c>
      <c r="AJ355" s="98" t="str">
        <f t="shared" si="216"/>
        <v>1+0.16195398371339i</v>
      </c>
      <c r="AK355" s="98">
        <f t="shared" si="231"/>
        <v>1.0130296603953099</v>
      </c>
      <c r="AL355" s="98">
        <f t="shared" si="232"/>
        <v>0.16055988961704876</v>
      </c>
      <c r="AM355" s="98" t="str">
        <f t="shared" si="217"/>
        <v>1+388.851514895849i</v>
      </c>
      <c r="AN355" s="98">
        <f t="shared" si="233"/>
        <v>388.85280073158356</v>
      </c>
      <c r="AO355" s="98">
        <f t="shared" si="234"/>
        <v>1.5682246567429714</v>
      </c>
      <c r="AP355" s="168" t="str">
        <f t="shared" si="235"/>
        <v>-0.244920039507282+0.0403124208549292i</v>
      </c>
      <c r="AQ355" s="98">
        <f t="shared" si="236"/>
        <v>-12.103423270450868</v>
      </c>
      <c r="AR355" s="169">
        <f t="shared" si="237"/>
        <v>170.6532501255812</v>
      </c>
      <c r="AS355" s="168" t="str">
        <f t="shared" si="238"/>
        <v>-1.90038904056487-0.943472320477004i</v>
      </c>
      <c r="AT355" s="190">
        <f t="shared" si="239"/>
        <v>6.5336868935293779</v>
      </c>
      <c r="AU355" s="169">
        <f t="shared" si="240"/>
        <v>-153.59731489312995</v>
      </c>
      <c r="AV355" s="225"/>
      <c r="AX355">
        <f t="shared" si="241"/>
        <v>0</v>
      </c>
      <c r="AY355">
        <f t="shared" si="242"/>
        <v>0</v>
      </c>
    </row>
    <row r="356" spans="14:51" x14ac:dyDescent="0.2">
      <c r="N356" s="170">
        <v>38</v>
      </c>
      <c r="O356" s="199">
        <f t="shared" si="208"/>
        <v>23988.329190194923</v>
      </c>
      <c r="P356" s="189" t="str">
        <f t="shared" si="209"/>
        <v>1757.57575757576</v>
      </c>
      <c r="Q356" s="160" t="str">
        <f t="shared" si="210"/>
        <v>1+8691.69977650344i</v>
      </c>
      <c r="R356" s="160">
        <f t="shared" si="218"/>
        <v>8691.699834029585</v>
      </c>
      <c r="S356" s="160">
        <f t="shared" si="219"/>
        <v>1.5706812745011796</v>
      </c>
      <c r="T356" s="160" t="str">
        <f t="shared" si="211"/>
        <v>1+42.2024729032536i</v>
      </c>
      <c r="U356" s="160">
        <f t="shared" si="220"/>
        <v>42.214318887669556</v>
      </c>
      <c r="V356" s="160">
        <f t="shared" si="221"/>
        <v>1.5471054660800687</v>
      </c>
      <c r="W356" s="98" t="str">
        <f t="shared" si="212"/>
        <v>1-0.0271615618015732i</v>
      </c>
      <c r="X356" s="160">
        <f t="shared" si="222"/>
        <v>1.0003688072103711</v>
      </c>
      <c r="Y356" s="160">
        <f t="shared" si="223"/>
        <v>-2.7154885271972826E-2</v>
      </c>
      <c r="Z356" s="98" t="str">
        <f t="shared" si="213"/>
        <v>0.769824025065136-0.638510013895653i</v>
      </c>
      <c r="AA356" s="160">
        <f t="shared" si="224"/>
        <v>1.0001620205809227</v>
      </c>
      <c r="AB356" s="160">
        <f t="shared" si="225"/>
        <v>-0.69242629730188998</v>
      </c>
      <c r="AC356" s="171" t="str">
        <f t="shared" si="226"/>
        <v>6.83968145312637+5.11049172410524i</v>
      </c>
      <c r="AD356" s="190">
        <f t="shared" si="227"/>
        <v>18.627178059843889</v>
      </c>
      <c r="AE356" s="169">
        <f t="shared" si="228"/>
        <v>36.766449818884446</v>
      </c>
      <c r="AF356" s="98" t="str">
        <f t="shared" si="214"/>
        <v>-0.0000114342530449913</v>
      </c>
      <c r="AG356" s="98" t="str">
        <f t="shared" si="215"/>
        <v>0.01809431025727i</v>
      </c>
      <c r="AH356" s="98">
        <f t="shared" si="229"/>
        <v>1.8094310257269999E-2</v>
      </c>
      <c r="AI356" s="98">
        <f t="shared" si="230"/>
        <v>1.5707963267948966</v>
      </c>
      <c r="AJ356" s="98" t="str">
        <f t="shared" si="216"/>
        <v>1+0.165726376605863i</v>
      </c>
      <c r="AK356" s="98">
        <f t="shared" si="231"/>
        <v>1.0136395966530256</v>
      </c>
      <c r="AL356" s="98">
        <f t="shared" si="232"/>
        <v>0.16423366133287143</v>
      </c>
      <c r="AM356" s="98" t="str">
        <f t="shared" si="217"/>
        <v>1+397.909030230677i</v>
      </c>
      <c r="AN356" s="98">
        <f t="shared" si="233"/>
        <v>397.91028679731039</v>
      </c>
      <c r="AO356" s="98">
        <f t="shared" si="234"/>
        <v>1.5682831948507887</v>
      </c>
      <c r="AP356" s="168" t="str">
        <f t="shared" si="235"/>
        <v>-0.244625377246635+0.0411728027304943i</v>
      </c>
      <c r="AQ356" s="98">
        <f t="shared" si="236"/>
        <v>-12.10865268723969</v>
      </c>
      <c r="AR356" s="169">
        <f t="shared" si="237"/>
        <v>170.44611249788863</v>
      </c>
      <c r="AS356" s="168" t="str">
        <f t="shared" si="238"/>
        <v>-1.88357292333026-0.968547110716058i</v>
      </c>
      <c r="AT356" s="190">
        <f t="shared" si="239"/>
        <v>6.5185253726042003</v>
      </c>
      <c r="AU356" s="169">
        <f t="shared" si="240"/>
        <v>-152.7874376832269</v>
      </c>
      <c r="AV356" s="225"/>
      <c r="AX356">
        <f t="shared" si="241"/>
        <v>0</v>
      </c>
      <c r="AY356">
        <f t="shared" si="242"/>
        <v>0</v>
      </c>
    </row>
    <row r="357" spans="14:51" x14ac:dyDescent="0.2">
      <c r="N357" s="170">
        <v>39</v>
      </c>
      <c r="O357" s="199">
        <f t="shared" si="208"/>
        <v>24547.089156850321</v>
      </c>
      <c r="P357" s="189" t="str">
        <f t="shared" si="209"/>
        <v>1757.57575757576</v>
      </c>
      <c r="Q357" s="160" t="str">
        <f t="shared" si="210"/>
        <v>1+8894.15547230415i</v>
      </c>
      <c r="R357" s="160">
        <f t="shared" si="218"/>
        <v>8894.1555285208415</v>
      </c>
      <c r="S357" s="160">
        <f t="shared" si="219"/>
        <v>1.5706838934110976</v>
      </c>
      <c r="T357" s="160" t="str">
        <f t="shared" si="211"/>
        <v>1+43.1854947788177i</v>
      </c>
      <c r="U357" s="160">
        <f t="shared" si="220"/>
        <v>43.197071188811982</v>
      </c>
      <c r="V357" s="160">
        <f t="shared" si="221"/>
        <v>1.5476445409848565</v>
      </c>
      <c r="W357" s="98" t="str">
        <f t="shared" si="212"/>
        <v>1-0.0277942358509504i</v>
      </c>
      <c r="X357" s="160">
        <f t="shared" si="222"/>
        <v>1.0003861852037632</v>
      </c>
      <c r="Y357" s="160">
        <f t="shared" si="223"/>
        <v>-2.7787081969740286E-2</v>
      </c>
      <c r="Z357" s="98" t="str">
        <f t="shared" si="213"/>
        <v>0.758976165570257-0.653382822720508i</v>
      </c>
      <c r="AA357" s="160">
        <f t="shared" si="224"/>
        <v>1.0014758773579866</v>
      </c>
      <c r="AB357" s="160">
        <f t="shared" si="225"/>
        <v>-0.71077318600859851</v>
      </c>
      <c r="AC357" s="171" t="str">
        <f t="shared" si="226"/>
        <v>6.73645784784326+5.22762328684633i</v>
      </c>
      <c r="AD357" s="190">
        <f t="shared" si="227"/>
        <v>18.615816583633094</v>
      </c>
      <c r="AE357" s="169">
        <f t="shared" si="228"/>
        <v>37.812163570771403</v>
      </c>
      <c r="AF357" s="98" t="str">
        <f t="shared" si="214"/>
        <v>-0.0000114342530449913</v>
      </c>
      <c r="AG357" s="98" t="str">
        <f t="shared" si="215"/>
        <v>0.0185157808864181i</v>
      </c>
      <c r="AH357" s="98">
        <f t="shared" si="229"/>
        <v>1.8515780886418101E-2</v>
      </c>
      <c r="AI357" s="98">
        <f t="shared" si="230"/>
        <v>1.5707963267948966</v>
      </c>
      <c r="AJ357" s="98" t="str">
        <f t="shared" si="216"/>
        <v>1+0.16958663981686i</v>
      </c>
      <c r="AK357" s="98">
        <f t="shared" si="231"/>
        <v>1.0142778851993044</v>
      </c>
      <c r="AL357" s="98">
        <f t="shared" si="232"/>
        <v>0.16798838010965947</v>
      </c>
      <c r="AM357" s="98" t="str">
        <f t="shared" si="217"/>
        <v>1+407.177522200281i</v>
      </c>
      <c r="AN357" s="98">
        <f t="shared" si="233"/>
        <v>407.17875016405304</v>
      </c>
      <c r="AO357" s="98">
        <f t="shared" si="234"/>
        <v>1.568340400485235</v>
      </c>
      <c r="AP357" s="168" t="str">
        <f t="shared" si="235"/>
        <v>-0.244317586948751+0.0420505395756289i</v>
      </c>
      <c r="AQ357" s="98">
        <f t="shared" si="236"/>
        <v>-12.114121702478409</v>
      </c>
      <c r="AR357" s="169">
        <f t="shared" si="237"/>
        <v>170.23426060013833</v>
      </c>
      <c r="AS357" s="168" t="str">
        <f t="shared" si="238"/>
        <v>-1.86565950587705-0.993928619589105i</v>
      </c>
      <c r="AT357" s="190">
        <f t="shared" si="239"/>
        <v>6.501694881154676</v>
      </c>
      <c r="AU357" s="169">
        <f t="shared" si="240"/>
        <v>-151.95357582909023</v>
      </c>
      <c r="AV357" s="225"/>
      <c r="AX357">
        <f t="shared" si="241"/>
        <v>0</v>
      </c>
      <c r="AY357">
        <f t="shared" si="242"/>
        <v>0</v>
      </c>
    </row>
    <row r="358" spans="14:51" x14ac:dyDescent="0.2">
      <c r="N358" s="170">
        <v>40</v>
      </c>
      <c r="O358" s="199">
        <f t="shared" si="208"/>
        <v>25118.86431509586</v>
      </c>
      <c r="P358" s="189" t="str">
        <f t="shared" si="209"/>
        <v>1757.57575757576</v>
      </c>
      <c r="Q358" s="160" t="str">
        <f t="shared" si="210"/>
        <v>1+9101.32696706439i</v>
      </c>
      <c r="R358" s="160">
        <f t="shared" si="218"/>
        <v>9101.3270220014329</v>
      </c>
      <c r="S358" s="160">
        <f t="shared" si="219"/>
        <v>1.5706864527073494</v>
      </c>
      <c r="T358" s="160" t="str">
        <f t="shared" si="211"/>
        <v>1+44.1914141753415i</v>
      </c>
      <c r="U358" s="160">
        <f t="shared" si="220"/>
        <v>44.202727142299409</v>
      </c>
      <c r="V358" s="160">
        <f t="shared" si="221"/>
        <v>1.5481713580515828</v>
      </c>
      <c r="W358" s="98" t="str">
        <f t="shared" si="212"/>
        <v>1-0.0284416467720761i</v>
      </c>
      <c r="X358" s="160">
        <f t="shared" si="222"/>
        <v>1.000404381873204</v>
      </c>
      <c r="Y358" s="160">
        <f t="shared" si="223"/>
        <v>-2.843398141759115E-2</v>
      </c>
      <c r="Z358" s="98" t="str">
        <f t="shared" si="213"/>
        <v>0.747617062207921-0.668602063766516i</v>
      </c>
      <c r="AA358" s="160">
        <f t="shared" si="224"/>
        <v>1.0029755686841264</v>
      </c>
      <c r="AB358" s="160">
        <f t="shared" si="225"/>
        <v>-0.72966302855191945</v>
      </c>
      <c r="AC358" s="171" t="str">
        <f t="shared" si="226"/>
        <v>6.62728591628226+5.34514829907009i</v>
      </c>
      <c r="AD358" s="190">
        <f t="shared" si="227"/>
        <v>18.60287259771631</v>
      </c>
      <c r="AE358" s="169">
        <f t="shared" si="228"/>
        <v>38.88744497366428</v>
      </c>
      <c r="AF358" s="98" t="str">
        <f t="shared" si="214"/>
        <v>-0.0000114342530449913</v>
      </c>
      <c r="AG358" s="98" t="str">
        <f t="shared" si="215"/>
        <v>0.0189470688276776i</v>
      </c>
      <c r="AH358" s="98">
        <f t="shared" si="229"/>
        <v>1.8947068827677601E-2</v>
      </c>
      <c r="AI358" s="98">
        <f t="shared" si="230"/>
        <v>1.5707963267948966</v>
      </c>
      <c r="AJ358" s="98" t="str">
        <f t="shared" si="216"/>
        <v>1+0.173536820109034i</v>
      </c>
      <c r="AK358" s="98">
        <f t="shared" si="231"/>
        <v>1.0149458251224817</v>
      </c>
      <c r="AL358" s="98">
        <f t="shared" si="232"/>
        <v>0.17182561306600933</v>
      </c>
      <c r="AM358" s="98" t="str">
        <f t="shared" si="217"/>
        <v>1+416.661905081791i</v>
      </c>
      <c r="AN358" s="98">
        <f t="shared" si="233"/>
        <v>416.66310509377644</v>
      </c>
      <c r="AO358" s="98">
        <f t="shared" si="234"/>
        <v>1.5683963039759963</v>
      </c>
      <c r="AP358" s="168" t="str">
        <f t="shared" si="235"/>
        <v>-0.243996119992789+0.0429457947909665i</v>
      </c>
      <c r="AQ358" s="98">
        <f t="shared" si="236"/>
        <v>-12.119840982045286</v>
      </c>
      <c r="AR358" s="169">
        <f t="shared" si="237"/>
        <v>170.01760638081166</v>
      </c>
      <c r="AS358" s="168" t="str">
        <f t="shared" si="238"/>
        <v>-1.84658369163487-1.01958138477744i</v>
      </c>
      <c r="AT358" s="190">
        <f t="shared" si="239"/>
        <v>6.4830316156710115</v>
      </c>
      <c r="AU358" s="169">
        <f t="shared" si="240"/>
        <v>-151.09494864552391</v>
      </c>
      <c r="AV358" s="225"/>
      <c r="AX358">
        <f t="shared" si="241"/>
        <v>0</v>
      </c>
      <c r="AY358">
        <f t="shared" si="242"/>
        <v>0</v>
      </c>
    </row>
    <row r="359" spans="14:51" x14ac:dyDescent="0.2">
      <c r="N359" s="170">
        <v>41</v>
      </c>
      <c r="O359" s="199">
        <f t="shared" si="208"/>
        <v>25703.95782768865</v>
      </c>
      <c r="P359" s="189" t="str">
        <f t="shared" si="209"/>
        <v>1757.57575757576</v>
      </c>
      <c r="Q359" s="160" t="str">
        <f t="shared" si="210"/>
        <v>1+9313.32410585282i</v>
      </c>
      <c r="R359" s="160">
        <f t="shared" si="218"/>
        <v>9313.3241595393447</v>
      </c>
      <c r="S359" s="160">
        <f t="shared" si="219"/>
        <v>1.5706889537469073</v>
      </c>
      <c r="T359" s="160" t="str">
        <f t="shared" si="211"/>
        <v>1+45.2207644446032i</v>
      </c>
      <c r="U359" s="160">
        <f t="shared" si="220"/>
        <v>45.231819960668055</v>
      </c>
      <c r="V359" s="160">
        <f t="shared" si="221"/>
        <v>1.5486861954352726</v>
      </c>
      <c r="W359" s="98" t="str">
        <f t="shared" si="212"/>
        <v>1-0.02910413783079i</v>
      </c>
      <c r="X359" s="160">
        <f t="shared" si="222"/>
        <v>1.0004234357705108</v>
      </c>
      <c r="Y359" s="160">
        <f t="shared" si="223"/>
        <v>-2.909592444322542E-2</v>
      </c>
      <c r="Z359" s="98" t="str">
        <f t="shared" si="213"/>
        <v>0.735722620796961-0.684175806476724i</v>
      </c>
      <c r="AA359" s="160">
        <f t="shared" si="224"/>
        <v>1.0046811976544721</v>
      </c>
      <c r="AB359" s="160">
        <f t="shared" si="225"/>
        <v>-0.74911092879101271</v>
      </c>
      <c r="AC359" s="171" t="str">
        <f t="shared" si="226"/>
        <v>6.51188124273296+5.46279171391673i</v>
      </c>
      <c r="AD359" s="190">
        <f t="shared" si="227"/>
        <v>18.588179583567545</v>
      </c>
      <c r="AE359" s="169">
        <f t="shared" si="228"/>
        <v>39.993155746318756</v>
      </c>
      <c r="AF359" s="98" t="str">
        <f t="shared" si="214"/>
        <v>-0.0000114342530449913</v>
      </c>
      <c r="AG359" s="98" t="str">
        <f t="shared" si="215"/>
        <v>0.0193884027556236i</v>
      </c>
      <c r="AH359" s="98">
        <f t="shared" si="229"/>
        <v>1.9388402755623601E-2</v>
      </c>
      <c r="AI359" s="98">
        <f t="shared" si="230"/>
        <v>1.5707963267948966</v>
      </c>
      <c r="AJ359" s="98" t="str">
        <f t="shared" si="216"/>
        <v>1+0.17757901192026i</v>
      </c>
      <c r="AK359" s="98">
        <f t="shared" si="231"/>
        <v>1.0156447732719229</v>
      </c>
      <c r="AL359" s="98">
        <f t="shared" si="232"/>
        <v>0.1757469425209548</v>
      </c>
      <c r="AM359" s="98" t="str">
        <f t="shared" si="217"/>
        <v>1+426.367207620544i</v>
      </c>
      <c r="AN359" s="98">
        <f t="shared" si="233"/>
        <v>426.36838031699779</v>
      </c>
      <c r="AO359" s="98">
        <f t="shared" si="234"/>
        <v>1.5684509349624451</v>
      </c>
      <c r="AP359" s="168" t="str">
        <f t="shared" si="235"/>
        <v>-0.243660408217267+0.0438587215706435i</v>
      </c>
      <c r="AQ359" s="98">
        <f t="shared" si="236"/>
        <v>-12.125821635999305</v>
      </c>
      <c r="AR359" s="169">
        <f t="shared" si="237"/>
        <v>169.79606087791711</v>
      </c>
      <c r="AS359" s="168" t="str">
        <f t="shared" si="238"/>
        <v>-1.82627870264577-1.04546327269273i</v>
      </c>
      <c r="AT359" s="190">
        <f t="shared" si="239"/>
        <v>6.4623579475682327</v>
      </c>
      <c r="AU359" s="169">
        <f t="shared" si="240"/>
        <v>-150.21078337576427</v>
      </c>
      <c r="AV359" s="225"/>
      <c r="AX359">
        <f t="shared" si="241"/>
        <v>0</v>
      </c>
      <c r="AY359">
        <f t="shared" si="242"/>
        <v>0</v>
      </c>
    </row>
    <row r="360" spans="14:51" x14ac:dyDescent="0.2">
      <c r="N360" s="170">
        <v>42</v>
      </c>
      <c r="O360" s="199">
        <f t="shared" si="208"/>
        <v>26302.679918953829</v>
      </c>
      <c r="P360" s="189" t="str">
        <f t="shared" si="209"/>
        <v>1757.57575757576</v>
      </c>
      <c r="Q360" s="160" t="str">
        <f t="shared" si="210"/>
        <v>1+9530.2592923586i</v>
      </c>
      <c r="R360" s="160">
        <f t="shared" si="218"/>
        <v>9530.2593448230691</v>
      </c>
      <c r="S360" s="160">
        <f t="shared" si="219"/>
        <v>1.5706913978558559</v>
      </c>
      <c r="T360" s="160" t="str">
        <f t="shared" si="211"/>
        <v>1+46.2740913617411i</v>
      </c>
      <c r="U360" s="160">
        <f t="shared" si="220"/>
        <v>46.28489528296204</v>
      </c>
      <c r="V360" s="160">
        <f t="shared" si="221"/>
        <v>1.5491893250172035</v>
      </c>
      <c r="W360" s="98" t="str">
        <f t="shared" si="212"/>
        <v>1-0.0297820602886205i</v>
      </c>
      <c r="X360" s="160">
        <f t="shared" si="222"/>
        <v>1.0004433872613858</v>
      </c>
      <c r="Y360" s="160">
        <f t="shared" si="223"/>
        <v>-2.9773259695928117E-2</v>
      </c>
      <c r="Z360" s="98" t="str">
        <f t="shared" si="213"/>
        <v>0.723267611632425-0.700112308255664i</v>
      </c>
      <c r="AA360" s="160">
        <f t="shared" si="224"/>
        <v>1.0066147635553266</v>
      </c>
      <c r="AB360" s="160">
        <f t="shared" si="225"/>
        <v>-0.76913176764941604</v>
      </c>
      <c r="AC360" s="171" t="str">
        <f t="shared" si="226"/>
        <v>6.3899609823202+5.58024118269021i</v>
      </c>
      <c r="AD360" s="190">
        <f t="shared" si="227"/>
        <v>18.571556845700055</v>
      </c>
      <c r="AE360" s="169">
        <f t="shared" si="228"/>
        <v>41.130144028386894</v>
      </c>
      <c r="AF360" s="98" t="str">
        <f t="shared" si="214"/>
        <v>-0.0000114342530449913</v>
      </c>
      <c r="AG360" s="98" t="str">
        <f t="shared" si="215"/>
        <v>0.0198400166713465i</v>
      </c>
      <c r="AH360" s="98">
        <f t="shared" si="229"/>
        <v>1.9840016671346501E-2</v>
      </c>
      <c r="AI360" s="98">
        <f t="shared" si="230"/>
        <v>1.5707963267948966</v>
      </c>
      <c r="AJ360" s="98" t="str">
        <f t="shared" si="216"/>
        <v>1+0.181715358474142i</v>
      </c>
      <c r="AK360" s="98">
        <f t="shared" si="231"/>
        <v>1.01637614666293</v>
      </c>
      <c r="AL360" s="98">
        <f t="shared" si="232"/>
        <v>0.17975396499450427</v>
      </c>
      <c r="AM360" s="98" t="str">
        <f t="shared" si="217"/>
        <v>1+436.298575696415i</v>
      </c>
      <c r="AN360" s="98">
        <f t="shared" si="233"/>
        <v>436.29972169910945</v>
      </c>
      <c r="AO360" s="98">
        <f t="shared" si="234"/>
        <v>1.5685043224093482</v>
      </c>
      <c r="AP360" s="168" t="str">
        <f t="shared" si="235"/>
        <v>-0.243309863545855+0.0447894618284062i</v>
      </c>
      <c r="AQ360" s="98">
        <f t="shared" si="236"/>
        <v>-12.13207523428469</v>
      </c>
      <c r="AR360" s="169">
        <f t="shared" si="237"/>
        <v>169.56953427715521</v>
      </c>
      <c r="AS360" s="168" t="str">
        <f t="shared" si="238"/>
        <v>-1.80467653411707-1.07152480721068i</v>
      </c>
      <c r="AT360" s="190">
        <f t="shared" si="239"/>
        <v>6.4394816114153688</v>
      </c>
      <c r="AU360" s="169">
        <f t="shared" si="240"/>
        <v>-149.30032169445792</v>
      </c>
      <c r="AV360" s="225"/>
      <c r="AX360">
        <f t="shared" si="241"/>
        <v>0</v>
      </c>
      <c r="AY360">
        <f t="shared" si="242"/>
        <v>0</v>
      </c>
    </row>
    <row r="361" spans="14:51" x14ac:dyDescent="0.2">
      <c r="N361" s="170">
        <v>43</v>
      </c>
      <c r="O361" s="199">
        <f t="shared" si="208"/>
        <v>26915.348039269167</v>
      </c>
      <c r="P361" s="189" t="str">
        <f t="shared" si="209"/>
        <v>1757.57575757576</v>
      </c>
      <c r="Q361" s="160" t="str">
        <f t="shared" si="210"/>
        <v>1+9752.24754848911i</v>
      </c>
      <c r="R361" s="160">
        <f t="shared" si="218"/>
        <v>9752.247599759341</v>
      </c>
      <c r="S361" s="160">
        <f t="shared" si="219"/>
        <v>1.5706937863300936</v>
      </c>
      <c r="T361" s="160" t="str">
        <f t="shared" si="211"/>
        <v>1+47.3519534146291i</v>
      </c>
      <c r="U361" s="160">
        <f t="shared" si="220"/>
        <v>47.362511464038775</v>
      </c>
      <c r="V361" s="160">
        <f t="shared" si="221"/>
        <v>1.5496810125438603</v>
      </c>
      <c r="W361" s="98" t="str">
        <f t="shared" si="212"/>
        <v>1-0.0304757735890284i</v>
      </c>
      <c r="X361" s="160">
        <f t="shared" si="222"/>
        <v>1.0004642786106108</v>
      </c>
      <c r="Y361" s="160">
        <f t="shared" si="223"/>
        <v>-3.0466343820394169E-2</v>
      </c>
      <c r="Z361" s="98" t="str">
        <f t="shared" si="213"/>
        <v>0.710225615970003-0.716420018847526i</v>
      </c>
      <c r="AA361" s="160">
        <f t="shared" si="224"/>
        <v>1.0088003117492876</v>
      </c>
      <c r="AB361" s="160">
        <f t="shared" si="225"/>
        <v>-0.7897400712968824</v>
      </c>
      <c r="AC361" s="171" t="str">
        <f t="shared" si="226"/>
        <v>6.2612473645661+5.69714429079638i</v>
      </c>
      <c r="AD361" s="190">
        <f t="shared" si="227"/>
        <v>18.552808742184112</v>
      </c>
      <c r="AE361" s="169">
        <f t="shared" si="228"/>
        <v>42.299236825754747</v>
      </c>
      <c r="AF361" s="98" t="str">
        <f t="shared" si="214"/>
        <v>-0.0000114342530449913</v>
      </c>
      <c r="AG361" s="98" t="str">
        <f t="shared" si="215"/>
        <v>0.0203021500265222i</v>
      </c>
      <c r="AH361" s="98">
        <f t="shared" si="229"/>
        <v>2.0302150026522199E-2</v>
      </c>
      <c r="AI361" s="98">
        <f t="shared" si="230"/>
        <v>1.5707963267948966</v>
      </c>
      <c r="AJ361" s="98" t="str">
        <f t="shared" si="216"/>
        <v>1+0.185948052916375i</v>
      </c>
      <c r="AK361" s="98">
        <f t="shared" si="231"/>
        <v>1.0171414249667501</v>
      </c>
      <c r="AL361" s="98">
        <f t="shared" si="232"/>
        <v>0.1838482901073055</v>
      </c>
      <c r="AM361" s="98" t="str">
        <f t="shared" si="217"/>
        <v>1+446.461275052217i</v>
      </c>
      <c r="AN361" s="98">
        <f t="shared" si="233"/>
        <v>446.46239496877155</v>
      </c>
      <c r="AO361" s="98">
        <f t="shared" si="234"/>
        <v>1.5685564946222188</v>
      </c>
      <c r="AP361" s="168" t="str">
        <f t="shared" si="235"/>
        <v>-0.242943877639689+0.0457381450614263i</v>
      </c>
      <c r="AQ361" s="98">
        <f t="shared" si="236"/>
        <v>-12.138613822723128</v>
      </c>
      <c r="AR361" s="169">
        <f t="shared" si="237"/>
        <v>169.33793597584258</v>
      </c>
      <c r="AS361" s="168" t="str">
        <f t="shared" si="238"/>
        <v>-1.78170852561729-1.09770848525289i</v>
      </c>
      <c r="AT361" s="190">
        <f t="shared" si="239"/>
        <v>6.4141949194609662</v>
      </c>
      <c r="AU361" s="169">
        <f t="shared" si="240"/>
        <v>-148.36282719840264</v>
      </c>
      <c r="AV361" s="225"/>
      <c r="AX361">
        <f t="shared" si="241"/>
        <v>0</v>
      </c>
      <c r="AY361">
        <f t="shared" si="242"/>
        <v>0</v>
      </c>
    </row>
    <row r="362" spans="14:51" x14ac:dyDescent="0.2">
      <c r="N362" s="170">
        <v>44</v>
      </c>
      <c r="O362" s="199">
        <f t="shared" si="208"/>
        <v>27542.287033381719</v>
      </c>
      <c r="P362" s="189" t="str">
        <f t="shared" si="209"/>
        <v>1757.57575757576</v>
      </c>
      <c r="Q362" s="160" t="str">
        <f t="shared" si="210"/>
        <v>1+9979.40657535609i</v>
      </c>
      <c r="R362" s="160">
        <f t="shared" si="218"/>
        <v>9979.406625459269</v>
      </c>
      <c r="S362" s="160">
        <f t="shared" si="219"/>
        <v>1.5706961204360212</v>
      </c>
      <c r="T362" s="160" t="str">
        <f t="shared" si="211"/>
        <v>1+48.4549220999948i</v>
      </c>
      <c r="U362" s="160">
        <f t="shared" si="220"/>
        <v>48.465239870618248</v>
      </c>
      <c r="V362" s="160">
        <f t="shared" si="221"/>
        <v>1.5501615177629828</v>
      </c>
      <c r="W362" s="98" t="str">
        <f t="shared" si="212"/>
        <v>1-0.0311856455479877i</v>
      </c>
      <c r="X362" s="160">
        <f t="shared" si="222"/>
        <v>1.0004861540712318</v>
      </c>
      <c r="Y362" s="160">
        <f t="shared" si="223"/>
        <v>-3.1175541634006203E-2</v>
      </c>
      <c r="Z362" s="98" t="str">
        <f t="shared" si="213"/>
        <v>0.696568969988324-0.733107584816321i</v>
      </c>
      <c r="AA362" s="160">
        <f t="shared" si="224"/>
        <v>1.0112640905647812</v>
      </c>
      <c r="AB362" s="160">
        <f t="shared" si="225"/>
        <v>-0.81094986071643749</v>
      </c>
      <c r="AC362" s="171" t="str">
        <f t="shared" si="226"/>
        <v>6.12547183674435+5.81310593284483i</v>
      </c>
      <c r="AD362" s="190">
        <f t="shared" si="227"/>
        <v>18.531723961092915</v>
      </c>
      <c r="AE362" s="169">
        <f t="shared" si="228"/>
        <v>43.501231388967689</v>
      </c>
      <c r="AF362" s="98" t="str">
        <f t="shared" si="214"/>
        <v>-0.0000114342530449913</v>
      </c>
      <c r="AG362" s="98" t="str">
        <f t="shared" si="215"/>
        <v>0.0207750478503727i</v>
      </c>
      <c r="AH362" s="98">
        <f t="shared" si="229"/>
        <v>2.0775047850372701E-2</v>
      </c>
      <c r="AI362" s="98">
        <f t="shared" si="230"/>
        <v>1.5707963267948966</v>
      </c>
      <c r="AJ362" s="98" t="str">
        <f t="shared" si="216"/>
        <v>1+0.190279339477578i</v>
      </c>
      <c r="AK362" s="98">
        <f t="shared" si="231"/>
        <v>1.0179421530873074</v>
      </c>
      <c r="AL362" s="98">
        <f t="shared" si="232"/>
        <v>0.18803153937364944</v>
      </c>
      <c r="AM362" s="98" t="str">
        <f t="shared" si="217"/>
        <v>1+456.860694085665i</v>
      </c>
      <c r="AN362" s="98">
        <f t="shared" si="233"/>
        <v>456.86178850986818</v>
      </c>
      <c r="AO362" s="98">
        <f t="shared" si="234"/>
        <v>1.5686074792623179</v>
      </c>
      <c r="AP362" s="168" t="str">
        <f t="shared" si="235"/>
        <v>-0.242561821580602+0.0467048871499428i</v>
      </c>
      <c r="AQ362" s="98">
        <f t="shared" si="236"/>
        <v>-12.145449939270076</v>
      </c>
      <c r="AR362" s="169">
        <f t="shared" si="237"/>
        <v>169.10117465292754</v>
      </c>
      <c r="AS362" s="168" t="str">
        <f t="shared" si="238"/>
        <v>-1.75730606334557-1.12394809323655i</v>
      </c>
      <c r="AT362" s="190">
        <f t="shared" si="239"/>
        <v>6.3862740218228531</v>
      </c>
      <c r="AU362" s="169">
        <f t="shared" si="240"/>
        <v>-147.39759395810478</v>
      </c>
      <c r="AV362" s="225"/>
      <c r="AX362">
        <f t="shared" si="241"/>
        <v>0</v>
      </c>
      <c r="AY362">
        <f t="shared" si="242"/>
        <v>0</v>
      </c>
    </row>
    <row r="363" spans="14:51" x14ac:dyDescent="0.2">
      <c r="N363" s="170">
        <v>45</v>
      </c>
      <c r="O363" s="199">
        <f t="shared" si="208"/>
        <v>28183.829312644593</v>
      </c>
      <c r="P363" s="189" t="str">
        <f t="shared" si="209"/>
        <v>1757.57575757576</v>
      </c>
      <c r="Q363" s="160" t="str">
        <f t="shared" si="210"/>
        <v>1+10211.8568156824i</v>
      </c>
      <c r="R363" s="160">
        <f t="shared" si="218"/>
        <v>10211.856864645093</v>
      </c>
      <c r="S363" s="160">
        <f t="shared" si="219"/>
        <v>1.5706984014112124</v>
      </c>
      <c r="T363" s="160" t="str">
        <f t="shared" si="211"/>
        <v>1+49.5835822264345i</v>
      </c>
      <c r="U363" s="160">
        <f t="shared" si="220"/>
        <v>49.593665184230851</v>
      </c>
      <c r="V363" s="160">
        <f t="shared" si="221"/>
        <v>1.5506310945567572</v>
      </c>
      <c r="W363" s="98" t="str">
        <f t="shared" si="212"/>
        <v>1-0.0319120525490073i</v>
      </c>
      <c r="X363" s="160">
        <f t="shared" si="222"/>
        <v>1.0005090599779147</v>
      </c>
      <c r="Y363" s="160">
        <f t="shared" si="223"/>
        <v>-3.1901226307606334E-2</v>
      </c>
      <c r="Z363" s="98" t="str">
        <f t="shared" si="213"/>
        <v>0.682268706110285-0.750183854130409i</v>
      </c>
      <c r="AA363" s="160">
        <f t="shared" si="224"/>
        <v>1.0140347145612705</v>
      </c>
      <c r="AB363" s="160">
        <f t="shared" si="225"/>
        <v>-0.83277448153713918</v>
      </c>
      <c r="AC363" s="171" t="str">
        <f t="shared" si="226"/>
        <v>5.98237989696359+5.92768592928818i</v>
      </c>
      <c r="AD363" s="190">
        <f t="shared" si="227"/>
        <v>18.508074865811</v>
      </c>
      <c r="AE363" s="169">
        <f t="shared" si="228"/>
        <v>44.736885460601577</v>
      </c>
      <c r="AF363" s="98" t="str">
        <f t="shared" si="214"/>
        <v>-0.0000114342530449913</v>
      </c>
      <c r="AG363" s="98" t="str">
        <f t="shared" si="215"/>
        <v>0.0212589608795838i</v>
      </c>
      <c r="AH363" s="98">
        <f t="shared" si="229"/>
        <v>2.1258960879583799E-2</v>
      </c>
      <c r="AI363" s="98">
        <f t="shared" si="230"/>
        <v>1.5707963267948966</v>
      </c>
      <c r="AJ363" s="98" t="str">
        <f t="shared" si="216"/>
        <v>1+0.194711514663216i</v>
      </c>
      <c r="AK363" s="98">
        <f t="shared" si="231"/>
        <v>1.0187799438261649</v>
      </c>
      <c r="AL363" s="98">
        <f t="shared" si="232"/>
        <v>0.19230534488184658</v>
      </c>
      <c r="AM363" s="98" t="str">
        <f t="shared" si="217"/>
        <v>1+467.502346706382i</v>
      </c>
      <c r="AN363" s="98">
        <f t="shared" si="233"/>
        <v>467.50341621850663</v>
      </c>
      <c r="AO363" s="98">
        <f t="shared" si="234"/>
        <v>1.5686573033613156</v>
      </c>
      <c r="AP363" s="168" t="str">
        <f t="shared" si="235"/>
        <v>-0.242163045589992+0.0476897890909875i</v>
      </c>
      <c r="AQ363" s="98">
        <f t="shared" si="236"/>
        <v>-12.152596630509167</v>
      </c>
      <c r="AR363" s="169">
        <f t="shared" si="237"/>
        <v>168.85915834543869</v>
      </c>
      <c r="AS363" s="168" t="str">
        <f t="shared" si="238"/>
        <v>-1.73140142749041-1.15016804238901i</v>
      </c>
      <c r="AT363" s="190">
        <f t="shared" si="239"/>
        <v>6.3554782353018213</v>
      </c>
      <c r="AU363" s="169">
        <f t="shared" si="240"/>
        <v>-146.40395619395971</v>
      </c>
      <c r="AV363" s="225"/>
      <c r="AX363">
        <f t="shared" si="241"/>
        <v>0</v>
      </c>
      <c r="AY363">
        <f t="shared" si="242"/>
        <v>0</v>
      </c>
    </row>
    <row r="364" spans="14:51" x14ac:dyDescent="0.2">
      <c r="N364" s="170">
        <v>46</v>
      </c>
      <c r="O364" s="199">
        <f t="shared" si="208"/>
        <v>28840.315031266062</v>
      </c>
      <c r="P364" s="189" t="str">
        <f t="shared" si="209"/>
        <v>1757.57575757576</v>
      </c>
      <c r="Q364" s="160" t="str">
        <f t="shared" si="210"/>
        <v>1+10449.7215176622i</v>
      </c>
      <c r="R364" s="160">
        <f t="shared" si="218"/>
        <v>10449.721565510363</v>
      </c>
      <c r="S364" s="160">
        <f t="shared" si="219"/>
        <v>1.5707006304650704</v>
      </c>
      <c r="T364" s="160" t="str">
        <f t="shared" si="211"/>
        <v>1+50.7385322244867i</v>
      </c>
      <c r="U364" s="160">
        <f t="shared" si="220"/>
        <v>50.74838571122509</v>
      </c>
      <c r="V364" s="160">
        <f t="shared" si="221"/>
        <v>1.5510899910721976</v>
      </c>
      <c r="W364" s="98" t="str">
        <f t="shared" si="212"/>
        <v>1-0.0326553797426942i</v>
      </c>
      <c r="X364" s="160">
        <f t="shared" si="222"/>
        <v>1.0005330448446665</v>
      </c>
      <c r="Y364" s="160">
        <f t="shared" si="223"/>
        <v>-3.2643779549795325E-2</v>
      </c>
      <c r="Z364" s="98" t="str">
        <f t="shared" si="213"/>
        <v>0.667294491558933-0.767657880853811i</v>
      </c>
      <c r="AA364" s="160">
        <f t="shared" si="224"/>
        <v>1.0171433333123994</v>
      </c>
      <c r="AB364" s="160">
        <f t="shared" si="225"/>
        <v>-0.85522641325993221</v>
      </c>
      <c r="AC364" s="171" t="str">
        <f t="shared" si="226"/>
        <v>5.8317366565145+6.04039700748042i</v>
      </c>
      <c r="AD364" s="190">
        <f t="shared" si="227"/>
        <v>18.481616935948754</v>
      </c>
      <c r="AE364" s="169">
        <f t="shared" si="228"/>
        <v>46.006906341581967</v>
      </c>
      <c r="AF364" s="98" t="str">
        <f t="shared" si="214"/>
        <v>-0.0000114342530449913</v>
      </c>
      <c r="AG364" s="98" t="str">
        <f t="shared" si="215"/>
        <v>0.0217541456912487i</v>
      </c>
      <c r="AH364" s="98">
        <f t="shared" si="229"/>
        <v>2.17541456912487E-2</v>
      </c>
      <c r="AI364" s="98">
        <f t="shared" si="230"/>
        <v>1.5707963267948966</v>
      </c>
      <c r="AJ364" s="98" t="str">
        <f t="shared" si="216"/>
        <v>1+0.199246928471239i</v>
      </c>
      <c r="AK364" s="98">
        <f t="shared" si="231"/>
        <v>1.0196564806370934</v>
      </c>
      <c r="AL364" s="98">
        <f t="shared" si="232"/>
        <v>0.19667134785585197</v>
      </c>
      <c r="AM364" s="98" t="str">
        <f t="shared" si="217"/>
        <v>1+478.391875259446i</v>
      </c>
      <c r="AN364" s="98">
        <f t="shared" si="233"/>
        <v>478.3929204265562</v>
      </c>
      <c r="AO364" s="98">
        <f t="shared" si="234"/>
        <v>1.5687059933356187</v>
      </c>
      <c r="AP364" s="168" t="str">
        <f t="shared" si="235"/>
        <v>-0.241746878788447+0.0486929356646098i</v>
      </c>
      <c r="AQ364" s="98">
        <f t="shared" si="236"/>
        <v>-12.160067468354175</v>
      </c>
      <c r="AR364" s="169">
        <f t="shared" si="237"/>
        <v>168.61179453171883</v>
      </c>
      <c r="AS364" s="168" t="str">
        <f t="shared" si="238"/>
        <v>-1.7039287975025-1.17628274537286i</v>
      </c>
      <c r="AT364" s="190">
        <f t="shared" si="239"/>
        <v>6.3215494675945783</v>
      </c>
      <c r="AU364" s="169">
        <f t="shared" si="240"/>
        <v>-145.38129912669922</v>
      </c>
      <c r="AV364" s="225"/>
      <c r="AX364">
        <f t="shared" si="241"/>
        <v>0</v>
      </c>
      <c r="AY364">
        <f t="shared" si="242"/>
        <v>0</v>
      </c>
    </row>
    <row r="365" spans="14:51" x14ac:dyDescent="0.2">
      <c r="N365" s="170">
        <v>47</v>
      </c>
      <c r="O365" s="199">
        <f t="shared" si="208"/>
        <v>29512.092266663854</v>
      </c>
      <c r="P365" s="189" t="str">
        <f t="shared" si="209"/>
        <v>1757.57575757576</v>
      </c>
      <c r="Q365" s="160" t="str">
        <f t="shared" si="210"/>
        <v>1+10693.1268003091i</v>
      </c>
      <c r="R365" s="160">
        <f t="shared" si="218"/>
        <v>10693.12684706811</v>
      </c>
      <c r="S365" s="160">
        <f t="shared" si="219"/>
        <v>1.5707028087794686</v>
      </c>
      <c r="T365" s="160" t="str">
        <f t="shared" si="211"/>
        <v>1+51.9203844639287i</v>
      </c>
      <c r="U365" s="160">
        <f t="shared" si="220"/>
        <v>51.930013699999812</v>
      </c>
      <c r="V365" s="160">
        <f t="shared" si="221"/>
        <v>1.5515384498487699</v>
      </c>
      <c r="W365" s="98" t="str">
        <f t="shared" si="212"/>
        <v>1-0.033416021250966i</v>
      </c>
      <c r="X365" s="160">
        <f t="shared" si="222"/>
        <v>1.0005581594671271</v>
      </c>
      <c r="Y365" s="160">
        <f t="shared" si="223"/>
        <v>-3.340359179479508E-2</v>
      </c>
      <c r="Z365" s="98" t="str">
        <f t="shared" si="213"/>
        <v>0.651614564017566-0.785538929946803i</v>
      </c>
      <c r="AA365" s="160">
        <f t="shared" si="224"/>
        <v>1.0206238045929414</v>
      </c>
      <c r="AB365" s="160">
        <f t="shared" si="225"/>
        <v>-0.87831705735248189</v>
      </c>
      <c r="AC365" s="171" t="str">
        <f t="shared" si="226"/>
        <v>5.67333315537375+6.15070329137301i</v>
      </c>
      <c r="AD365" s="190">
        <f t="shared" si="227"/>
        <v>18.452088334522681</v>
      </c>
      <c r="AE365" s="169">
        <f t="shared" si="228"/>
        <v>47.31193874642463</v>
      </c>
      <c r="AF365" s="98" t="str">
        <f t="shared" si="214"/>
        <v>-0.0000114342530449913</v>
      </c>
      <c r="AG365" s="98" t="str">
        <f t="shared" si="215"/>
        <v>0.0222608648389094i</v>
      </c>
      <c r="AH365" s="98">
        <f t="shared" si="229"/>
        <v>2.2260864838909399E-2</v>
      </c>
      <c r="AI365" s="98">
        <f t="shared" si="230"/>
        <v>1.5707963267948966</v>
      </c>
      <c r="AJ365" s="98" t="str">
        <f t="shared" si="216"/>
        <v>1+0.203887985638085i</v>
      </c>
      <c r="AK365" s="98">
        <f t="shared" si="231"/>
        <v>1.0205735204714828</v>
      </c>
      <c r="AL365" s="98">
        <f t="shared" si="232"/>
        <v>0.20113119709188501</v>
      </c>
      <c r="AM365" s="98" t="str">
        <f t="shared" si="217"/>
        <v>1+489.535053517042i</v>
      </c>
      <c r="AN365" s="98">
        <f t="shared" si="233"/>
        <v>489.53607489329443</v>
      </c>
      <c r="AO365" s="98">
        <f t="shared" si="234"/>
        <v>1.568753575000372</v>
      </c>
      <c r="AP365" s="168" t="str">
        <f t="shared" si="235"/>
        <v>-0.241312629001622+0.0497143940312318i</v>
      </c>
      <c r="AQ365" s="98">
        <f t="shared" si="236"/>
        <v>-12.167876566924317</v>
      </c>
      <c r="AR365" s="169">
        <f t="shared" si="237"/>
        <v>168.358990221802</v>
      </c>
      <c r="AS365" s="168" t="str">
        <f t="shared" si="238"/>
        <v>-1.67482542592182-1.20219606149345i</v>
      </c>
      <c r="AT365" s="190">
        <f t="shared" si="239"/>
        <v>6.2842117675983724</v>
      </c>
      <c r="AU365" s="169">
        <f t="shared" si="240"/>
        <v>-144.32907103177337</v>
      </c>
      <c r="AV365" s="225"/>
      <c r="AX365">
        <f t="shared" si="241"/>
        <v>0</v>
      </c>
      <c r="AY365">
        <f t="shared" si="242"/>
        <v>0</v>
      </c>
    </row>
    <row r="366" spans="14:51" x14ac:dyDescent="0.2">
      <c r="N366" s="170">
        <v>48</v>
      </c>
      <c r="O366" s="199">
        <f t="shared" si="208"/>
        <v>30199.517204020212</v>
      </c>
      <c r="P366" s="189" t="str">
        <f t="shared" si="209"/>
        <v>1757.57575757576</v>
      </c>
      <c r="Q366" s="160" t="str">
        <f t="shared" si="210"/>
        <v>1+10942.2017203259i</v>
      </c>
      <c r="R366" s="160">
        <f t="shared" si="218"/>
        <v>10942.201766020542</v>
      </c>
      <c r="S366" s="160">
        <f t="shared" si="219"/>
        <v>1.5707049375093785</v>
      </c>
      <c r="T366" s="160" t="str">
        <f t="shared" si="211"/>
        <v>1+53.1297655784608i</v>
      </c>
      <c r="U366" s="160">
        <f t="shared" si="220"/>
        <v>53.139175665625423</v>
      </c>
      <c r="V366" s="160">
        <f t="shared" si="221"/>
        <v>1.5519767079433047</v>
      </c>
      <c r="W366" s="98" t="str">
        <f t="shared" si="212"/>
        <v>1-0.0341943803760183i</v>
      </c>
      <c r="X366" s="160">
        <f t="shared" si="222"/>
        <v>1.0005844570296403</v>
      </c>
      <c r="Y366" s="160">
        <f t="shared" si="223"/>
        <v>-3.4181062393903019E-2</v>
      </c>
      <c r="Z366" s="98" t="str">
        <f t="shared" si="213"/>
        <v>0.635195664257634-0.803836482178286i</v>
      </c>
      <c r="AA366" s="160">
        <f t="shared" si="224"/>
        <v>1.0245128705743323</v>
      </c>
      <c r="AB366" s="160">
        <f t="shared" si="225"/>
        <v>-0.90205650415485161</v>
      </c>
      <c r="AC366" s="171" t="str">
        <f t="shared" si="226"/>
        <v>5.50699343293104+6.2580194652398i</v>
      </c>
      <c r="AD366" s="190">
        <f t="shared" si="227"/>
        <v>18.419209635936994</v>
      </c>
      <c r="AE366" s="169">
        <f t="shared" si="228"/>
        <v>48.652551444066106</v>
      </c>
      <c r="AF366" s="98" t="str">
        <f t="shared" si="214"/>
        <v>-0.0000114342530449913</v>
      </c>
      <c r="AG366" s="98" t="str">
        <f t="shared" si="215"/>
        <v>0.022779386991765i</v>
      </c>
      <c r="AH366" s="98">
        <f t="shared" si="229"/>
        <v>2.2779386991764999E-2</v>
      </c>
      <c r="AI366" s="98">
        <f t="shared" si="230"/>
        <v>1.5707963267948966</v>
      </c>
      <c r="AJ366" s="98" t="str">
        <f t="shared" si="216"/>
        <v>1+0.208637146913691i</v>
      </c>
      <c r="AK366" s="98">
        <f t="shared" si="231"/>
        <v>1.0215328967156589</v>
      </c>
      <c r="AL366" s="98">
        <f t="shared" si="232"/>
        <v>0.20568654726365723</v>
      </c>
      <c r="AM366" s="98" t="str">
        <f t="shared" si="217"/>
        <v>1+500.937789739773i</v>
      </c>
      <c r="AN366" s="98">
        <f t="shared" si="233"/>
        <v>500.93878786671036</v>
      </c>
      <c r="AO366" s="98">
        <f t="shared" si="234"/>
        <v>1.5688000735831418</v>
      </c>
      <c r="AP366" s="168" t="str">
        <f t="shared" si="235"/>
        <v>-0.2408595826183+0.0507542122589945i</v>
      </c>
      <c r="AQ366" s="98">
        <f t="shared" si="236"/>
        <v>-12.176038599552959</v>
      </c>
      <c r="AR366" s="169">
        <f t="shared" si="237"/>
        <v>168.10065205530131</v>
      </c>
      <c r="AS366" s="168" t="str">
        <f t="shared" si="238"/>
        <v>-1.64403298799719-1.22780084281098i</v>
      </c>
      <c r="AT366" s="190">
        <f t="shared" si="239"/>
        <v>6.2431710363840285</v>
      </c>
      <c r="AU366" s="169">
        <f t="shared" si="240"/>
        <v>-143.24679650063268</v>
      </c>
      <c r="AV366" s="225"/>
      <c r="AX366">
        <f t="shared" si="241"/>
        <v>0</v>
      </c>
      <c r="AY366">
        <f t="shared" si="242"/>
        <v>0</v>
      </c>
    </row>
    <row r="367" spans="14:51" x14ac:dyDescent="0.2">
      <c r="N367" s="170">
        <v>49</v>
      </c>
      <c r="O367" s="199">
        <f t="shared" si="208"/>
        <v>30902.954325135954</v>
      </c>
      <c r="P367" s="189" t="str">
        <f t="shared" si="209"/>
        <v>1757.57575757576</v>
      </c>
      <c r="Q367" s="160" t="str">
        <f t="shared" si="210"/>
        <v>1+11197.0783405319i</v>
      </c>
      <c r="R367" s="160">
        <f t="shared" si="218"/>
        <v>11197.078385186403</v>
      </c>
      <c r="S367" s="160">
        <f t="shared" si="219"/>
        <v>1.5707070177834805</v>
      </c>
      <c r="T367" s="160" t="str">
        <f t="shared" si="211"/>
        <v>1+54.3673167979581i</v>
      </c>
      <c r="U367" s="160">
        <f t="shared" si="220"/>
        <v>54.376512722034107</v>
      </c>
      <c r="V367" s="160">
        <f t="shared" si="221"/>
        <v>1.5524049970522475</v>
      </c>
      <c r="W367" s="98" t="str">
        <f t="shared" si="212"/>
        <v>1-0.034990869814162i</v>
      </c>
      <c r="X367" s="160">
        <f t="shared" si="222"/>
        <v>1.0006119932173267</v>
      </c>
      <c r="Y367" s="160">
        <f t="shared" si="223"/>
        <v>-3.4976599810570962E-2</v>
      </c>
      <c r="Z367" s="98" t="str">
        <f t="shared" si="213"/>
        <v>0.618002965591424-0.822560239152652i</v>
      </c>
      <c r="AA367" s="160">
        <f t="shared" si="224"/>
        <v>1.0288503353329206</v>
      </c>
      <c r="AB367" s="160">
        <f t="shared" si="225"/>
        <v>-0.92645327913631836</v>
      </c>
      <c r="AC367" s="171" t="str">
        <f t="shared" si="226"/>
        <v>5.33258232712211+6.3617107964433i</v>
      </c>
      <c r="AD367" s="190">
        <f t="shared" si="227"/>
        <v>18.382683752928461</v>
      </c>
      <c r="AE367" s="169">
        <f t="shared" si="228"/>
        <v>50.02922271524222</v>
      </c>
      <c r="AF367" s="98" t="str">
        <f t="shared" si="214"/>
        <v>-0.0000114342530449913</v>
      </c>
      <c r="AG367" s="98" t="str">
        <f t="shared" si="215"/>
        <v>0.0233099870771245i</v>
      </c>
      <c r="AH367" s="98">
        <f t="shared" si="229"/>
        <v>2.3309987077124499E-2</v>
      </c>
      <c r="AI367" s="98">
        <f t="shared" si="230"/>
        <v>1.5707963267948966</v>
      </c>
      <c r="AJ367" s="98" t="str">
        <f t="shared" si="216"/>
        <v>1+0.21349693036623i</v>
      </c>
      <c r="AK367" s="98">
        <f t="shared" si="231"/>
        <v>1.0225365222209928</v>
      </c>
      <c r="AL367" s="98">
        <f t="shared" si="232"/>
        <v>0.2103390570897867</v>
      </c>
      <c r="AM367" s="98" t="str">
        <f t="shared" si="217"/>
        <v>1+512.606129809319i</v>
      </c>
      <c r="AN367" s="98">
        <f t="shared" si="233"/>
        <v>512.60710521615715</v>
      </c>
      <c r="AO367" s="98">
        <f t="shared" si="234"/>
        <v>1.5688455137372874</v>
      </c>
      <c r="AP367" s="168" t="str">
        <f t="shared" si="235"/>
        <v>-0.240387004506928+0.0518124177802683i</v>
      </c>
      <c r="AQ367" s="98">
        <f t="shared" si="236"/>
        <v>-12.184568815886852</v>
      </c>
      <c r="AR367" s="169">
        <f t="shared" si="237"/>
        <v>167.83668640717391</v>
      </c>
      <c r="AS367" s="168" t="str">
        <f t="shared" si="238"/>
        <v>-1.61149910948603-1.25297861851586i</v>
      </c>
      <c r="AT367" s="190">
        <f t="shared" si="239"/>
        <v>6.1981149370416011</v>
      </c>
      <c r="AU367" s="169">
        <f t="shared" si="240"/>
        <v>-142.13409087758387</v>
      </c>
      <c r="AV367" s="225"/>
      <c r="AX367">
        <f t="shared" si="241"/>
        <v>0</v>
      </c>
      <c r="AY367">
        <f t="shared" si="242"/>
        <v>0</v>
      </c>
    </row>
    <row r="368" spans="14:51" x14ac:dyDescent="0.2">
      <c r="N368" s="170">
        <v>50</v>
      </c>
      <c r="O368" s="199">
        <f t="shared" si="208"/>
        <v>31622.77660168384</v>
      </c>
      <c r="P368" s="189" t="str">
        <f t="shared" si="209"/>
        <v>1757.57575757576</v>
      </c>
      <c r="Q368" s="160" t="str">
        <f t="shared" si="210"/>
        <v>1+11457.8917998849i</v>
      </c>
      <c r="R368" s="160">
        <f t="shared" si="218"/>
        <v>11457.891843522944</v>
      </c>
      <c r="S368" s="160">
        <f t="shared" si="219"/>
        <v>1.5707090507047636</v>
      </c>
      <c r="T368" s="160" t="str">
        <f t="shared" si="211"/>
        <v>1+55.6336942884582i</v>
      </c>
      <c r="U368" s="160">
        <f t="shared" si="220"/>
        <v>55.642680921947203</v>
      </c>
      <c r="V368" s="160">
        <f t="shared" si="221"/>
        <v>1.5528235436312992</v>
      </c>
      <c r="W368" s="98" t="str">
        <f t="shared" si="212"/>
        <v>1-0.0358059118746401i</v>
      </c>
      <c r="X368" s="160">
        <f t="shared" si="222"/>
        <v>1.0006408263333924</v>
      </c>
      <c r="Y368" s="160">
        <f t="shared" si="223"/>
        <v>-3.5790621819129897E-2</v>
      </c>
      <c r="Z368" s="98" t="str">
        <f t="shared" si="213"/>
        <v>0.6-0.841720128453689i</v>
      </c>
      <c r="AA368" s="160">
        <f t="shared" si="224"/>
        <v>1.0336792416625646</v>
      </c>
      <c r="AB368" s="160">
        <f t="shared" si="225"/>
        <v>-0.9515140697850305</v>
      </c>
      <c r="AC368" s="171" t="str">
        <f t="shared" si="226"/>
        <v>5.15001393856251+6.4610942185003i</v>
      </c>
      <c r="AD368" s="190">
        <f t="shared" si="227"/>
        <v>18.342196103749686</v>
      </c>
      <c r="AE368" s="169">
        <f t="shared" si="228"/>
        <v>51.442324699852854</v>
      </c>
      <c r="AF368" s="98" t="str">
        <f t="shared" si="214"/>
        <v>-0.0000114342530449913</v>
      </c>
      <c r="AG368" s="98" t="str">
        <f t="shared" si="215"/>
        <v>0.0238529464261765i</v>
      </c>
      <c r="AH368" s="98">
        <f t="shared" si="229"/>
        <v>2.38529464261765E-2</v>
      </c>
      <c r="AI368" s="98">
        <f t="shared" si="230"/>
        <v>1.5707963267948966</v>
      </c>
      <c r="AJ368" s="98" t="str">
        <f t="shared" si="216"/>
        <v>1+0.218469912717215i</v>
      </c>
      <c r="AK368" s="98">
        <f t="shared" si="231"/>
        <v>1.0235863924274626</v>
      </c>
      <c r="AL368" s="98">
        <f t="shared" si="232"/>
        <v>0.21509038735682773</v>
      </c>
      <c r="AM368" s="98" t="str">
        <f t="shared" si="217"/>
        <v>1+524.546260434034i</v>
      </c>
      <c r="AN368" s="98">
        <f t="shared" si="233"/>
        <v>524.5472136379426</v>
      </c>
      <c r="AO368" s="98">
        <f t="shared" si="234"/>
        <v>1.5688899195550292</v>
      </c>
      <c r="AP368" s="168" t="str">
        <f t="shared" si="235"/>
        <v>-0.239894137997409+0.0528890157768025i</v>
      </c>
      <c r="AQ368" s="98">
        <f t="shared" si="236"/>
        <v>-12.193483059025587</v>
      </c>
      <c r="AR368" s="169">
        <f t="shared" si="237"/>
        <v>167.56699950174209</v>
      </c>
      <c r="AS368" s="168" t="str">
        <f t="shared" si="238"/>
        <v>-1.57717906852376-1.27759945961979i</v>
      </c>
      <c r="AT368" s="190">
        <f t="shared" si="239"/>
        <v>6.1487130447240892</v>
      </c>
      <c r="AU368" s="169">
        <f t="shared" si="240"/>
        <v>-140.99067579840491</v>
      </c>
      <c r="AV368" s="225"/>
      <c r="AX368">
        <f t="shared" si="241"/>
        <v>0</v>
      </c>
      <c r="AY368">
        <f t="shared" si="242"/>
        <v>0</v>
      </c>
    </row>
    <row r="369" spans="14:51" x14ac:dyDescent="0.2">
      <c r="N369" s="170">
        <v>51</v>
      </c>
      <c r="O369" s="199">
        <f t="shared" si="208"/>
        <v>32359.365692962871</v>
      </c>
      <c r="P369" s="189" t="str">
        <f t="shared" si="209"/>
        <v>1757.57575757576</v>
      </c>
      <c r="Q369" s="160" t="str">
        <f t="shared" si="210"/>
        <v>1+11724.7803851333i</v>
      </c>
      <c r="R369" s="160">
        <f t="shared" si="218"/>
        <v>11724.780427778021</v>
      </c>
      <c r="S369" s="160">
        <f t="shared" si="219"/>
        <v>1.5707110373511095</v>
      </c>
      <c r="T369" s="160" t="str">
        <f t="shared" si="211"/>
        <v>1+56.929569500069i</v>
      </c>
      <c r="U369" s="160">
        <f t="shared" si="220"/>
        <v>56.938351604724097</v>
      </c>
      <c r="V369" s="160">
        <f t="shared" si="221"/>
        <v>1.5532325690124873</v>
      </c>
      <c r="W369" s="98" t="str">
        <f t="shared" si="212"/>
        <v>1-0.0366399387035414i</v>
      </c>
      <c r="X369" s="160">
        <f t="shared" si="222"/>
        <v>1.0006710174219093</v>
      </c>
      <c r="Y369" s="160">
        <f t="shared" si="223"/>
        <v>-3.6623555707183682E-2</v>
      </c>
      <c r="Z369" s="98" t="str">
        <f t="shared" si="213"/>
        <v>0.58114858077964-0.861326308908316i</v>
      </c>
      <c r="AA369" s="160">
        <f t="shared" si="224"/>
        <v>1.039046044869915</v>
      </c>
      <c r="AB369" s="160">
        <f t="shared" si="225"/>
        <v>-0.97724343530370517</v>
      </c>
      <c r="AC369" s="171" t="str">
        <f t="shared" si="226"/>
        <v>4.95926065169502+6.55544068632068i</v>
      </c>
      <c r="AD369" s="190">
        <f t="shared" si="227"/>
        <v>18.297415063151238</v>
      </c>
      <c r="AE369" s="169">
        <f t="shared" si="228"/>
        <v>52.892106758828348</v>
      </c>
      <c r="AF369" s="98" t="str">
        <f t="shared" si="214"/>
        <v>-0.0000114342530449913</v>
      </c>
      <c r="AG369" s="98" t="str">
        <f t="shared" si="215"/>
        <v>0.0244085529231546i</v>
      </c>
      <c r="AH369" s="98">
        <f t="shared" si="229"/>
        <v>2.4408552923154601E-2</v>
      </c>
      <c r="AI369" s="98">
        <f t="shared" si="230"/>
        <v>1.5707963267948966</v>
      </c>
      <c r="AJ369" s="98" t="str">
        <f t="shared" si="216"/>
        <v>1+0.223558730707714i</v>
      </c>
      <c r="AK369" s="98">
        <f t="shared" si="231"/>
        <v>1.0246845885811127</v>
      </c>
      <c r="AL369" s="98">
        <f t="shared" si="232"/>
        <v>0.21994219879139737</v>
      </c>
      <c r="AM369" s="98" t="str">
        <f t="shared" si="217"/>
        <v>1+536.764512429222i</v>
      </c>
      <c r="AN369" s="98">
        <f t="shared" si="233"/>
        <v>536.7654439355988</v>
      </c>
      <c r="AO369" s="98">
        <f t="shared" si="234"/>
        <v>1.5689333145802182</v>
      </c>
      <c r="AP369" s="168" t="str">
        <f t="shared" si="235"/>
        <v>-0.239380204935302+0.0539839874933994i</v>
      </c>
      <c r="AQ369" s="98">
        <f t="shared" si="236"/>
        <v>-12.202797782647236</v>
      </c>
      <c r="AR369" s="169">
        <f t="shared" si="237"/>
        <v>167.29149753534318</v>
      </c>
      <c r="AS369" s="168" t="str">
        <f t="shared" si="238"/>
        <v>-1.54103765915439-1.30152206993505i</v>
      </c>
      <c r="AT369" s="190">
        <f t="shared" si="239"/>
        <v>6.094617280504</v>
      </c>
      <c r="AU369" s="169">
        <f t="shared" si="240"/>
        <v>-139.81639570582846</v>
      </c>
      <c r="AV369" s="225"/>
      <c r="AX369">
        <f t="shared" si="241"/>
        <v>0</v>
      </c>
      <c r="AY369">
        <f t="shared" si="242"/>
        <v>0</v>
      </c>
    </row>
    <row r="370" spans="14:51" x14ac:dyDescent="0.2">
      <c r="N370" s="170">
        <v>52</v>
      </c>
      <c r="O370" s="199">
        <f t="shared" si="208"/>
        <v>33113.11214825909</v>
      </c>
      <c r="P370" s="189" t="str">
        <f t="shared" si="209"/>
        <v>1757.57575757576</v>
      </c>
      <c r="Q370" s="160" t="str">
        <f t="shared" si="210"/>
        <v>1+11997.8856041377i</v>
      </c>
      <c r="R370" s="160">
        <f t="shared" si="218"/>
        <v>11997.88564581171</v>
      </c>
      <c r="S370" s="160">
        <f t="shared" si="219"/>
        <v>1.570712978775864</v>
      </c>
      <c r="T370" s="160" t="str">
        <f t="shared" si="211"/>
        <v>1+58.2556295229807i</v>
      </c>
      <c r="U370" s="160">
        <f t="shared" si="220"/>
        <v>58.264211752316541</v>
      </c>
      <c r="V370" s="160">
        <f t="shared" si="221"/>
        <v>1.5536322895187236</v>
      </c>
      <c r="W370" s="98" t="str">
        <f t="shared" si="212"/>
        <v>1-0.0374933925129303i</v>
      </c>
      <c r="X370" s="160">
        <f t="shared" si="222"/>
        <v>1.0007026303963273</v>
      </c>
      <c r="Y370" s="160">
        <f t="shared" si="223"/>
        <v>-3.7475838481689748E-2</v>
      </c>
      <c r="Z370" s="98" t="str">
        <f t="shared" si="213"/>
        <v>0.561408721542727-0.881389175972926i</v>
      </c>
      <c r="AA370" s="160">
        <f t="shared" si="224"/>
        <v>1.0450007809310349</v>
      </c>
      <c r="AB370" s="160">
        <f t="shared" si="225"/>
        <v>-1.0036435023232937</v>
      </c>
      <c r="AC370" s="171" t="str">
        <f t="shared" si="226"/>
        <v>4.7603625526509+6.64397901778686i</v>
      </c>
      <c r="AD370" s="190">
        <f t="shared" si="227"/>
        <v>18.247992741788835</v>
      </c>
      <c r="AE370" s="169">
        <f t="shared" si="228"/>
        <v>54.378678034529756</v>
      </c>
      <c r="AF370" s="98" t="str">
        <f t="shared" si="214"/>
        <v>-0.0000114342530449913</v>
      </c>
      <c r="AG370" s="98" t="str">
        <f t="shared" si="215"/>
        <v>0.024977101157978i</v>
      </c>
      <c r="AH370" s="98">
        <f t="shared" si="229"/>
        <v>2.4977101157978E-2</v>
      </c>
      <c r="AI370" s="98">
        <f t="shared" si="230"/>
        <v>1.5707963267948966</v>
      </c>
      <c r="AJ370" s="98" t="str">
        <f t="shared" si="216"/>
        <v>1+0.228766082496384i</v>
      </c>
      <c r="AK370" s="98">
        <f t="shared" si="231"/>
        <v>1.0258332810455812</v>
      </c>
      <c r="AL370" s="98">
        <f t="shared" si="232"/>
        <v>0.22489614977483915</v>
      </c>
      <c r="AM370" s="98" t="str">
        <f t="shared" si="217"/>
        <v>1+549.267364073818i</v>
      </c>
      <c r="AN370" s="98">
        <f t="shared" si="233"/>
        <v>549.26827437655652</v>
      </c>
      <c r="AO370" s="98">
        <f t="shared" si="234"/>
        <v>1.5689757218208171</v>
      </c>
      <c r="AP370" s="168" t="str">
        <f t="shared" si="235"/>
        <v>-0.238844405816027+0.0550972884804274i</v>
      </c>
      <c r="AQ370" s="98">
        <f t="shared" si="236"/>
        <v>-12.212530068059799</v>
      </c>
      <c r="AR370" s="169">
        <f t="shared" si="237"/>
        <v>167.01008680798441</v>
      </c>
      <c r="AS370" s="168" t="str">
        <f t="shared" si="238"/>
        <v>-1.50305119395768-1.32459415192262i</v>
      </c>
      <c r="AT370" s="190">
        <f t="shared" si="239"/>
        <v>6.0354626737290316</v>
      </c>
      <c r="AU370" s="169">
        <f t="shared" si="240"/>
        <v>-138.61123515748591</v>
      </c>
      <c r="AV370" s="225"/>
      <c r="AX370">
        <f t="shared" si="241"/>
        <v>0</v>
      </c>
      <c r="AY370">
        <f t="shared" si="242"/>
        <v>0</v>
      </c>
    </row>
    <row r="371" spans="14:51" x14ac:dyDescent="0.2">
      <c r="N371" s="170">
        <v>53</v>
      </c>
      <c r="O371" s="199">
        <f t="shared" si="208"/>
        <v>33884.41561392029</v>
      </c>
      <c r="P371" s="189" t="str">
        <f t="shared" si="209"/>
        <v>1757.57575757576</v>
      </c>
      <c r="Q371" s="160" t="str">
        <f t="shared" si="210"/>
        <v>1+12277.3522609003i</v>
      </c>
      <c r="R371" s="160">
        <f t="shared" si="218"/>
        <v>12277.352301625691</v>
      </c>
      <c r="S371" s="160">
        <f t="shared" si="219"/>
        <v>1.5707148760083967</v>
      </c>
      <c r="T371" s="160" t="str">
        <f t="shared" si="211"/>
        <v>1+59.6125774517703i</v>
      </c>
      <c r="U371" s="160">
        <f t="shared" si="220"/>
        <v>59.620964353516733</v>
      </c>
      <c r="V371" s="160">
        <f t="shared" si="221"/>
        <v>1.5540229165758908</v>
      </c>
      <c r="W371" s="98" t="str">
        <f t="shared" si="212"/>
        <v>1-0.0383667258153135i</v>
      </c>
      <c r="X371" s="160">
        <f t="shared" si="222"/>
        <v>1.0007357321739778</v>
      </c>
      <c r="Y371" s="160">
        <f t="shared" si="223"/>
        <v>-3.8347917078739559E-2</v>
      </c>
      <c r="Z371" s="98" t="str">
        <f t="shared" si="213"/>
        <v>0.540738551401243-0.901919367245209i</v>
      </c>
      <c r="AA371" s="160">
        <f t="shared" si="224"/>
        <v>1.0515972261201116</v>
      </c>
      <c r="AB371" s="160">
        <f t="shared" si="225"/>
        <v>-1.0307136510202557</v>
      </c>
      <c r="AC371" s="171" t="str">
        <f t="shared" si="226"/>
        <v>4.55343702451572+6.7259014268284i</v>
      </c>
      <c r="AD371" s="190">
        <f t="shared" si="227"/>
        <v>18.193566138112775</v>
      </c>
      <c r="AE371" s="169">
        <f t="shared" si="228"/>
        <v>55.901989460964963</v>
      </c>
      <c r="AF371" s="98" t="str">
        <f t="shared" si="214"/>
        <v>-0.0000114342530449913</v>
      </c>
      <c r="AG371" s="98" t="str">
        <f t="shared" si="215"/>
        <v>0.0255588925824465i</v>
      </c>
      <c r="AH371" s="98">
        <f t="shared" si="229"/>
        <v>2.55588925824465E-2</v>
      </c>
      <c r="AI371" s="98">
        <f t="shared" si="230"/>
        <v>1.5707963267948966</v>
      </c>
      <c r="AJ371" s="98" t="str">
        <f t="shared" si="216"/>
        <v>1+0.234094729090072i</v>
      </c>
      <c r="AK371" s="98">
        <f t="shared" si="231"/>
        <v>1.0270347327075917</v>
      </c>
      <c r="AL371" s="98">
        <f t="shared" si="232"/>
        <v>0.22995389389393864</v>
      </c>
      <c r="AM371" s="98" t="str">
        <f t="shared" si="217"/>
        <v>1+562.061444545262i</v>
      </c>
      <c r="AN371" s="98">
        <f t="shared" si="233"/>
        <v>562.06233412701351</v>
      </c>
      <c r="AO371" s="98">
        <f t="shared" si="234"/>
        <v>1.5690171637610961</v>
      </c>
      <c r="AP371" s="168" t="str">
        <f t="shared" si="235"/>
        <v>-0.238285920007135+0.0562288467659932i</v>
      </c>
      <c r="AQ371" s="98">
        <f t="shared" si="236"/>
        <v>-12.222697641110463</v>
      </c>
      <c r="AR371" s="169">
        <f t="shared" si="237"/>
        <v>166.72267386437571</v>
      </c>
      <c r="AS371" s="168" t="str">
        <f t="shared" si="238"/>
        <v>-1.46320961127359-1.34665309665901i</v>
      </c>
      <c r="AT371" s="190">
        <f t="shared" si="239"/>
        <v>5.9708684970023089</v>
      </c>
      <c r="AU371" s="169">
        <f t="shared" si="240"/>
        <v>-137.37533667465942</v>
      </c>
      <c r="AV371" s="225"/>
      <c r="AX371">
        <f t="shared" si="241"/>
        <v>0</v>
      </c>
      <c r="AY371">
        <f t="shared" si="242"/>
        <v>0</v>
      </c>
    </row>
    <row r="372" spans="14:51" x14ac:dyDescent="0.2">
      <c r="N372" s="170">
        <v>54</v>
      </c>
      <c r="O372" s="199">
        <f t="shared" si="208"/>
        <v>34673.685045253202</v>
      </c>
      <c r="P372" s="189" t="str">
        <f t="shared" si="209"/>
        <v>1757.57575757576</v>
      </c>
      <c r="Q372" s="160" t="str">
        <f t="shared" si="210"/>
        <v>1+12563.3285323415i</v>
      </c>
      <c r="R372" s="160">
        <f t="shared" si="218"/>
        <v>12563.32857213987</v>
      </c>
      <c r="S372" s="160">
        <f t="shared" si="219"/>
        <v>1.5707167300546447</v>
      </c>
      <c r="T372" s="160" t="str">
        <f t="shared" si="211"/>
        <v>1+61.00113275819i</v>
      </c>
      <c r="U372" s="160">
        <f t="shared" si="220"/>
        <v>61.009328776690545</v>
      </c>
      <c r="V372" s="160">
        <f t="shared" si="221"/>
        <v>1.5544046568225069</v>
      </c>
      <c r="W372" s="98" t="str">
        <f t="shared" si="212"/>
        <v>1-0.0392604016635672i</v>
      </c>
      <c r="X372" s="160">
        <f t="shared" si="222"/>
        <v>1.0007703928168461</v>
      </c>
      <c r="Y372" s="160">
        <f t="shared" si="223"/>
        <v>-3.9240248577046645E-2</v>
      </c>
      <c r="Z372" s="98" t="str">
        <f t="shared" si="213"/>
        <v>0.519094226153035-0.92292776810431i</v>
      </c>
      <c r="AA372" s="160">
        <f t="shared" si="224"/>
        <v>1.0588930450066338</v>
      </c>
      <c r="AB372" s="160">
        <f t="shared" si="225"/>
        <v>-1.058450197304752</v>
      </c>
      <c r="AC372" s="171" t="str">
        <f t="shared" si="226"/>
        <v>4.33868823698963+6.80037092969569i</v>
      </c>
      <c r="AD372" s="190">
        <f t="shared" si="227"/>
        <v>18.133758704136881</v>
      </c>
      <c r="AE372" s="169">
        <f t="shared" si="228"/>
        <v>57.461815548532748</v>
      </c>
      <c r="AF372" s="98" t="str">
        <f t="shared" si="214"/>
        <v>-0.0000114342530449913</v>
      </c>
      <c r="AG372" s="98" t="str">
        <f t="shared" si="215"/>
        <v>0.026154235670074i</v>
      </c>
      <c r="AH372" s="98">
        <f t="shared" si="229"/>
        <v>2.6154235670074001E-2</v>
      </c>
      <c r="AI372" s="98">
        <f t="shared" si="230"/>
        <v>1.5707963267948966</v>
      </c>
      <c r="AJ372" s="98" t="str">
        <f t="shared" si="216"/>
        <v>1+0.239547495807731i</v>
      </c>
      <c r="AK372" s="98">
        <f t="shared" si="231"/>
        <v>1.0282913024759837</v>
      </c>
      <c r="AL372" s="98">
        <f t="shared" si="232"/>
        <v>0.23511707732128817</v>
      </c>
      <c r="AM372" s="98" t="str">
        <f t="shared" si="217"/>
        <v>1+575.153537434362i</v>
      </c>
      <c r="AN372" s="98">
        <f t="shared" si="233"/>
        <v>575.15440676679168</v>
      </c>
      <c r="AO372" s="98">
        <f t="shared" si="234"/>
        <v>1.5690576623735506</v>
      </c>
      <c r="AP372" s="168" t="str">
        <f t="shared" si="235"/>
        <v>-0.237703906067051+0.0573785609591484i</v>
      </c>
      <c r="AQ372" s="98">
        <f t="shared" si="236"/>
        <v>-12.233318888880619</v>
      </c>
      <c r="AR372" s="169">
        <f t="shared" si="237"/>
        <v>166.42916564470642</v>
      </c>
      <c r="AS372" s="168" t="str">
        <f t="shared" si="238"/>
        <v>-1.42151863907397-1.36752704520464i</v>
      </c>
      <c r="AT372" s="190">
        <f t="shared" si="239"/>
        <v>5.9004398152562771</v>
      </c>
      <c r="AU372" s="169">
        <f t="shared" si="240"/>
        <v>-136.1090188067609</v>
      </c>
      <c r="AV372" s="225"/>
      <c r="AX372">
        <f t="shared" si="241"/>
        <v>0</v>
      </c>
      <c r="AY372">
        <f t="shared" si="242"/>
        <v>0</v>
      </c>
    </row>
    <row r="373" spans="14:51" x14ac:dyDescent="0.2">
      <c r="N373" s="170">
        <v>55</v>
      </c>
      <c r="O373" s="199">
        <f t="shared" si="208"/>
        <v>35481.33892335758</v>
      </c>
      <c r="P373" s="189" t="str">
        <f t="shared" si="209"/>
        <v>1757.57575757576</v>
      </c>
      <c r="Q373" s="160" t="str">
        <f t="shared" si="210"/>
        <v>1+12855.966046866i</v>
      </c>
      <c r="R373" s="160">
        <f t="shared" si="218"/>
        <v>12855.966085758449</v>
      </c>
      <c r="S373" s="160">
        <f t="shared" si="219"/>
        <v>1.5707185418976484</v>
      </c>
      <c r="T373" s="160" t="str">
        <f t="shared" si="211"/>
        <v>1+62.422031672644i</v>
      </c>
      <c r="U373" s="160">
        <f t="shared" si="220"/>
        <v>62.430041151200363</v>
      </c>
      <c r="V373" s="160">
        <f t="shared" si="221"/>
        <v>1.5547777122170137</v>
      </c>
      <c r="W373" s="98" t="str">
        <f t="shared" si="212"/>
        <v>1-0.0401748938964561i</v>
      </c>
      <c r="X373" s="160">
        <f t="shared" si="222"/>
        <v>1.0008066856789035</v>
      </c>
      <c r="Y373" s="160">
        <f t="shared" si="223"/>
        <v>-4.0153300415149716E-2</v>
      </c>
      <c r="Z373" s="98" t="str">
        <f t="shared" si="213"/>
        <v>0.496429835282329-0.944425517482462i</v>
      </c>
      <c r="AA373" s="160">
        <f t="shared" si="224"/>
        <v>1.0669499235814472</v>
      </c>
      <c r="AB373" s="160">
        <f t="shared" si="225"/>
        <v>-1.0868460780939657</v>
      </c>
      <c r="AC373" s="171" t="str">
        <f t="shared" si="226"/>
        <v>4.11641618219511+6.86653076527271i</v>
      </c>
      <c r="AD373" s="190">
        <f t="shared" si="227"/>
        <v>18.068182361276833</v>
      </c>
      <c r="AE373" s="169">
        <f t="shared" si="228"/>
        <v>59.057736345183969</v>
      </c>
      <c r="AF373" s="98" t="str">
        <f t="shared" si="214"/>
        <v>-0.0000114342530449913</v>
      </c>
      <c r="AG373" s="98" t="str">
        <f t="shared" si="215"/>
        <v>0.0267634460796461i</v>
      </c>
      <c r="AH373" s="98">
        <f t="shared" si="229"/>
        <v>2.6763446079646099E-2</v>
      </c>
      <c r="AI373" s="98">
        <f t="shared" si="230"/>
        <v>1.5707963267948966</v>
      </c>
      <c r="AJ373" s="98" t="str">
        <f t="shared" si="216"/>
        <v>1+0.245127273778456i</v>
      </c>
      <c r="AK373" s="98">
        <f t="shared" si="231"/>
        <v>1.0296054488735276</v>
      </c>
      <c r="AL373" s="98">
        <f t="shared" si="232"/>
        <v>0.24038733601909182</v>
      </c>
      <c r="AM373" s="98" t="str">
        <f t="shared" si="217"/>
        <v>1+588.550584342072i</v>
      </c>
      <c r="AN373" s="98">
        <f t="shared" si="233"/>
        <v>588.55143388610861</v>
      </c>
      <c r="AO373" s="98">
        <f t="shared" si="234"/>
        <v>1.5690972391305491</v>
      </c>
      <c r="AP373" s="168" t="str">
        <f t="shared" si="235"/>
        <v>-0.237097502169164+0.0585462982861521i</v>
      </c>
      <c r="AQ373" s="98">
        <f t="shared" si="236"/>
        <v>-12.24441287608542</v>
      </c>
      <c r="AR373" s="169">
        <f t="shared" si="237"/>
        <v>166.12946964552307</v>
      </c>
      <c r="AS373" s="168" t="str">
        <f t="shared" si="238"/>
        <v>-1.37800195306188-1.38703636334114i</v>
      </c>
      <c r="AT373" s="190">
        <f t="shared" si="239"/>
        <v>5.8237694851914057</v>
      </c>
      <c r="AU373" s="169">
        <f t="shared" si="240"/>
        <v>-134.81279400929287</v>
      </c>
      <c r="AV373" s="225"/>
      <c r="AX373">
        <f t="shared" si="241"/>
        <v>0</v>
      </c>
      <c r="AY373">
        <f t="shared" si="242"/>
        <v>0</v>
      </c>
    </row>
    <row r="374" spans="14:51" x14ac:dyDescent="0.2">
      <c r="N374" s="170">
        <v>56</v>
      </c>
      <c r="O374" s="199">
        <f t="shared" si="208"/>
        <v>36307.805477010232</v>
      </c>
      <c r="P374" s="189" t="str">
        <f t="shared" si="209"/>
        <v>1757.57575757576</v>
      </c>
      <c r="Q374" s="160" t="str">
        <f t="shared" si="210"/>
        <v>1+13155.4199647573i</v>
      </c>
      <c r="R374" s="160">
        <f t="shared" si="218"/>
        <v>13155.420002764447</v>
      </c>
      <c r="S374" s="160">
        <f t="shared" si="219"/>
        <v>1.5707203124980704</v>
      </c>
      <c r="T374" s="160" t="str">
        <f t="shared" si="211"/>
        <v>1+63.8760275745438i</v>
      </c>
      <c r="U374" s="160">
        <f t="shared" si="220"/>
        <v>63.883854757707596</v>
      </c>
      <c r="V374" s="160">
        <f t="shared" si="221"/>
        <v>1.5551422801427348</v>
      </c>
      <c r="W374" s="98" t="str">
        <f t="shared" si="212"/>
        <v>1-0.0411106873898664i</v>
      </c>
      <c r="X374" s="160">
        <f t="shared" si="222"/>
        <v>1.0008446875602965</v>
      </c>
      <c r="Y374" s="160">
        <f t="shared" si="223"/>
        <v>-4.10875506123205E-2</v>
      </c>
      <c r="Z374" s="98" t="str">
        <f t="shared" si="213"/>
        <v>0.472697304577434-0.966424013770926i</v>
      </c>
      <c r="AA374" s="160">
        <f t="shared" si="224"/>
        <v>1.0758336842411462</v>
      </c>
      <c r="AB374" s="160">
        <f t="shared" si="225"/>
        <v>-1.1158905480337231</v>
      </c>
      <c r="AC374" s="171" t="str">
        <f t="shared" si="226"/>
        <v>3.88702484606681+6.92351590956228i</v>
      </c>
      <c r="AD374" s="190">
        <f t="shared" si="227"/>
        <v>17.996439994302531</v>
      </c>
      <c r="AE374" s="169">
        <f t="shared" si="228"/>
        <v>60.689120053177653</v>
      </c>
      <c r="AF374" s="98" t="str">
        <f t="shared" si="214"/>
        <v>-0.0000114342530449913</v>
      </c>
      <c r="AG374" s="98" t="str">
        <f t="shared" si="215"/>
        <v>0.0273868468225857i</v>
      </c>
      <c r="AH374" s="98">
        <f t="shared" si="229"/>
        <v>2.73868468225857E-2</v>
      </c>
      <c r="AI374" s="98">
        <f t="shared" si="230"/>
        <v>1.5707963267948966</v>
      </c>
      <c r="AJ374" s="98" t="str">
        <f t="shared" si="216"/>
        <v>1+0.250837021474379i</v>
      </c>
      <c r="AK374" s="98">
        <f t="shared" si="231"/>
        <v>1.0309797337203763</v>
      </c>
      <c r="AL374" s="98">
        <f t="shared" si="232"/>
        <v>0.24576629276033682</v>
      </c>
      <c r="AM374" s="98" t="str">
        <f t="shared" si="217"/>
        <v>1+602.259688559984i</v>
      </c>
      <c r="AN374" s="98">
        <f t="shared" si="233"/>
        <v>602.26051876606437</v>
      </c>
      <c r="AO374" s="98">
        <f t="shared" si="234"/>
        <v>1.5691359150157158</v>
      </c>
      <c r="AP374" s="168" t="str">
        <f t="shared" si="235"/>
        <v>-0.236465826640465+0.0597318925624889i</v>
      </c>
      <c r="AQ374" s="98">
        <f t="shared" si="236"/>
        <v>-12.255999361091538</v>
      </c>
      <c r="AR374" s="169">
        <f t="shared" si="237"/>
        <v>165.82349409105524</v>
      </c>
      <c r="AS374" s="168" t="str">
        <f t="shared" si="238"/>
        <v>-1.33270325186187-1.40499556232007i</v>
      </c>
      <c r="AT374" s="190">
        <f t="shared" si="239"/>
        <v>5.7404406332109961</v>
      </c>
      <c r="AU374" s="169">
        <f t="shared" si="240"/>
        <v>-133.48738585576706</v>
      </c>
      <c r="AV374" s="225"/>
      <c r="AX374">
        <f t="shared" si="241"/>
        <v>0</v>
      </c>
      <c r="AY374">
        <f t="shared" si="242"/>
        <v>0</v>
      </c>
    </row>
    <row r="375" spans="14:51" x14ac:dyDescent="0.2">
      <c r="N375" s="170">
        <v>57</v>
      </c>
      <c r="O375" s="199">
        <f t="shared" si="208"/>
        <v>37153.522909717351</v>
      </c>
      <c r="P375" s="189" t="str">
        <f t="shared" si="209"/>
        <v>1757.57575757576</v>
      </c>
      <c r="Q375" s="160" t="str">
        <f t="shared" si="210"/>
        <v>1+13461.8490604464i</v>
      </c>
      <c r="R375" s="160">
        <f t="shared" si="218"/>
        <v>13461.8490975884</v>
      </c>
      <c r="S375" s="160">
        <f t="shared" si="219"/>
        <v>1.5707220427947068</v>
      </c>
      <c r="T375" s="160" t="str">
        <f t="shared" si="211"/>
        <v>1+65.3638913917629i</v>
      </c>
      <c r="U375" s="160">
        <f t="shared" si="220"/>
        <v>65.371540427575795</v>
      </c>
      <c r="V375" s="160">
        <f t="shared" si="221"/>
        <v>1.5554985535105508</v>
      </c>
      <c r="W375" s="98" t="str">
        <f t="shared" si="212"/>
        <v>1-0.042068278313895i</v>
      </c>
      <c r="X375" s="160">
        <f t="shared" si="222"/>
        <v>1.000884478868713</v>
      </c>
      <c r="Y375" s="160">
        <f t="shared" si="223"/>
        <v>-4.2043487993176851E-2</v>
      </c>
      <c r="Z375" s="98" t="str">
        <f t="shared" si="213"/>
        <v>0.447846294158843-0.988934920863628i</v>
      </c>
      <c r="AA375" s="160">
        <f t="shared" si="224"/>
        <v>1.0856143794623205</v>
      </c>
      <c r="AB375" s="160">
        <f t="shared" si="225"/>
        <v>-1.1455688973028337</v>
      </c>
      <c r="AC375" s="171" t="str">
        <f t="shared" si="226"/>
        <v>3.65102905103734+6.97046668251518i</v>
      </c>
      <c r="AD375" s="190">
        <f t="shared" si="227"/>
        <v>17.918128440039801</v>
      </c>
      <c r="AE375" s="169">
        <f t="shared" si="228"/>
        <v>62.3551068534452</v>
      </c>
      <c r="AF375" s="98" t="str">
        <f t="shared" si="214"/>
        <v>-0.0000114342530449913</v>
      </c>
      <c r="AG375" s="98" t="str">
        <f t="shared" si="215"/>
        <v>0.0280247684342184i</v>
      </c>
      <c r="AH375" s="98">
        <f t="shared" si="229"/>
        <v>2.8024768434218399E-2</v>
      </c>
      <c r="AI375" s="98">
        <f t="shared" si="230"/>
        <v>1.5707963267948966</v>
      </c>
      <c r="AJ375" s="98" t="str">
        <f t="shared" si="216"/>
        <v>1+0.256679766279309i</v>
      </c>
      <c r="AK375" s="98">
        <f t="shared" si="231"/>
        <v>1.0324168259076374</v>
      </c>
      <c r="AL375" s="98">
        <f t="shared" si="232"/>
        <v>0.25125555396166449</v>
      </c>
      <c r="AM375" s="98" t="str">
        <f t="shared" si="217"/>
        <v>1+616.288118836621i</v>
      </c>
      <c r="AN375" s="98">
        <f t="shared" si="233"/>
        <v>616.28893014492894</v>
      </c>
      <c r="AO375" s="98">
        <f t="shared" si="234"/>
        <v>1.5691737105350543</v>
      </c>
      <c r="AP375" s="168" t="str">
        <f t="shared" si="235"/>
        <v>-0.235807978624377+0.0609351421041529i</v>
      </c>
      <c r="AQ375" s="98">
        <f t="shared" si="236"/>
        <v>-12.268098811456067</v>
      </c>
      <c r="AR375" s="169">
        <f t="shared" si="237"/>
        <v>165.51114811531687</v>
      </c>
      <c r="AS375" s="168" t="str">
        <f t="shared" si="238"/>
        <v>-1.28568815825532-1.42121568442112i</v>
      </c>
      <c r="AT375" s="190">
        <f t="shared" si="239"/>
        <v>5.6500296285837361</v>
      </c>
      <c r="AU375" s="169">
        <f t="shared" si="240"/>
        <v>-132.13374503123799</v>
      </c>
      <c r="AV375" s="225"/>
      <c r="AX375">
        <f t="shared" si="241"/>
        <v>0</v>
      </c>
      <c r="AY375">
        <f t="shared" si="242"/>
        <v>0</v>
      </c>
    </row>
    <row r="376" spans="14:51" x14ac:dyDescent="0.2">
      <c r="N376" s="170">
        <v>58</v>
      </c>
      <c r="O376" s="199">
        <f t="shared" si="208"/>
        <v>38018.939632056143</v>
      </c>
      <c r="P376" s="189" t="str">
        <f t="shared" si="209"/>
        <v>1757.57575757576</v>
      </c>
      <c r="Q376" s="160" t="str">
        <f t="shared" si="210"/>
        <v>1+13775.4158066961i</v>
      </c>
      <c r="R376" s="160">
        <f t="shared" si="218"/>
        <v>13775.415842992645</v>
      </c>
      <c r="S376" s="160">
        <f t="shared" si="219"/>
        <v>1.5707237337049837</v>
      </c>
      <c r="T376" s="160" t="str">
        <f t="shared" si="211"/>
        <v>1+66.8864120093913i</v>
      </c>
      <c r="U376" s="160">
        <f t="shared" si="220"/>
        <v>66.893886951574615</v>
      </c>
      <c r="V376" s="160">
        <f t="shared" si="221"/>
        <v>1.5558467208593332</v>
      </c>
      <c r="W376" s="98" t="str">
        <f t="shared" si="212"/>
        <v>1-0.0430481743959252i</v>
      </c>
      <c r="X376" s="160">
        <f t="shared" si="222"/>
        <v>1.0009261437882526</v>
      </c>
      <c r="Y376" s="160">
        <f t="shared" si="223"/>
        <v>-4.3021612415979578E-2</v>
      </c>
      <c r="Z376" s="98" t="str">
        <f t="shared" si="213"/>
        <v>0.421824091701627-1.01197017434147i</v>
      </c>
      <c r="AA376" s="160">
        <f t="shared" si="224"/>
        <v>1.0963663612573162</v>
      </c>
      <c r="AB376" s="160">
        <f t="shared" si="225"/>
        <v>-1.1758622012258488</v>
      </c>
      <c r="AC376" s="171" t="str">
        <f t="shared" si="226"/>
        <v>3.40905946742005+7.00654434233238i</v>
      </c>
      <c r="AD376" s="190">
        <f t="shared" si="227"/>
        <v>17.832841972656979</v>
      </c>
      <c r="AE376" s="169">
        <f t="shared" si="228"/>
        <v>64.054594552102955</v>
      </c>
      <c r="AF376" s="98" t="str">
        <f t="shared" si="214"/>
        <v>-0.0000114342530449913</v>
      </c>
      <c r="AG376" s="98" t="str">
        <f t="shared" si="215"/>
        <v>0.0286775491490265i</v>
      </c>
      <c r="AH376" s="98">
        <f t="shared" si="229"/>
        <v>2.86775491490265E-2</v>
      </c>
      <c r="AI376" s="98">
        <f t="shared" si="230"/>
        <v>1.5707963267948966</v>
      </c>
      <c r="AJ376" s="98" t="str">
        <f t="shared" si="216"/>
        <v>1+0.262658606093879i</v>
      </c>
      <c r="AK376" s="98">
        <f t="shared" si="231"/>
        <v>1.0339195052590793</v>
      </c>
      <c r="AL376" s="98">
        <f t="shared" si="232"/>
        <v>0.25685670632249524</v>
      </c>
      <c r="AM376" s="98" t="str">
        <f t="shared" si="217"/>
        <v>1+630.643313231403i</v>
      </c>
      <c r="AN376" s="98">
        <f t="shared" si="233"/>
        <v>630.64410607210266</v>
      </c>
      <c r="AO376" s="98">
        <f t="shared" si="234"/>
        <v>1.5692106457278165</v>
      </c>
      <c r="AP376" s="168" t="str">
        <f t="shared" si="235"/>
        <v>-0.235123038877602+0.0621558075825252i</v>
      </c>
      <c r="AQ376" s="98">
        <f t="shared" si="236"/>
        <v>-12.2807324188867</v>
      </c>
      <c r="AR376" s="169">
        <f t="shared" si="237"/>
        <v>165.19234195529225</v>
      </c>
      <c r="AS376" s="168" t="str">
        <f t="shared" si="238"/>
        <v>-1.2370458436547-1.43550715350551i</v>
      </c>
      <c r="AT376" s="190">
        <f t="shared" si="239"/>
        <v>5.5521095537702632</v>
      </c>
      <c r="AU376" s="169">
        <f t="shared" si="240"/>
        <v>-130.75306349260475</v>
      </c>
      <c r="AV376" s="225"/>
      <c r="AX376">
        <f t="shared" si="241"/>
        <v>0</v>
      </c>
      <c r="AY376">
        <f t="shared" si="242"/>
        <v>0</v>
      </c>
    </row>
    <row r="377" spans="14:51" x14ac:dyDescent="0.2">
      <c r="N377" s="170">
        <v>59</v>
      </c>
      <c r="O377" s="199">
        <f t="shared" si="208"/>
        <v>38904.514499428085</v>
      </c>
      <c r="P377" s="189" t="str">
        <f t="shared" si="209"/>
        <v>1757.57575757576</v>
      </c>
      <c r="Q377" s="160" t="str">
        <f t="shared" si="210"/>
        <v>1+14096.2864607456i</v>
      </c>
      <c r="R377" s="160">
        <f t="shared" si="218"/>
        <v>14096.286496215933</v>
      </c>
      <c r="S377" s="160">
        <f t="shared" si="219"/>
        <v>1.570725386125444</v>
      </c>
      <c r="T377" s="160" t="str">
        <f t="shared" si="211"/>
        <v>1+68.4443966880134i</v>
      </c>
      <c r="U377" s="160">
        <f t="shared" si="220"/>
        <v>68.451701498108434</v>
      </c>
      <c r="V377" s="160">
        <f t="shared" si="221"/>
        <v>1.5561869664541848</v>
      </c>
      <c r="W377" s="98" t="str">
        <f t="shared" si="212"/>
        <v>1-0.04405089518983i</v>
      </c>
      <c r="X377" s="160">
        <f t="shared" si="222"/>
        <v>1.000969770456144</v>
      </c>
      <c r="Y377" s="160">
        <f t="shared" si="223"/>
        <v>-4.4022435004592034E-2</v>
      </c>
      <c r="Z377" s="98" t="str">
        <f t="shared" si="213"/>
        <v>0.394575500625514-1.03554198780076i</v>
      </c>
      <c r="AA377" s="160">
        <f t="shared" si="224"/>
        <v>1.1081683239437159</v>
      </c>
      <c r="AB377" s="160">
        <f t="shared" si="225"/>
        <v>-1.2067471132187111</v>
      </c>
      <c r="AC377" s="171" t="str">
        <f t="shared" si="226"/>
        <v>3.16186527542237+7.03094844054509i</v>
      </c>
      <c r="AD377" s="190">
        <f t="shared" si="227"/>
        <v>17.740176269252256</v>
      </c>
      <c r="AE377" s="169">
        <f t="shared" si="228"/>
        <v>65.786226709422664</v>
      </c>
      <c r="AF377" s="98" t="str">
        <f t="shared" si="214"/>
        <v>-0.0000114342530449913</v>
      </c>
      <c r="AG377" s="98" t="str">
        <f t="shared" si="215"/>
        <v>0.0293455350799857i</v>
      </c>
      <c r="AH377" s="98">
        <f t="shared" si="229"/>
        <v>2.9345535079985701E-2</v>
      </c>
      <c r="AI377" s="98">
        <f t="shared" si="230"/>
        <v>1.5707963267948966</v>
      </c>
      <c r="AJ377" s="98" t="str">
        <f t="shared" si="216"/>
        <v>1+0.268776710978097i</v>
      </c>
      <c r="AK377" s="98">
        <f t="shared" si="231"/>
        <v>1.0354906664785557</v>
      </c>
      <c r="AL377" s="98">
        <f t="shared" si="232"/>
        <v>0.26257131326551392</v>
      </c>
      <c r="AM377" s="98" t="str">
        <f t="shared" si="217"/>
        <v>1+645.332883058411i</v>
      </c>
      <c r="AN377" s="98">
        <f t="shared" si="233"/>
        <v>645.33365785187493</v>
      </c>
      <c r="AO377" s="98">
        <f t="shared" si="234"/>
        <v>1.5692467401771275</v>
      </c>
      <c r="AP377" s="168" t="str">
        <f t="shared" si="235"/>
        <v>-0.234410070711232+0.0633936098281353i</v>
      </c>
      <c r="AQ377" s="98">
        <f t="shared" si="236"/>
        <v>-12.293922113510057</v>
      </c>
      <c r="AR377" s="169">
        <f t="shared" si="237"/>
        <v>164.86698715549051</v>
      </c>
      <c r="AS377" s="168" t="str">
        <f t="shared" si="238"/>
        <v>-1.1868902649528-1.44768306751595i</v>
      </c>
      <c r="AT377" s="190">
        <f t="shared" si="239"/>
        <v>5.4462541557422206</v>
      </c>
      <c r="AU377" s="169">
        <f t="shared" si="240"/>
        <v>-129.34678613508677</v>
      </c>
      <c r="AV377" s="225"/>
      <c r="AX377">
        <f t="shared" si="241"/>
        <v>0</v>
      </c>
      <c r="AY377">
        <f t="shared" si="242"/>
        <v>0</v>
      </c>
    </row>
    <row r="378" spans="14:51" x14ac:dyDescent="0.2">
      <c r="N378" s="170">
        <v>60</v>
      </c>
      <c r="O378" s="199">
        <f t="shared" si="208"/>
        <v>39810.717055349742</v>
      </c>
      <c r="P378" s="189" t="str">
        <f t="shared" si="209"/>
        <v>1757.57575757576</v>
      </c>
      <c r="Q378" s="160" t="str">
        <f t="shared" si="210"/>
        <v>1+14424.6311524631i</v>
      </c>
      <c r="R378" s="160">
        <f t="shared" si="218"/>
        <v>14424.63118712603</v>
      </c>
      <c r="S378" s="160">
        <f t="shared" si="219"/>
        <v>1.5707270009322227</v>
      </c>
      <c r="T378" s="160" t="str">
        <f t="shared" si="211"/>
        <v>1+70.038671491728i</v>
      </c>
      <c r="U378" s="160">
        <f t="shared" si="220"/>
        <v>70.045810041187991</v>
      </c>
      <c r="V378" s="160">
        <f t="shared" si="221"/>
        <v>1.5565194703825289</v>
      </c>
      <c r="W378" s="98" t="str">
        <f t="shared" si="212"/>
        <v>1-0.0450769723514469i</v>
      </c>
      <c r="X378" s="160">
        <f t="shared" si="222"/>
        <v>1.0010154511476699</v>
      </c>
      <c r="Y378" s="160">
        <f t="shared" si="223"/>
        <v>-4.5046478384072594E-2</v>
      </c>
      <c r="Z378" s="98" t="str">
        <f t="shared" si="213"/>
        <v>0.366042723015554-1.059662859329i</v>
      </c>
      <c r="AA378" s="160">
        <f t="shared" si="224"/>
        <v>1.1211033183939623</v>
      </c>
      <c r="AB378" s="160">
        <f t="shared" si="225"/>
        <v>-1.2381957129735053</v>
      </c>
      <c r="AC378" s="171" t="str">
        <f t="shared" si="226"/>
        <v>2.9103139745864+7.04293557545257i</v>
      </c>
      <c r="AD378" s="190">
        <f t="shared" si="227"/>
        <v>17.639732818393831</v>
      </c>
      <c r="AE378" s="169">
        <f t="shared" si="228"/>
        <v>67.548383933438444</v>
      </c>
      <c r="AF378" s="98" t="str">
        <f t="shared" si="214"/>
        <v>-0.0000114342530449913</v>
      </c>
      <c r="AG378" s="98" t="str">
        <f t="shared" si="215"/>
        <v>0.0300290804020784i</v>
      </c>
      <c r="AH378" s="98">
        <f t="shared" si="229"/>
        <v>3.0029080402078401E-2</v>
      </c>
      <c r="AI378" s="98">
        <f t="shared" si="230"/>
        <v>1.5707963267948966</v>
      </c>
      <c r="AJ378" s="98" t="str">
        <f t="shared" si="216"/>
        <v>1+0.275037324832156i</v>
      </c>
      <c r="AK378" s="98">
        <f t="shared" si="231"/>
        <v>1.0371333231802116</v>
      </c>
      <c r="AL378" s="98">
        <f t="shared" si="232"/>
        <v>0.26840091117409143</v>
      </c>
      <c r="AM378" s="98" t="str">
        <f t="shared" si="217"/>
        <v>1+660.364616922006i</v>
      </c>
      <c r="AN378" s="98">
        <f t="shared" si="233"/>
        <v>660.36537407903791</v>
      </c>
      <c r="AO378" s="98">
        <f t="shared" si="234"/>
        <v>1.5692820130203657</v>
      </c>
      <c r="AP378" s="168" t="str">
        <f t="shared" si="235"/>
        <v>-0.233668121086481+0.0646482275896064i</v>
      </c>
      <c r="AQ378" s="98">
        <f t="shared" si="236"/>
        <v>-12.307690577330536</v>
      </c>
      <c r="AR378" s="169">
        <f t="shared" si="237"/>
        <v>164.53499678411964</v>
      </c>
      <c r="AS378" s="168" t="str">
        <f t="shared" si="238"/>
        <v>-1.13536090019413-1.45756288266286i</v>
      </c>
      <c r="AT378" s="190">
        <f t="shared" si="239"/>
        <v>5.3320422410632968</v>
      </c>
      <c r="AU378" s="169">
        <f t="shared" si="240"/>
        <v>-127.91661928244206</v>
      </c>
      <c r="AV378" s="225"/>
      <c r="AX378">
        <f t="shared" si="241"/>
        <v>0</v>
      </c>
      <c r="AY378">
        <f t="shared" si="242"/>
        <v>0</v>
      </c>
    </row>
    <row r="379" spans="14:51" x14ac:dyDescent="0.2">
      <c r="N379" s="170">
        <v>61</v>
      </c>
      <c r="O379" s="199">
        <f t="shared" si="208"/>
        <v>40738.027780411358</v>
      </c>
      <c r="P379" s="189" t="str">
        <f t="shared" si="209"/>
        <v>1757.57575757576</v>
      </c>
      <c r="Q379" s="160" t="str">
        <f t="shared" si="210"/>
        <v>1+14760.6239745501i</v>
      </c>
      <c r="R379" s="160">
        <f t="shared" si="218"/>
        <v>14760.624008424005</v>
      </c>
      <c r="S379" s="160">
        <f t="shared" si="219"/>
        <v>1.570728578981512</v>
      </c>
      <c r="T379" s="160" t="str">
        <f t="shared" si="211"/>
        <v>1+71.6700817261391i</v>
      </c>
      <c r="U379" s="160">
        <f t="shared" si="220"/>
        <v>71.677057798374079</v>
      </c>
      <c r="V379" s="160">
        <f t="shared" si="221"/>
        <v>1.5568444086480908</v>
      </c>
      <c r="W379" s="98" t="str">
        <f t="shared" si="212"/>
        <v>1-0.046126949920469i</v>
      </c>
      <c r="X379" s="160">
        <f t="shared" si="222"/>
        <v>1.0010632824696777</v>
      </c>
      <c r="Y379" s="160">
        <f t="shared" si="223"/>
        <v>-4.6094276919859352E-2</v>
      </c>
      <c r="Z379" s="98" t="str">
        <f t="shared" si="213"/>
        <v>0.336165237024974-1.08434557813155i</v>
      </c>
      <c r="AA379" s="160">
        <f t="shared" si="224"/>
        <v>1.1352587367633433</v>
      </c>
      <c r="AB379" s="160">
        <f t="shared" si="225"/>
        <v>-1.270175421633601</v>
      </c>
      <c r="AC379" s="171" t="str">
        <f t="shared" si="226"/>
        <v>2.6553878892146+7.04183903962917i</v>
      </c>
      <c r="AD379" s="190">
        <f t="shared" si="227"/>
        <v>17.531123710986453</v>
      </c>
      <c r="AE379" s="169">
        <f t="shared" si="228"/>
        <v>69.339179011494167</v>
      </c>
      <c r="AF379" s="98" t="str">
        <f t="shared" si="214"/>
        <v>-0.0000114342530449913</v>
      </c>
      <c r="AG379" s="98" t="str">
        <f t="shared" si="215"/>
        <v>0.0307285475400822i</v>
      </c>
      <c r="AH379" s="98">
        <f t="shared" si="229"/>
        <v>3.07285475400822E-2</v>
      </c>
      <c r="AI379" s="98">
        <f t="shared" si="230"/>
        <v>1.5707963267948966</v>
      </c>
      <c r="AJ379" s="98" t="str">
        <f t="shared" si="216"/>
        <v>1+0.281443767116391i</v>
      </c>
      <c r="AK379" s="98">
        <f t="shared" si="231"/>
        <v>1.0388506119980223</v>
      </c>
      <c r="AL379" s="98">
        <f t="shared" si="232"/>
        <v>0.27434700542285956</v>
      </c>
      <c r="AM379" s="98" t="str">
        <f t="shared" si="217"/>
        <v>1+675.746484846454i</v>
      </c>
      <c r="AN379" s="98">
        <f t="shared" si="233"/>
        <v>675.74722476850684</v>
      </c>
      <c r="AO379" s="98">
        <f t="shared" si="234"/>
        <v>1.569316482959308</v>
      </c>
      <c r="AP379" s="168" t="str">
        <f t="shared" si="235"/>
        <v>-0.232896221875594+0.0659192952551715i</v>
      </c>
      <c r="AQ379" s="98">
        <f t="shared" si="236"/>
        <v>-12.322061256752161</v>
      </c>
      <c r="AR379" s="169">
        <f t="shared" si="237"/>
        <v>164.19628566109975</v>
      </c>
      <c r="AS379" s="168" t="str">
        <f t="shared" si="238"/>
        <v>-1.082622873805-1.46497640909955i</v>
      </c>
      <c r="AT379" s="190">
        <f t="shared" si="239"/>
        <v>5.2090624542342976</v>
      </c>
      <c r="AU379" s="169">
        <f t="shared" si="240"/>
        <v>-126.46453532740617</v>
      </c>
      <c r="AV379" s="225"/>
      <c r="AX379">
        <f t="shared" si="241"/>
        <v>0</v>
      </c>
      <c r="AY379">
        <f t="shared" si="242"/>
        <v>0</v>
      </c>
    </row>
    <row r="380" spans="14:51" x14ac:dyDescent="0.2">
      <c r="N380" s="170">
        <v>62</v>
      </c>
      <c r="O380" s="199">
        <f t="shared" si="208"/>
        <v>41686.938347033625</v>
      </c>
      <c r="P380" s="189" t="str">
        <f t="shared" si="209"/>
        <v>1757.57575757576</v>
      </c>
      <c r="Q380" s="160" t="str">
        <f t="shared" si="210"/>
        <v>1+15104.4430748485i</v>
      </c>
      <c r="R380" s="160">
        <f t="shared" si="218"/>
        <v>15104.44310795134</v>
      </c>
      <c r="S380" s="160">
        <f t="shared" si="219"/>
        <v>1.5707301211100142</v>
      </c>
      <c r="T380" s="160" t="str">
        <f t="shared" si="211"/>
        <v>1+73.3394923865473i</v>
      </c>
      <c r="U380" s="160">
        <f t="shared" si="220"/>
        <v>73.346309678922708</v>
      </c>
      <c r="V380" s="160">
        <f t="shared" si="221"/>
        <v>1.557161953262814</v>
      </c>
      <c r="W380" s="98" t="str">
        <f t="shared" si="212"/>
        <v>1-0.0472013846089013i</v>
      </c>
      <c r="X380" s="160">
        <f t="shared" si="222"/>
        <v>1.0011133655630602</v>
      </c>
      <c r="Y380" s="160">
        <f t="shared" si="223"/>
        <v>-4.7166376960497226E-2</v>
      </c>
      <c r="Z380" s="98" t="str">
        <f t="shared" si="213"/>
        <v>0.304879668500245-1.10960323131264i</v>
      </c>
      <c r="AA380" s="160">
        <f t="shared" si="224"/>
        <v>1.1507262677128178</v>
      </c>
      <c r="AB380" s="160">
        <f t="shared" si="225"/>
        <v>-1.3026489949122237</v>
      </c>
      <c r="AC380" s="171" t="str">
        <f t="shared" si="226"/>
        <v>2.39817701157094+7.02708871970711i</v>
      </c>
      <c r="AD380" s="190">
        <f t="shared" si="227"/>
        <v>17.413976728407757</v>
      </c>
      <c r="AE380" s="169">
        <f t="shared" si="228"/>
        <v>71.156456507299794</v>
      </c>
      <c r="AF380" s="98" t="str">
        <f t="shared" si="214"/>
        <v>-0.0000114342530449913</v>
      </c>
      <c r="AG380" s="98" t="str">
        <f t="shared" si="215"/>
        <v>0.0314443073607321i</v>
      </c>
      <c r="AH380" s="98">
        <f t="shared" si="229"/>
        <v>3.1444307360732102E-2</v>
      </c>
      <c r="AI380" s="98">
        <f t="shared" si="230"/>
        <v>1.5707963267948966</v>
      </c>
      <c r="AJ380" s="98" t="str">
        <f t="shared" si="216"/>
        <v>1+0.2879994346113i</v>
      </c>
      <c r="AK380" s="98">
        <f t="shared" si="231"/>
        <v>1.0406457967706535</v>
      </c>
      <c r="AL380" s="98">
        <f t="shared" si="232"/>
        <v>0.28041106619839151</v>
      </c>
      <c r="AM380" s="98" t="str">
        <f t="shared" si="217"/>
        <v>1+691.486642501731i</v>
      </c>
      <c r="AN380" s="98">
        <f t="shared" si="233"/>
        <v>691.48736558111943</v>
      </c>
      <c r="AO380" s="98">
        <f t="shared" si="234"/>
        <v>1.5693501682700448</v>
      </c>
      <c r="AP380" s="168" t="str">
        <f t="shared" si="235"/>
        <v>-0.232093391298546+0.0672064005453502i</v>
      </c>
      <c r="AQ380" s="98">
        <f t="shared" si="236"/>
        <v>-12.337058374027725</v>
      </c>
      <c r="AR380" s="169">
        <f t="shared" si="237"/>
        <v>163.85077059808771</v>
      </c>
      <c r="AS380" s="168" t="str">
        <f t="shared" si="238"/>
        <v>-1.02886637471406-1.46976800709429i</v>
      </c>
      <c r="AT380" s="190">
        <f t="shared" si="239"/>
        <v>5.0769183543800196</v>
      </c>
      <c r="AU380" s="169">
        <f t="shared" si="240"/>
        <v>-124.99277289461256</v>
      </c>
      <c r="AV380" s="225"/>
      <c r="AX380">
        <f t="shared" si="241"/>
        <v>0</v>
      </c>
      <c r="AY380">
        <f t="shared" si="242"/>
        <v>0</v>
      </c>
    </row>
    <row r="381" spans="14:51" x14ac:dyDescent="0.2">
      <c r="N381" s="170">
        <v>63</v>
      </c>
      <c r="O381" s="199">
        <f t="shared" si="208"/>
        <v>42657.951880159271</v>
      </c>
      <c r="P381" s="189" t="str">
        <f t="shared" si="209"/>
        <v>1757.57575757576</v>
      </c>
      <c r="Q381" s="160" t="str">
        <f t="shared" si="210"/>
        <v>1+15456.270750796i</v>
      </c>
      <c r="R381" s="160">
        <f t="shared" si="218"/>
        <v>15456.27078314533</v>
      </c>
      <c r="S381" s="160">
        <f t="shared" si="219"/>
        <v>1.5707316281353862</v>
      </c>
      <c r="T381" s="160" t="str">
        <f t="shared" si="211"/>
        <v>1+75.0477886165815i</v>
      </c>
      <c r="U381" s="160">
        <f t="shared" si="220"/>
        <v>75.054450742371699</v>
      </c>
      <c r="V381" s="160">
        <f t="shared" si="221"/>
        <v>1.5574722723367536</v>
      </c>
      <c r="W381" s="98" t="str">
        <f t="shared" si="212"/>
        <v>1-0.0483008460962373i</v>
      </c>
      <c r="X381" s="160">
        <f t="shared" si="222"/>
        <v>1.0011658063146247</v>
      </c>
      <c r="Y381" s="160">
        <f t="shared" si="223"/>
        <v>-4.8263337083850305E-2</v>
      </c>
      <c r="Z381" s="98" t="str">
        <f t="shared" si="213"/>
        <v>0.272119656556002-1.13544921081431i</v>
      </c>
      <c r="AA381" s="160">
        <f t="shared" si="224"/>
        <v>1.167601823321202</v>
      </c>
      <c r="AB381" s="160">
        <f t="shared" si="225"/>
        <v>-1.3355746035905867</v>
      </c>
      <c r="AC381" s="171" t="str">
        <f t="shared" si="226"/>
        <v>2.13986796076599+6.99823048632653i</v>
      </c>
      <c r="AD381" s="190">
        <f t="shared" si="227"/>
        <v>17.287940618730641</v>
      </c>
      <c r="AE381" s="169">
        <f t="shared" si="228"/>
        <v>72.997797364152774</v>
      </c>
      <c r="AF381" s="98" t="str">
        <f t="shared" si="214"/>
        <v>-0.0000114342530449913</v>
      </c>
      <c r="AG381" s="98" t="str">
        <f t="shared" si="215"/>
        <v>0.0321767393693593i</v>
      </c>
      <c r="AH381" s="98">
        <f t="shared" si="229"/>
        <v>3.2176739369359303E-2</v>
      </c>
      <c r="AI381" s="98">
        <f t="shared" si="230"/>
        <v>1.5707963267948966</v>
      </c>
      <c r="AJ381" s="98" t="str">
        <f t="shared" si="216"/>
        <v>1+0.294707803218562i</v>
      </c>
      <c r="AK381" s="98">
        <f t="shared" si="231"/>
        <v>1.0425222727970422</v>
      </c>
      <c r="AL381" s="98">
        <f t="shared" si="232"/>
        <v>0.28659452410778363</v>
      </c>
      <c r="AM381" s="98" t="str">
        <f t="shared" si="217"/>
        <v>1+707.593435527768i</v>
      </c>
      <c r="AN381" s="98">
        <f t="shared" si="233"/>
        <v>707.5941421478766</v>
      </c>
      <c r="AO381" s="98">
        <f t="shared" si="234"/>
        <v>1.5693830868126672</v>
      </c>
      <c r="AP381" s="168" t="str">
        <f t="shared" si="235"/>
        <v>-0.231258635546129+0.0685090821866211i</v>
      </c>
      <c r="AQ381" s="98">
        <f t="shared" si="236"/>
        <v>-12.352706937491112</v>
      </c>
      <c r="AR381" s="169">
        <f t="shared" si="237"/>
        <v>163.49837065064281</v>
      </c>
      <c r="AS381" s="168" t="str">
        <f t="shared" si="238"/>
        <v>-0.974305292404282-1.47180084351256i</v>
      </c>
      <c r="AT381" s="190">
        <f t="shared" si="239"/>
        <v>4.9352336812395228</v>
      </c>
      <c r="AU381" s="169">
        <f t="shared" si="240"/>
        <v>-123.50383198520443</v>
      </c>
      <c r="AV381" s="225"/>
      <c r="AX381">
        <f t="shared" si="241"/>
        <v>0</v>
      </c>
      <c r="AY381">
        <f t="shared" si="242"/>
        <v>0</v>
      </c>
    </row>
    <row r="382" spans="14:51" x14ac:dyDescent="0.2">
      <c r="N382" s="170">
        <v>64</v>
      </c>
      <c r="O382" s="199">
        <f t="shared" si="208"/>
        <v>43651.583224016598</v>
      </c>
      <c r="P382" s="189" t="str">
        <f t="shared" si="209"/>
        <v>1757.57575757576</v>
      </c>
      <c r="Q382" s="160" t="str">
        <f t="shared" si="210"/>
        <v>1+15816.2935460835i</v>
      </c>
      <c r="R382" s="160">
        <f t="shared" si="218"/>
        <v>15816.293577696468</v>
      </c>
      <c r="S382" s="160">
        <f t="shared" si="219"/>
        <v>1.5707331008566732</v>
      </c>
      <c r="T382" s="160" t="str">
        <f t="shared" si="211"/>
        <v>1+76.7958761775151i</v>
      </c>
      <c r="U382" s="160">
        <f t="shared" si="220"/>
        <v>76.802386667812812</v>
      </c>
      <c r="V382" s="160">
        <f t="shared" si="221"/>
        <v>1.5577755301659879</v>
      </c>
      <c r="W382" s="98" t="str">
        <f t="shared" si="212"/>
        <v>1-0.0494259173315108i</v>
      </c>
      <c r="X382" s="160">
        <f t="shared" si="222"/>
        <v>1.0012207155787685</v>
      </c>
      <c r="Y382" s="160">
        <f t="shared" si="223"/>
        <v>-4.9385728346727262E-2</v>
      </c>
      <c r="Z382" s="98" t="str">
        <f t="shared" si="213"/>
        <v>0.2378157128147-1.16189722051699i</v>
      </c>
      <c r="AA382" s="160">
        <f t="shared" si="224"/>
        <v>1.1859854401748238</v>
      </c>
      <c r="AB382" s="160">
        <f t="shared" si="225"/>
        <v>-1.3689060085653115</v>
      </c>
      <c r="AC382" s="171" t="str">
        <f t="shared" si="226"/>
        <v>1.88172901142906+6.9549442230927i</v>
      </c>
      <c r="AD382" s="190">
        <f t="shared" si="227"/>
        <v>17.152690429732885</v>
      </c>
      <c r="AE382" s="169">
        <f t="shared" si="228"/>
        <v>74.860528925125934</v>
      </c>
      <c r="AF382" s="98" t="str">
        <f t="shared" si="214"/>
        <v>-0.0000114342530449913</v>
      </c>
      <c r="AG382" s="98" t="str">
        <f t="shared" si="215"/>
        <v>0.0329262319111096i</v>
      </c>
      <c r="AH382" s="98">
        <f t="shared" si="229"/>
        <v>3.2926231911109598E-2</v>
      </c>
      <c r="AI382" s="98">
        <f t="shared" si="230"/>
        <v>1.5707963267948966</v>
      </c>
      <c r="AJ382" s="98" t="str">
        <f t="shared" si="216"/>
        <v>1+0.30157242980401i</v>
      </c>
      <c r="AK382" s="98">
        <f t="shared" si="231"/>
        <v>1.0444835711574858</v>
      </c>
      <c r="AL382" s="98">
        <f t="shared" si="232"/>
        <v>0.2928987655738951</v>
      </c>
      <c r="AM382" s="98" t="str">
        <f t="shared" si="217"/>
        <v>1+724.075403959427i</v>
      </c>
      <c r="AN382" s="98">
        <f t="shared" si="233"/>
        <v>724.07609449491383</v>
      </c>
      <c r="AO382" s="98">
        <f t="shared" si="234"/>
        <v>1.5694152560407373</v>
      </c>
      <c r="AP382" s="168" t="str">
        <f t="shared" si="235"/>
        <v>-0.230390950599881+0.0698268275772829i</v>
      </c>
      <c r="AQ382" s="98">
        <f t="shared" si="236"/>
        <v>-12.36903275042051</v>
      </c>
      <c r="AR382" s="169">
        <f t="shared" si="237"/>
        <v>163.13900738260185</v>
      </c>
      <c r="AS382" s="168" t="str">
        <f t="shared" si="238"/>
        <v>-0.919175026790029-1.47096104369925i</v>
      </c>
      <c r="AT382" s="190">
        <f t="shared" si="239"/>
        <v>4.7836576793123768</v>
      </c>
      <c r="AU382" s="169">
        <f t="shared" si="240"/>
        <v>-122.00046369227222</v>
      </c>
      <c r="AV382" s="225"/>
      <c r="AX382">
        <f t="shared" si="241"/>
        <v>0</v>
      </c>
      <c r="AY382">
        <f t="shared" si="242"/>
        <v>0</v>
      </c>
    </row>
    <row r="383" spans="14:51" x14ac:dyDescent="0.2">
      <c r="N383" s="170">
        <v>65</v>
      </c>
      <c r="O383" s="199">
        <f t="shared" si="208"/>
        <v>44668.359215096389</v>
      </c>
      <c r="P383" s="189" t="str">
        <f t="shared" si="209"/>
        <v>1757.57575757576</v>
      </c>
      <c r="Q383" s="160" t="str">
        <f t="shared" si="210"/>
        <v>1+16184.7023495626i</v>
      </c>
      <c r="R383" s="160">
        <f t="shared" si="218"/>
        <v>16184.70238045597</v>
      </c>
      <c r="S383" s="160">
        <f t="shared" si="219"/>
        <v>1.5707345400547312</v>
      </c>
      <c r="T383" s="160" t="str">
        <f t="shared" si="211"/>
        <v>1+78.584681928512i</v>
      </c>
      <c r="U383" s="160">
        <f t="shared" si="220"/>
        <v>78.591044234094525</v>
      </c>
      <c r="V383" s="160">
        <f t="shared" si="221"/>
        <v>1.5580718873185908</v>
      </c>
      <c r="W383" s="98" t="str">
        <f t="shared" si="212"/>
        <v>1-0.050577194842383i</v>
      </c>
      <c r="X383" s="160">
        <f t="shared" si="222"/>
        <v>1.001278209409415</v>
      </c>
      <c r="Y383" s="160">
        <f t="shared" si="223"/>
        <v>-5.0534134537837019E-2</v>
      </c>
      <c r="Z383" s="98" t="str">
        <f t="shared" si="213"/>
        <v>0.201895074012441-1.18896128350553i</v>
      </c>
      <c r="AA383" s="160">
        <f t="shared" si="224"/>
        <v>1.2059811584703994</v>
      </c>
      <c r="AB383" s="160">
        <f t="shared" si="225"/>
        <v>-1.4025928346280605</v>
      </c>
      <c r="AC383" s="171" t="str">
        <f t="shared" si="226"/>
        <v>1.62509135480194+6.89705959946946i</v>
      </c>
      <c r="AD383" s="190">
        <f t="shared" si="227"/>
        <v>17.007932749190438</v>
      </c>
      <c r="AE383" s="169">
        <f t="shared" si="228"/>
        <v>76.741740609893469</v>
      </c>
      <c r="AF383" s="98" t="str">
        <f t="shared" si="214"/>
        <v>-0.0000114342530449913</v>
      </c>
      <c r="AG383" s="98" t="str">
        <f t="shared" si="215"/>
        <v>0.0336931823768494i</v>
      </c>
      <c r="AH383" s="98">
        <f t="shared" si="229"/>
        <v>3.3693182376849401E-2</v>
      </c>
      <c r="AI383" s="98">
        <f t="shared" si="230"/>
        <v>1.5707963267948966</v>
      </c>
      <c r="AJ383" s="98" t="str">
        <f t="shared" si="216"/>
        <v>1+0.308596954083524i</v>
      </c>
      <c r="AK383" s="98">
        <f t="shared" si="231"/>
        <v>1.0465333630943778</v>
      </c>
      <c r="AL383" s="98">
        <f t="shared" si="232"/>
        <v>0.299325128017081</v>
      </c>
      <c r="AM383" s="98" t="str">
        <f t="shared" si="217"/>
        <v>1+740.941286754541i</v>
      </c>
      <c r="AN383" s="98">
        <f t="shared" si="233"/>
        <v>740.94196157153567</v>
      </c>
      <c r="AO383" s="98">
        <f t="shared" si="234"/>
        <v>1.5694466930105389</v>
      </c>
      <c r="AP383" s="168" t="str">
        <f t="shared" si="235"/>
        <v>-0.229489324259085+0.0711590704580972i</v>
      </c>
      <c r="AQ383" s="98">
        <f t="shared" si="236"/>
        <v>-12.386062418371422</v>
      </c>
      <c r="AR383" s="169">
        <f t="shared" si="237"/>
        <v>162.77260514267621</v>
      </c>
      <c r="AS383" s="168" t="str">
        <f t="shared" si="238"/>
        <v>-0.863729466865121-1.46716155663969i</v>
      </c>
      <c r="AT383" s="190">
        <f t="shared" si="239"/>
        <v>4.6218703308190321</v>
      </c>
      <c r="AU383" s="169">
        <f t="shared" si="240"/>
        <v>-120.48565424743026</v>
      </c>
      <c r="AV383" s="225"/>
      <c r="AX383">
        <f t="shared" si="241"/>
        <v>0</v>
      </c>
      <c r="AY383">
        <f t="shared" si="242"/>
        <v>0</v>
      </c>
    </row>
    <row r="384" spans="14:51" x14ac:dyDescent="0.2">
      <c r="N384" s="170">
        <v>66</v>
      </c>
      <c r="O384" s="199">
        <f t="shared" ref="O384:O418" si="243">10^(4+(N384/100))</f>
        <v>45708.818961487581</v>
      </c>
      <c r="P384" s="189" t="str">
        <f t="shared" si="209"/>
        <v>1757.57575757576</v>
      </c>
      <c r="Q384" s="160" t="str">
        <f t="shared" si="210"/>
        <v>1+16561.6924964572i</v>
      </c>
      <c r="R384" s="160">
        <f t="shared" si="218"/>
        <v>16561.692526647352</v>
      </c>
      <c r="S384" s="160">
        <f t="shared" si="219"/>
        <v>1.570735946492642</v>
      </c>
      <c r="T384" s="160" t="str">
        <f t="shared" si="211"/>
        <v>1+80.415154318058i</v>
      </c>
      <c r="U384" s="160">
        <f t="shared" si="220"/>
        <v>80.42137181121123</v>
      </c>
      <c r="V384" s="160">
        <f t="shared" si="221"/>
        <v>1.5583615007187008</v>
      </c>
      <c r="W384" s="98" t="str">
        <f t="shared" si="212"/>
        <v>1-0.0517552890514287i</v>
      </c>
      <c r="X384" s="160">
        <f t="shared" si="222"/>
        <v>1.0013384093026676</v>
      </c>
      <c r="Y384" s="160">
        <f t="shared" si="223"/>
        <v>-5.1709152433979055E-2</v>
      </c>
      <c r="Z384" s="98" t="str">
        <f t="shared" si="213"/>
        <v>0.164281547658383-1.21665574950433i</v>
      </c>
      <c r="AA384" s="160">
        <f t="shared" si="224"/>
        <v>1.2276968842930962</v>
      </c>
      <c r="AB384" s="160">
        <f t="shared" si="225"/>
        <v>-1.4365809435507022</v>
      </c>
      <c r="AC384" s="171" t="str">
        <f t="shared" si="226"/>
        <v>1.37132698293901+6.82456870557834i</v>
      </c>
      <c r="AD384" s="190">
        <f t="shared" si="227"/>
        <v>16.853410690558885</v>
      </c>
      <c r="AE384" s="169">
        <f t="shared" si="228"/>
        <v>78.638305281050805</v>
      </c>
      <c r="AF384" s="98" t="str">
        <f t="shared" si="214"/>
        <v>-0.0000114342530449913</v>
      </c>
      <c r="AG384" s="98" t="str">
        <f t="shared" si="215"/>
        <v>0.0344779974138674i</v>
      </c>
      <c r="AH384" s="98">
        <f t="shared" si="229"/>
        <v>3.4477997413867402E-2</v>
      </c>
      <c r="AI384" s="98">
        <f t="shared" si="230"/>
        <v>1.5707963267948966</v>
      </c>
      <c r="AJ384" s="98" t="str">
        <f t="shared" si="216"/>
        <v>1+0.315785100552855i</v>
      </c>
      <c r="AK384" s="98">
        <f t="shared" si="231"/>
        <v>1.0486754644460681</v>
      </c>
      <c r="AL384" s="98">
        <f t="shared" si="232"/>
        <v>0.30587489482449498</v>
      </c>
      <c r="AM384" s="98" t="str">
        <f t="shared" si="217"/>
        <v>1+758.200026427404i</v>
      </c>
      <c r="AN384" s="98">
        <f t="shared" si="233"/>
        <v>758.20068588370214</v>
      </c>
      <c r="AO384" s="98">
        <f t="shared" si="234"/>
        <v>1.5694774143901207</v>
      </c>
      <c r="AP384" s="168" t="str">
        <f t="shared" si="235"/>
        <v>-0.228552738384644+0.072505188601802i</v>
      </c>
      <c r="AQ384" s="98">
        <f t="shared" si="236"/>
        <v>-12.403823354811411</v>
      </c>
      <c r="AR384" s="169">
        <f t="shared" si="237"/>
        <v>162.39909135320738</v>
      </c>
      <c r="AS384" s="168" t="str">
        <f t="shared" si="238"/>
        <v>-0.808237178295376-1.46034554442134i</v>
      </c>
      <c r="AT384" s="190">
        <f t="shared" si="239"/>
        <v>4.4495873357474629</v>
      </c>
      <c r="AU384" s="169">
        <f t="shared" si="240"/>
        <v>-118.96260336574184</v>
      </c>
      <c r="AV384" s="225"/>
      <c r="AX384">
        <f t="shared" si="241"/>
        <v>0</v>
      </c>
      <c r="AY384">
        <f t="shared" si="242"/>
        <v>0</v>
      </c>
    </row>
    <row r="385" spans="14:51" x14ac:dyDescent="0.2">
      <c r="N385" s="170">
        <v>67</v>
      </c>
      <c r="O385" s="199">
        <f t="shared" si="243"/>
        <v>46773.514128719893</v>
      </c>
      <c r="P385" s="189" t="str">
        <f t="shared" si="209"/>
        <v>1757.57575757576</v>
      </c>
      <c r="Q385" s="160" t="str">
        <f t="shared" si="210"/>
        <v>1+16947.4638719335i</v>
      </c>
      <c r="R385" s="160">
        <f t="shared" si="218"/>
        <v>16947.46390143644</v>
      </c>
      <c r="S385" s="160">
        <f t="shared" si="219"/>
        <v>1.5707373209161175</v>
      </c>
      <c r="T385" s="160" t="str">
        <f t="shared" si="211"/>
        <v>1+82.2882638868444i</v>
      </c>
      <c r="U385" s="160">
        <f t="shared" si="220"/>
        <v>82.294339863145751</v>
      </c>
      <c r="V385" s="160">
        <f t="shared" si="221"/>
        <v>1.5586445237287321</v>
      </c>
      <c r="W385" s="98" t="str">
        <f t="shared" si="212"/>
        <v>1-0.052960824599792i</v>
      </c>
      <c r="X385" s="160">
        <f t="shared" si="222"/>
        <v>1.0014014424506736</v>
      </c>
      <c r="Y385" s="160">
        <f t="shared" si="223"/>
        <v>-5.291139205936117E-2</v>
      </c>
      <c r="Z385" s="98" t="str">
        <f t="shared" si="213"/>
        <v>0.124895350420173-1.24499530248588i</v>
      </c>
      <c r="AA385" s="160">
        <f t="shared" si="224"/>
        <v>1.2512442414526772</v>
      </c>
      <c r="AB385" s="160">
        <f t="shared" si="225"/>
        <v>-1.4708129029866581</v>
      </c>
      <c r="AC385" s="171" t="str">
        <f t="shared" si="226"/>
        <v>1.12182381696083+6.73763474461142i</v>
      </c>
      <c r="AD385" s="190">
        <f t="shared" si="227"/>
        <v>16.688908457250729</v>
      </c>
      <c r="AE385" s="169">
        <f t="shared" si="228"/>
        <v>80.546906100011867</v>
      </c>
      <c r="AF385" s="98" t="str">
        <f t="shared" si="214"/>
        <v>-0.0000114342530449913</v>
      </c>
      <c r="AG385" s="98" t="str">
        <f t="shared" si="215"/>
        <v>0.0352810931414845i</v>
      </c>
      <c r="AH385" s="98">
        <f t="shared" si="229"/>
        <v>3.5281093141484497E-2</v>
      </c>
      <c r="AI385" s="98">
        <f t="shared" si="230"/>
        <v>1.5707963267948966</v>
      </c>
      <c r="AJ385" s="98" t="str">
        <f t="shared" si="216"/>
        <v>1+0.32314068046241i</v>
      </c>
      <c r="AK385" s="98">
        <f t="shared" si="231"/>
        <v>1.0509138401266345</v>
      </c>
      <c r="AL385" s="98">
        <f t="shared" si="232"/>
        <v>0.31254929010939608</v>
      </c>
      <c r="AM385" s="98" t="str">
        <f t="shared" si="217"/>
        <v>1+775.860773790247i</v>
      </c>
      <c r="AN385" s="98">
        <f t="shared" si="233"/>
        <v>775.86141823549951</v>
      </c>
      <c r="AO385" s="98">
        <f t="shared" si="234"/>
        <v>1.5695074364681327</v>
      </c>
      <c r="AP385" s="168" t="str">
        <f t="shared" si="235"/>
        <v>-0.227580171369143+0.0738645015371295i</v>
      </c>
      <c r="AQ385" s="98">
        <f t="shared" si="236"/>
        <v>-12.422343784879324</v>
      </c>
      <c r="AR385" s="169">
        <f t="shared" si="237"/>
        <v>162.01839681094273</v>
      </c>
      <c r="AS385" s="168" t="str">
        <f t="shared" si="238"/>
        <v>-0.752976888459899-1.45048911274907i</v>
      </c>
      <c r="AT385" s="190">
        <f t="shared" si="239"/>
        <v>4.266564672371417</v>
      </c>
      <c r="AU385" s="169">
        <f t="shared" si="240"/>
        <v>-117.43469708904534</v>
      </c>
      <c r="AV385" s="225"/>
      <c r="AX385">
        <f t="shared" si="241"/>
        <v>0</v>
      </c>
      <c r="AY385">
        <f t="shared" si="242"/>
        <v>0</v>
      </c>
    </row>
    <row r="386" spans="14:51" x14ac:dyDescent="0.2">
      <c r="N386" s="170">
        <v>68</v>
      </c>
      <c r="O386" s="199">
        <f t="shared" si="243"/>
        <v>47863.009232263823</v>
      </c>
      <c r="P386" s="189" t="str">
        <f t="shared" si="209"/>
        <v>1757.57575757576</v>
      </c>
      <c r="Q386" s="160" t="str">
        <f t="shared" si="210"/>
        <v>1+17342.2210170807i</v>
      </c>
      <c r="R386" s="160">
        <f t="shared" si="218"/>
        <v>17342.221045912069</v>
      </c>
      <c r="S386" s="160">
        <f t="shared" si="219"/>
        <v>1.5707386640538956</v>
      </c>
      <c r="T386" s="160" t="str">
        <f t="shared" si="211"/>
        <v>1+84.2050037823571i</v>
      </c>
      <c r="U386" s="160">
        <f t="shared" si="220"/>
        <v>84.210941462417892</v>
      </c>
      <c r="V386" s="160">
        <f t="shared" si="221"/>
        <v>1.558921106229761</v>
      </c>
      <c r="W386" s="98" t="str">
        <f t="shared" si="212"/>
        <v>1-0.0541944406783771i</v>
      </c>
      <c r="X386" s="160">
        <f t="shared" si="222"/>
        <v>1.0014674420071987</v>
      </c>
      <c r="Y386" s="160">
        <f t="shared" si="223"/>
        <v>-5.4141476947913658E-2</v>
      </c>
      <c r="Z386" s="98" t="str">
        <f t="shared" si="213"/>
        <v>0.08365293889289-1.27399496845625i</v>
      </c>
      <c r="AA386" s="160">
        <f t="shared" si="224"/>
        <v>1.2767384202871233</v>
      </c>
      <c r="AB386" s="160">
        <f t="shared" si="225"/>
        <v>-1.505228543416735</v>
      </c>
      <c r="AC386" s="171" t="str">
        <f t="shared" si="226"/>
        <v>0.877958912449281+6.63659612294097i</v>
      </c>
      <c r="AD386" s="190">
        <f t="shared" si="227"/>
        <v>16.514255322611014</v>
      </c>
      <c r="AE386" s="169">
        <f t="shared" si="228"/>
        <v>82.464068427208289</v>
      </c>
      <c r="AF386" s="98" t="str">
        <f t="shared" si="214"/>
        <v>-0.0000114342530449913</v>
      </c>
      <c r="AG386" s="98" t="str">
        <f t="shared" si="215"/>
        <v>0.0361028953716856i</v>
      </c>
      <c r="AH386" s="98">
        <f t="shared" si="229"/>
        <v>3.6102895371685602E-2</v>
      </c>
      <c r="AI386" s="98">
        <f t="shared" si="230"/>
        <v>1.5707963267948966</v>
      </c>
      <c r="AJ386" s="98" t="str">
        <f t="shared" si="216"/>
        <v>1+0.330667593838018i</v>
      </c>
      <c r="AK386" s="98">
        <f t="shared" si="231"/>
        <v>1.0532526086436362</v>
      </c>
      <c r="AL386" s="98">
        <f t="shared" si="232"/>
        <v>0.31934947326436736</v>
      </c>
      <c r="AM386" s="98" t="str">
        <f t="shared" si="217"/>
        <v>1+793.932892805081i</v>
      </c>
      <c r="AN386" s="98">
        <f t="shared" si="233"/>
        <v>793.93352258098048</v>
      </c>
      <c r="AO386" s="98">
        <f t="shared" si="234"/>
        <v>1.5695367751624616</v>
      </c>
      <c r="AP386" s="168" t="str">
        <f t="shared" si="235"/>
        <v>-0.226570600841644+0.0752362683245299i</v>
      </c>
      <c r="AQ386" s="98">
        <f t="shared" si="236"/>
        <v>-12.441652747086662</v>
      </c>
      <c r="AR386" s="169">
        <f t="shared" si="237"/>
        <v>161.6304559996085</v>
      </c>
      <c r="AS386" s="168" t="str">
        <f t="shared" si="238"/>
        <v>-0.698232404975031-1.43760321880311i</v>
      </c>
      <c r="AT386" s="190">
        <f t="shared" si="239"/>
        <v>4.0726025755243285</v>
      </c>
      <c r="AU386" s="169">
        <f t="shared" si="240"/>
        <v>-115.90547557318327</v>
      </c>
      <c r="AV386" s="225"/>
      <c r="AX386">
        <f t="shared" si="241"/>
        <v>0</v>
      </c>
      <c r="AY386">
        <f t="shared" si="242"/>
        <v>0</v>
      </c>
    </row>
    <row r="387" spans="14:51" x14ac:dyDescent="0.2">
      <c r="N387" s="170">
        <v>69</v>
      </c>
      <c r="O387" s="199">
        <f t="shared" si="243"/>
        <v>48977.881936844598</v>
      </c>
      <c r="P387" s="189" t="str">
        <f t="shared" si="209"/>
        <v>1757.57575757576</v>
      </c>
      <c r="Q387" s="160" t="str">
        <f t="shared" si="210"/>
        <v>1+17746.1732373627i</v>
      </c>
      <c r="R387" s="160">
        <f t="shared" si="218"/>
        <v>17746.173265537785</v>
      </c>
      <c r="S387" s="160">
        <f t="shared" si="219"/>
        <v>1.5707399766181251</v>
      </c>
      <c r="T387" s="160" t="str">
        <f t="shared" si="211"/>
        <v>1+86.1663902854603i</v>
      </c>
      <c r="U387" s="160">
        <f t="shared" si="220"/>
        <v>86.172192816628879</v>
      </c>
      <c r="V387" s="160">
        <f t="shared" si="221"/>
        <v>1.5591913947001295</v>
      </c>
      <c r="W387" s="98" t="str">
        <f t="shared" si="212"/>
        <v>1-0.0554567913667583i</v>
      </c>
      <c r="X387" s="160">
        <f t="shared" si="222"/>
        <v>1.001536547365445</v>
      </c>
      <c r="Y387" s="160">
        <f t="shared" si="223"/>
        <v>-5.5400044408467027E-2</v>
      </c>
      <c r="Z387" s="98" t="str">
        <f t="shared" si="213"/>
        <v>0.0404668323922061-1.30367012342222i</v>
      </c>
      <c r="AA387" s="160">
        <f t="shared" si="224"/>
        <v>1.3042980315969068</v>
      </c>
      <c r="AB387" s="160">
        <f t="shared" si="225"/>
        <v>-1.5397655911518711</v>
      </c>
      <c r="AC387" s="171" t="str">
        <f t="shared" si="226"/>
        <v>0.641070747855041+6.52196548386669i</v>
      </c>
      <c r="AD387" s="190">
        <f t="shared" si="227"/>
        <v>16.329328875998861</v>
      </c>
      <c r="AE387" s="169">
        <f t="shared" si="228"/>
        <v>84.386196079763693</v>
      </c>
      <c r="AF387" s="98" t="str">
        <f t="shared" si="214"/>
        <v>-0.0000114342530449913</v>
      </c>
      <c r="AG387" s="98" t="str">
        <f t="shared" si="215"/>
        <v>0.0369438398348911i</v>
      </c>
      <c r="AH387" s="98">
        <f t="shared" si="229"/>
        <v>3.69438398348911E-2</v>
      </c>
      <c r="AI387" s="98">
        <f t="shared" si="230"/>
        <v>1.5707963267948966</v>
      </c>
      <c r="AJ387" s="98" t="str">
        <f t="shared" si="216"/>
        <v>1+0.338369831548782i</v>
      </c>
      <c r="AK387" s="98">
        <f t="shared" si="231"/>
        <v>1.0556960466452221</v>
      </c>
      <c r="AL387" s="98">
        <f t="shared" si="232"/>
        <v>0.32627653331405959</v>
      </c>
      <c r="AM387" s="98" t="str">
        <f t="shared" si="217"/>
        <v>1+812.425965548625i</v>
      </c>
      <c r="AN387" s="98">
        <f t="shared" si="233"/>
        <v>812.42658098908566</v>
      </c>
      <c r="AO387" s="98">
        <f t="shared" si="234"/>
        <v>1.5695654460286692</v>
      </c>
      <c r="AP387" s="168" t="str">
        <f t="shared" si="235"/>
        <v>-0.225523006614914+0.076619685402467i</v>
      </c>
      <c r="AQ387" s="98">
        <f t="shared" si="236"/>
        <v>-12.461780092770301</v>
      </c>
      <c r="AR387" s="169">
        <f t="shared" si="237"/>
        <v>161.23520741395609</v>
      </c>
      <c r="AS387" s="168" t="str">
        <f t="shared" si="238"/>
        <v>-0.644287146088754-1.42173462593893i</v>
      </c>
      <c r="AT387" s="190">
        <f t="shared" si="239"/>
        <v>3.8675487832285556</v>
      </c>
      <c r="AU387" s="169">
        <f t="shared" si="240"/>
        <v>-114.37859650628022</v>
      </c>
      <c r="AV387" s="225"/>
      <c r="AX387">
        <f t="shared" si="241"/>
        <v>0</v>
      </c>
      <c r="AY387">
        <f t="shared" si="242"/>
        <v>0</v>
      </c>
    </row>
    <row r="388" spans="14:51" x14ac:dyDescent="0.2">
      <c r="N388" s="170">
        <v>70</v>
      </c>
      <c r="O388" s="199">
        <f t="shared" si="243"/>
        <v>50118.723362727294</v>
      </c>
      <c r="P388" s="189" t="str">
        <f t="shared" si="209"/>
        <v>1757.57575757576</v>
      </c>
      <c r="Q388" s="160" t="str">
        <f t="shared" si="210"/>
        <v>1+18159.5347135935i</v>
      </c>
      <c r="R388" s="160">
        <f t="shared" si="218"/>
        <v>18159.534741127245</v>
      </c>
      <c r="S388" s="160">
        <f t="shared" si="219"/>
        <v>1.5707412593047456</v>
      </c>
      <c r="T388" s="160" t="str">
        <f t="shared" si="211"/>
        <v>1+88.1734633492401i</v>
      </c>
      <c r="U388" s="160">
        <f t="shared" si="220"/>
        <v>88.179133807266354</v>
      </c>
      <c r="V388" s="160">
        <f t="shared" si="221"/>
        <v>1.5594555322923023</v>
      </c>
      <c r="W388" s="98" t="str">
        <f t="shared" si="212"/>
        <v>1-0.0567485459799797i</v>
      </c>
      <c r="X388" s="160">
        <f t="shared" si="222"/>
        <v>1.0016089044486585</v>
      </c>
      <c r="Y388" s="160">
        <f t="shared" si="223"/>
        <v>-5.6687745792625033E-2</v>
      </c>
      <c r="Z388" s="98" t="str">
        <f t="shared" si="213"/>
        <v>-0.00475457260383005-1.33403650154375i</v>
      </c>
      <c r="AA388" s="160">
        <f t="shared" si="224"/>
        <v>1.3340449742837508</v>
      </c>
      <c r="AB388" s="160">
        <f t="shared" si="225"/>
        <v>-1.5743603615622404</v>
      </c>
      <c r="AC388" s="171" t="str">
        <f t="shared" si="226"/>
        <v>0.412431715828997+6.39442348580068i</v>
      </c>
      <c r="AD388" s="190">
        <f t="shared" si="227"/>
        <v>16.134057408006043</v>
      </c>
      <c r="AE388" s="169">
        <f t="shared" si="228"/>
        <v>86.309611039629004</v>
      </c>
      <c r="AF388" s="98" t="str">
        <f t="shared" si="214"/>
        <v>-0.0000114342530449913</v>
      </c>
      <c r="AG388" s="98" t="str">
        <f t="shared" si="215"/>
        <v>0.0378043724109867i</v>
      </c>
      <c r="AH388" s="98">
        <f t="shared" si="229"/>
        <v>3.7804372410986699E-2</v>
      </c>
      <c r="AI388" s="98">
        <f t="shared" si="230"/>
        <v>1.5707963267948966</v>
      </c>
      <c r="AJ388" s="98" t="str">
        <f t="shared" si="216"/>
        <v>1+0.346251477423088i</v>
      </c>
      <c r="AK388" s="98">
        <f t="shared" si="231"/>
        <v>1.0582485934872161</v>
      </c>
      <c r="AL388" s="98">
        <f t="shared" si="232"/>
        <v>0.33333148307482435</v>
      </c>
      <c r="AM388" s="98" t="str">
        <f t="shared" si="217"/>
        <v>1+831.349797292835i</v>
      </c>
      <c r="AN388" s="98">
        <f t="shared" si="233"/>
        <v>831.35039872417076</v>
      </c>
      <c r="AO388" s="98">
        <f t="shared" si="234"/>
        <v>1.5695934642682399</v>
      </c>
      <c r="AP388" s="168" t="str">
        <f t="shared" si="235"/>
        <v>-0.224436373881659+0.0780138845247511i</v>
      </c>
      <c r="AQ388" s="98">
        <f t="shared" si="236"/>
        <v>-12.482756483101294</v>
      </c>
      <c r="AR388" s="169">
        <f t="shared" si="237"/>
        <v>160.83259389486429</v>
      </c>
      <c r="AS388" s="168" t="str">
        <f t="shared" si="238"/>
        <v>-0.591418494198062-1.40296581996379i</v>
      </c>
      <c r="AT388" s="190">
        <f t="shared" si="239"/>
        <v>3.6513009249047275</v>
      </c>
      <c r="AU388" s="169">
        <f t="shared" si="240"/>
        <v>-112.85779506550679</v>
      </c>
      <c r="AV388" s="225"/>
      <c r="AX388">
        <f t="shared" si="241"/>
        <v>0</v>
      </c>
      <c r="AY388">
        <f t="shared" si="242"/>
        <v>0</v>
      </c>
    </row>
    <row r="389" spans="14:51" x14ac:dyDescent="0.2">
      <c r="N389" s="170">
        <v>71</v>
      </c>
      <c r="O389" s="199">
        <f t="shared" si="243"/>
        <v>51286.138399136544</v>
      </c>
      <c r="P389" s="189" t="str">
        <f t="shared" si="209"/>
        <v>1757.57575757576</v>
      </c>
      <c r="Q389" s="160" t="str">
        <f t="shared" si="210"/>
        <v>1+18582.5246154994i</v>
      </c>
      <c r="R389" s="160">
        <f t="shared" si="218"/>
        <v>18582.524642406399</v>
      </c>
      <c r="S389" s="160">
        <f t="shared" si="219"/>
        <v>1.5707425127938539</v>
      </c>
      <c r="T389" s="160" t="str">
        <f t="shared" si="211"/>
        <v>1+90.2272871504015i</v>
      </c>
      <c r="U389" s="160">
        <f t="shared" si="220"/>
        <v>90.232828541063739</v>
      </c>
      <c r="V389" s="160">
        <f t="shared" si="221"/>
        <v>1.5597136589080145</v>
      </c>
      <c r="W389" s="98" t="str">
        <f t="shared" si="212"/>
        <v>1-0.0580703894234355i</v>
      </c>
      <c r="X389" s="160">
        <f t="shared" si="222"/>
        <v>1.0016846660141052</v>
      </c>
      <c r="Y389" s="160">
        <f t="shared" si="223"/>
        <v>-5.8005246765161916E-2</v>
      </c>
      <c r="Z389" s="98" t="str">
        <f t="shared" si="213"/>
        <v>-0.0521071967581599-1.36511020347645i</v>
      </c>
      <c r="AA389" s="160">
        <f t="shared" si="224"/>
        <v>1.366104325294927</v>
      </c>
      <c r="AB389" s="160">
        <f t="shared" si="225"/>
        <v>-1.6089484935367364</v>
      </c>
      <c r="AC389" s="171" t="str">
        <f t="shared" si="226"/>
        <v>0.193221977839192+6.25480741042691i</v>
      </c>
      <c r="AD389" s="190">
        <f t="shared" si="227"/>
        <v>15.928421338774513</v>
      </c>
      <c r="AE389" s="169">
        <f t="shared" si="228"/>
        <v>88.230595523803117</v>
      </c>
      <c r="AF389" s="98" t="str">
        <f t="shared" si="214"/>
        <v>-0.0000114342530449913</v>
      </c>
      <c r="AG389" s="98" t="str">
        <f t="shared" si="215"/>
        <v>0.0386849493657346i</v>
      </c>
      <c r="AH389" s="98">
        <f t="shared" si="229"/>
        <v>3.8684949365734599E-2</v>
      </c>
      <c r="AI389" s="98">
        <f t="shared" si="230"/>
        <v>1.5707963267948966</v>
      </c>
      <c r="AJ389" s="98" t="str">
        <f t="shared" si="216"/>
        <v>1+0.354316710413905i</v>
      </c>
      <c r="AK389" s="98">
        <f t="shared" si="231"/>
        <v>1.0609148558100838</v>
      </c>
      <c r="AL389" s="98">
        <f t="shared" si="232"/>
        <v>0.3405152531305829</v>
      </c>
      <c r="AM389" s="98" t="str">
        <f t="shared" si="217"/>
        <v>1+850.714421703785i</v>
      </c>
      <c r="AN389" s="98">
        <f t="shared" si="233"/>
        <v>850.71500944488173</v>
      </c>
      <c r="AO389" s="98">
        <f t="shared" si="234"/>
        <v>1.5696208447366389</v>
      </c>
      <c r="AP389" s="168" t="str">
        <f t="shared" si="235"/>
        <v>-0.223309696665016+0.0794179308110546i</v>
      </c>
      <c r="AQ389" s="98">
        <f t="shared" si="236"/>
        <v>-12.504613383449723</v>
      </c>
      <c r="AR389" s="169">
        <f t="shared" si="237"/>
        <v>160.42256297495712</v>
      </c>
      <c r="AS389" s="168" t="str">
        <f t="shared" si="238"/>
        <v>-0.53989220341804-1.38141385585332i</v>
      </c>
      <c r="AT389" s="190">
        <f t="shared" si="239"/>
        <v>3.42380795532479</v>
      </c>
      <c r="AU389" s="169">
        <f t="shared" si="240"/>
        <v>-111.34684150123972</v>
      </c>
      <c r="AV389" s="225"/>
      <c r="AX389">
        <f t="shared" si="241"/>
        <v>0</v>
      </c>
      <c r="AY389">
        <f t="shared" si="242"/>
        <v>0</v>
      </c>
    </row>
    <row r="390" spans="14:51" x14ac:dyDescent="0.2">
      <c r="N390" s="170">
        <v>72</v>
      </c>
      <c r="O390" s="199">
        <f t="shared" si="243"/>
        <v>52480.746024977314</v>
      </c>
      <c r="P390" s="189" t="str">
        <f t="shared" si="209"/>
        <v>1757.57575757576</v>
      </c>
      <c r="Q390" s="160" t="str">
        <f t="shared" si="210"/>
        <v>1+19015.3672179251i</v>
      </c>
      <c r="R390" s="160">
        <f t="shared" si="218"/>
        <v>19015.367244219626</v>
      </c>
      <c r="S390" s="160">
        <f t="shared" si="219"/>
        <v>1.5707437377500668</v>
      </c>
      <c r="T390" s="160" t="str">
        <f t="shared" si="211"/>
        <v>1+92.3289506535091i</v>
      </c>
      <c r="U390" s="160">
        <f t="shared" si="220"/>
        <v>92.334365914204</v>
      </c>
      <c r="V390" s="160">
        <f t="shared" si="221"/>
        <v>1.5599659112717446</v>
      </c>
      <c r="W390" s="98" t="str">
        <f t="shared" si="212"/>
        <v>1-0.0594230225560159i</v>
      </c>
      <c r="X390" s="160">
        <f t="shared" si="222"/>
        <v>1.0017639919710095</v>
      </c>
      <c r="Y390" s="160">
        <f t="shared" si="223"/>
        <v>-5.9353227576742058E-2</v>
      </c>
      <c r="Z390" s="98" t="str">
        <f t="shared" si="213"/>
        <v>-0.10169148133527-1.39690770490841i</v>
      </c>
      <c r="AA390" s="160">
        <f t="shared" si="224"/>
        <v>1.4006042600994197</v>
      </c>
      <c r="AB390" s="160">
        <f t="shared" si="225"/>
        <v>-1.6434657039493328</v>
      </c>
      <c r="AC390" s="171" t="str">
        <f t="shared" si="226"/>
        <v>-0.0154941985582473+6.10409497721472i</v>
      </c>
      <c r="AD390" s="190">
        <f t="shared" si="227"/>
        <v>15.712453630857846</v>
      </c>
      <c r="AE390" s="169">
        <f t="shared" si="228"/>
        <v>90.14543520063458</v>
      </c>
      <c r="AF390" s="98" t="str">
        <f t="shared" si="214"/>
        <v>-0.0000114342530449913</v>
      </c>
      <c r="AG390" s="98" t="str">
        <f t="shared" si="215"/>
        <v>0.039586037592692i</v>
      </c>
      <c r="AH390" s="98">
        <f t="shared" si="229"/>
        <v>3.9586037592691997E-2</v>
      </c>
      <c r="AI390" s="98">
        <f t="shared" si="230"/>
        <v>1.5707963267948966</v>
      </c>
      <c r="AJ390" s="98" t="str">
        <f t="shared" si="216"/>
        <v>1+0.362569806814518i</v>
      </c>
      <c r="AK390" s="98">
        <f t="shared" si="231"/>
        <v>1.0636996121149602</v>
      </c>
      <c r="AL390" s="98">
        <f t="shared" si="232"/>
        <v>0.34782868563636637</v>
      </c>
      <c r="AM390" s="98" t="str">
        <f t="shared" si="217"/>
        <v>1+870.530106161657i</v>
      </c>
      <c r="AN390" s="98">
        <f t="shared" si="233"/>
        <v>870.53068052414199</v>
      </c>
      <c r="AO390" s="98">
        <f t="shared" si="234"/>
        <v>1.5696476019511885</v>
      </c>
      <c r="AP390" s="168" t="str">
        <f t="shared" si="235"/>
        <v>-0.222141981527044+0.0808308209343462i</v>
      </c>
      <c r="AQ390" s="98">
        <f t="shared" si="236"/>
        <v>-12.527383054900906</v>
      </c>
      <c r="AR390" s="169">
        <f t="shared" si="237"/>
        <v>160.00506723408731</v>
      </c>
      <c r="AS390" s="168" t="str">
        <f t="shared" si="238"/>
        <v>-0.489957096099582-1.35722816245694i</v>
      </c>
      <c r="AT390" s="190">
        <f t="shared" si="239"/>
        <v>3.185070575956956</v>
      </c>
      <c r="AU390" s="169">
        <f t="shared" si="240"/>
        <v>-109.84949756527806</v>
      </c>
      <c r="AV390" s="225"/>
      <c r="AX390">
        <f t="shared" si="241"/>
        <v>0</v>
      </c>
      <c r="AY390">
        <f t="shared" si="242"/>
        <v>0</v>
      </c>
    </row>
    <row r="391" spans="14:51" x14ac:dyDescent="0.2">
      <c r="N391" s="170">
        <v>73</v>
      </c>
      <c r="O391" s="199">
        <f t="shared" si="243"/>
        <v>53703.179637025423</v>
      </c>
      <c r="P391" s="189" t="str">
        <f t="shared" si="209"/>
        <v>1757.57575757576</v>
      </c>
      <c r="Q391" s="160" t="str">
        <f t="shared" si="210"/>
        <v>1+19458.292019748i</v>
      </c>
      <c r="R391" s="160">
        <f t="shared" si="218"/>
        <v>19458.292045443988</v>
      </c>
      <c r="S391" s="160">
        <f t="shared" si="219"/>
        <v>1.5707449348228724</v>
      </c>
      <c r="T391" s="160" t="str">
        <f t="shared" si="211"/>
        <v>1+94.4795681883716i</v>
      </c>
      <c r="U391" s="160">
        <f t="shared" si="220"/>
        <v>94.484860189668268</v>
      </c>
      <c r="V391" s="160">
        <f t="shared" si="221"/>
        <v>1.560212423002552</v>
      </c>
      <c r="W391" s="98" t="str">
        <f t="shared" si="212"/>
        <v>1-0.0608071625617123i</v>
      </c>
      <c r="X391" s="160">
        <f t="shared" si="222"/>
        <v>1.001847049713082</v>
      </c>
      <c r="Y391" s="160">
        <f t="shared" si="223"/>
        <v>-6.0732383338742875E-2</v>
      </c>
      <c r="Z391" s="98" t="str">
        <f t="shared" si="213"/>
        <v>-0.15361260125065-1.42944586529577i</v>
      </c>
      <c r="AA391" s="160">
        <f t="shared" si="224"/>
        <v>1.4376760111632121</v>
      </c>
      <c r="AB391" s="160">
        <f t="shared" si="225"/>
        <v>-1.6778485398112479</v>
      </c>
      <c r="AC391" s="171" t="str">
        <f t="shared" si="226"/>
        <v>-0.212788622280016+5.94338401189867i</v>
      </c>
      <c r="AD391" s="190">
        <f t="shared" si="227"/>
        <v>15.486239169629901</v>
      </c>
      <c r="AE391" s="169">
        <f t="shared" si="228"/>
        <v>92.050462273315759</v>
      </c>
      <c r="AF391" s="98" t="str">
        <f t="shared" si="214"/>
        <v>-0.0000114342530449913</v>
      </c>
      <c r="AG391" s="98" t="str">
        <f t="shared" si="215"/>
        <v>0.0405081148607643i</v>
      </c>
      <c r="AH391" s="98">
        <f t="shared" si="229"/>
        <v>4.0508114860764298E-2</v>
      </c>
      <c r="AI391" s="98">
        <f t="shared" si="230"/>
        <v>1.5707963267948966</v>
      </c>
      <c r="AJ391" s="98" t="str">
        <f t="shared" si="216"/>
        <v>1+0.371015142525883i</v>
      </c>
      <c r="AK391" s="98">
        <f t="shared" si="231"/>
        <v>1.0666078173272036</v>
      </c>
      <c r="AL391" s="98">
        <f t="shared" si="232"/>
        <v>0.35527252796322739</v>
      </c>
      <c r="AM391" s="98" t="str">
        <f t="shared" si="217"/>
        <v>1+890.807357204645i</v>
      </c>
      <c r="AN391" s="98">
        <f t="shared" si="233"/>
        <v>890.80791849305206</v>
      </c>
      <c r="AO391" s="98">
        <f t="shared" si="234"/>
        <v>1.569673750098765</v>
      </c>
      <c r="AP391" s="168" t="str">
        <f t="shared" si="235"/>
        <v>-0.220932251537099+0.0822514814705699i</v>
      </c>
      <c r="AQ391" s="98">
        <f t="shared" si="236"/>
        <v>-12.551098542717913</v>
      </c>
      <c r="AR391" s="169">
        <f t="shared" si="237"/>
        <v>159.58006466389548</v>
      </c>
      <c r="AS391" s="168" t="str">
        <f t="shared" si="238"/>
        <v>-0.441840270505364-1.33058739092098i</v>
      </c>
      <c r="AT391" s="190">
        <f t="shared" si="239"/>
        <v>2.9351406269119757</v>
      </c>
      <c r="AU391" s="169">
        <f t="shared" si="240"/>
        <v>-108.3694730627888</v>
      </c>
      <c r="AV391" s="225"/>
      <c r="AX391">
        <f t="shared" si="241"/>
        <v>0</v>
      </c>
      <c r="AY391">
        <f t="shared" si="242"/>
        <v>0</v>
      </c>
    </row>
    <row r="392" spans="14:51" x14ac:dyDescent="0.2">
      <c r="N392" s="170">
        <v>74</v>
      </c>
      <c r="O392" s="199">
        <f t="shared" si="243"/>
        <v>54954.087385762505</v>
      </c>
      <c r="P392" s="189" t="str">
        <f t="shared" si="209"/>
        <v>1757.57575757576</v>
      </c>
      <c r="Q392" s="160" t="str">
        <f t="shared" si="210"/>
        <v>1+19911.5338655606i</v>
      </c>
      <c r="R392" s="160">
        <f t="shared" si="218"/>
        <v>19911.533890671675</v>
      </c>
      <c r="S392" s="160">
        <f t="shared" si="219"/>
        <v>1.5707461046469742</v>
      </c>
      <c r="T392" s="160" t="str">
        <f t="shared" si="211"/>
        <v>1+96.6802800408721i</v>
      </c>
      <c r="U392" s="160">
        <f t="shared" si="220"/>
        <v>96.685451588030816</v>
      </c>
      <c r="V392" s="160">
        <f t="shared" si="221"/>
        <v>1.5604533246843104</v>
      </c>
      <c r="W392" s="98" t="str">
        <f t="shared" si="212"/>
        <v>1-0.0622235433298767i</v>
      </c>
      <c r="X392" s="160">
        <f t="shared" si="222"/>
        <v>1.0019340144662845</v>
      </c>
      <c r="Y392" s="160">
        <f t="shared" si="223"/>
        <v>-6.2143424299934434E-2</v>
      </c>
      <c r="Z392" s="98" t="str">
        <f t="shared" si="213"/>
        <v>-0.20798068816081-1.46274193680185i</v>
      </c>
      <c r="AA392" s="160">
        <f t="shared" si="224"/>
        <v>1.4774538707948455</v>
      </c>
      <c r="AB392" s="160">
        <f t="shared" si="225"/>
        <v>-1.7120351059150829</v>
      </c>
      <c r="AC392" s="171" t="str">
        <f t="shared" si="226"/>
        <v>-0.397885076940551+5.77386884381178i</v>
      </c>
      <c r="AD392" s="190">
        <f t="shared" si="227"/>
        <v>15.249913137005016</v>
      </c>
      <c r="AE392" s="169">
        <f t="shared" si="228"/>
        <v>93.942097158972715</v>
      </c>
      <c r="AF392" s="98" t="str">
        <f t="shared" si="214"/>
        <v>-0.0000114342530449913</v>
      </c>
      <c r="AG392" s="98" t="str">
        <f t="shared" si="215"/>
        <v>0.0414516700675239i</v>
      </c>
      <c r="AH392" s="98">
        <f t="shared" si="229"/>
        <v>4.1451670067523899E-2</v>
      </c>
      <c r="AI392" s="98">
        <f t="shared" si="230"/>
        <v>1.5707963267948966</v>
      </c>
      <c r="AJ392" s="98" t="str">
        <f t="shared" si="216"/>
        <v>1+0.379657195376781i</v>
      </c>
      <c r="AK392" s="98">
        <f t="shared" si="231"/>
        <v>1.0696446073352417</v>
      </c>
      <c r="AL392" s="98">
        <f t="shared" si="232"/>
        <v>0.36284742620057447</v>
      </c>
      <c r="AM392" s="98" t="str">
        <f t="shared" si="217"/>
        <v>1+911.55692609965i</v>
      </c>
      <c r="AN392" s="98">
        <f t="shared" si="233"/>
        <v>911.55747461158091</v>
      </c>
      <c r="AO392" s="98">
        <f t="shared" si="234"/>
        <v>1.5696993030433191</v>
      </c>
      <c r="AP392" s="168" t="str">
        <f t="shared" si="235"/>
        <v>-0.219679550500013+0.0836787674373625i</v>
      </c>
      <c r="AQ392" s="98">
        <f t="shared" si="236"/>
        <v>-12.57579366154209</v>
      </c>
      <c r="AR392" s="169">
        <f t="shared" si="237"/>
        <v>159.14751904053151</v>
      </c>
      <c r="AS392" s="168" t="str">
        <f t="shared" si="238"/>
        <v>-0.395743013342196-1.30169544507471i</v>
      </c>
      <c r="AT392" s="190">
        <f t="shared" si="239"/>
        <v>2.6741194754629443</v>
      </c>
      <c r="AU392" s="169">
        <f t="shared" si="240"/>
        <v>-106.91038380049577</v>
      </c>
      <c r="AV392" s="225"/>
      <c r="AX392">
        <f t="shared" si="241"/>
        <v>0</v>
      </c>
      <c r="AY392">
        <f t="shared" si="242"/>
        <v>0</v>
      </c>
    </row>
    <row r="393" spans="14:51" x14ac:dyDescent="0.2">
      <c r="N393" s="170">
        <v>75</v>
      </c>
      <c r="O393" s="199">
        <f t="shared" si="243"/>
        <v>56234.132519034953</v>
      </c>
      <c r="P393" s="189" t="str">
        <f t="shared" si="209"/>
        <v>1757.57575757576</v>
      </c>
      <c r="Q393" s="160" t="str">
        <f t="shared" si="210"/>
        <v>1+20375.3330701891i</v>
      </c>
      <c r="R393" s="160">
        <f t="shared" si="218"/>
        <v>20375.333094728572</v>
      </c>
      <c r="S393" s="160">
        <f t="shared" si="219"/>
        <v>1.5707472478426285</v>
      </c>
      <c r="T393" s="160" t="str">
        <f t="shared" si="211"/>
        <v>1+98.9322530575652i</v>
      </c>
      <c r="U393" s="160">
        <f t="shared" si="220"/>
        <v>98.93730689202188</v>
      </c>
      <c r="V393" s="160">
        <f t="shared" si="221"/>
        <v>1.5606887439343731</v>
      </c>
      <c r="W393" s="98" t="str">
        <f t="shared" si="212"/>
        <v>1-0.0636729158443407i</v>
      </c>
      <c r="X393" s="160">
        <f t="shared" si="222"/>
        <v>1.0020250696525115</v>
      </c>
      <c r="Y393" s="160">
        <f t="shared" si="223"/>
        <v>-6.3587076124750203E-2</v>
      </c>
      <c r="Z393" s="98" t="str">
        <f t="shared" si="213"/>
        <v>-0.26491106406736-1.49681357344451i</v>
      </c>
      <c r="AA393" s="160">
        <f t="shared" si="224"/>
        <v>1.5200752433721905</v>
      </c>
      <c r="AB393" s="160">
        <f t="shared" si="225"/>
        <v>-1.7459657471191803</v>
      </c>
      <c r="AC393" s="171" t="str">
        <f t="shared" si="226"/>
        <v>-0.570170378313434+5.59681447042084i</v>
      </c>
      <c r="AD393" s="190">
        <f t="shared" si="227"/>
        <v>15.003658445177743</v>
      </c>
      <c r="AE393" s="169">
        <f t="shared" si="228"/>
        <v>95.816887568650429</v>
      </c>
      <c r="AF393" s="98" t="str">
        <f t="shared" si="214"/>
        <v>-0.0000114342530449913</v>
      </c>
      <c r="AG393" s="98" t="str">
        <f t="shared" si="215"/>
        <v>0.0424172034984311i</v>
      </c>
      <c r="AH393" s="98">
        <f t="shared" si="229"/>
        <v>4.2417203498431102E-2</v>
      </c>
      <c r="AI393" s="98">
        <f t="shared" si="230"/>
        <v>1.5707963267948966</v>
      </c>
      <c r="AJ393" s="98" t="str">
        <f t="shared" si="216"/>
        <v>1+0.388500547498025i</v>
      </c>
      <c r="AK393" s="98">
        <f t="shared" si="231"/>
        <v>1.0728153034918291</v>
      </c>
      <c r="AL393" s="98">
        <f t="shared" si="232"/>
        <v>0.3705539185345485</v>
      </c>
      <c r="AM393" s="98" t="str">
        <f t="shared" si="217"/>
        <v>1+932.789814542757i</v>
      </c>
      <c r="AN393" s="98">
        <f t="shared" si="233"/>
        <v>932.79035056903911</v>
      </c>
      <c r="AO393" s="98">
        <f t="shared" si="234"/>
        <v>1.5697242743332267</v>
      </c>
      <c r="AP393" s="168" t="str">
        <f t="shared" si="235"/>
        <v>-0.218382947441585+0.0851114610499999i</v>
      </c>
      <c r="AQ393" s="98">
        <f t="shared" si="236"/>
        <v>-12.601502977127346</v>
      </c>
      <c r="AR393" s="169">
        <f t="shared" si="237"/>
        <v>158.70740030446552</v>
      </c>
      <c r="AS393" s="168" t="str">
        <f t="shared" si="238"/>
        <v>-0.351837569043328-1.2707768742799i</v>
      </c>
      <c r="AT393" s="190">
        <f t="shared" si="239"/>
        <v>2.4021554680503678</v>
      </c>
      <c r="AU393" s="169">
        <f t="shared" si="240"/>
        <v>-105.4757121268841</v>
      </c>
      <c r="AV393" s="225"/>
      <c r="AX393">
        <f t="shared" si="241"/>
        <v>0</v>
      </c>
      <c r="AY393">
        <f t="shared" si="242"/>
        <v>0</v>
      </c>
    </row>
    <row r="394" spans="14:51" x14ac:dyDescent="0.2">
      <c r="N394" s="170">
        <v>76</v>
      </c>
      <c r="O394" s="199">
        <f t="shared" si="243"/>
        <v>57543.993733715732</v>
      </c>
      <c r="P394" s="189" t="str">
        <f t="shared" si="209"/>
        <v>1757.57575757576</v>
      </c>
      <c r="Q394" s="160" t="str">
        <f t="shared" si="210"/>
        <v>1+20849.9355461108i</v>
      </c>
      <c r="R394" s="160">
        <f t="shared" si="218"/>
        <v>20849.935570091686</v>
      </c>
      <c r="S394" s="160">
        <f t="shared" si="219"/>
        <v>1.570748365015973</v>
      </c>
      <c r="T394" s="160" t="str">
        <f t="shared" si="211"/>
        <v>1+101.236681264353i</v>
      </c>
      <c r="U394" s="160">
        <f t="shared" si="220"/>
        <v>101.24162006516984</v>
      </c>
      <c r="V394" s="160">
        <f t="shared" si="221"/>
        <v>1.5609188054707024</v>
      </c>
      <c r="W394" s="98" t="str">
        <f t="shared" si="212"/>
        <v>1-0.0651560485815961i</v>
      </c>
      <c r="X394" s="160">
        <f t="shared" si="222"/>
        <v>1.0021204072698886</v>
      </c>
      <c r="Y394" s="160">
        <f t="shared" si="223"/>
        <v>-6.5064080172847885E-2</v>
      </c>
      <c r="Z394" s="98" t="str">
        <f t="shared" si="213"/>
        <v>-0.32452448593037-1.53167884045649i</v>
      </c>
      <c r="AA394" s="160">
        <f t="shared" si="224"/>
        <v>1.565680750431105</v>
      </c>
      <c r="AB394" s="160">
        <f t="shared" si="225"/>
        <v>-1.7795836668590177</v>
      </c>
      <c r="AC394" s="171" t="str">
        <f t="shared" si="226"/>
        <v>-0.72920031407061+5.41352961423919i</v>
      </c>
      <c r="AD394" s="190">
        <f t="shared" si="227"/>
        <v>14.747702333406011</v>
      </c>
      <c r="AE394" s="169">
        <f t="shared" si="228"/>
        <v>97.671543933215304</v>
      </c>
      <c r="AF394" s="98" t="str">
        <f t="shared" si="214"/>
        <v>-0.0000114342530449913</v>
      </c>
      <c r="AG394" s="98" t="str">
        <f t="shared" si="215"/>
        <v>0.0434052270920912i</v>
      </c>
      <c r="AH394" s="98">
        <f t="shared" si="229"/>
        <v>4.34052270920912E-2</v>
      </c>
      <c r="AI394" s="98">
        <f t="shared" si="230"/>
        <v>1.5707963267948966</v>
      </c>
      <c r="AJ394" s="98" t="str">
        <f t="shared" si="216"/>
        <v>1+0.397549887751965i</v>
      </c>
      <c r="AK394" s="98">
        <f t="shared" si="231"/>
        <v>1.0761254170642007</v>
      </c>
      <c r="AL394" s="98">
        <f t="shared" si="232"/>
        <v>0.37839242852366167</v>
      </c>
      <c r="AM394" s="98" t="str">
        <f t="shared" si="217"/>
        <v>1+954.517280492468i</v>
      </c>
      <c r="AN394" s="98">
        <f t="shared" si="233"/>
        <v>954.51780431730913</v>
      </c>
      <c r="AO394" s="98">
        <f t="shared" si="234"/>
        <v>1.5697486772084717</v>
      </c>
      <c r="AP394" s="168" t="str">
        <f t="shared" si="235"/>
        <v>-0.21704154134642+0.0865482707239862i</v>
      </c>
      <c r="AQ394" s="98">
        <f t="shared" si="236"/>
        <v>-12.628261784403417</v>
      </c>
      <c r="AR394" s="169">
        <f t="shared" si="237"/>
        <v>158.25968494617771</v>
      </c>
      <c r="AS394" s="168" t="str">
        <f t="shared" si="238"/>
        <v>-0.310264866509311-1.23807183779316i</v>
      </c>
      <c r="AT394" s="190">
        <f t="shared" si="239"/>
        <v>2.1194405490025732</v>
      </c>
      <c r="AU394" s="169">
        <f t="shared" si="240"/>
        <v>-104.068771120607</v>
      </c>
      <c r="AV394" s="225"/>
      <c r="AX394">
        <f t="shared" si="241"/>
        <v>0</v>
      </c>
      <c r="AY394">
        <f t="shared" si="242"/>
        <v>0</v>
      </c>
    </row>
    <row r="395" spans="14:51" x14ac:dyDescent="0.2">
      <c r="N395" s="170">
        <v>77</v>
      </c>
      <c r="O395" s="199">
        <f t="shared" si="243"/>
        <v>58884.365535558936</v>
      </c>
      <c r="P395" s="189" t="str">
        <f t="shared" si="209"/>
        <v>1757.57575757576</v>
      </c>
      <c r="Q395" s="160" t="str">
        <f t="shared" si="210"/>
        <v>1+21335.5929338406i</v>
      </c>
      <c r="R395" s="160">
        <f t="shared" si="218"/>
        <v>21335.592957275614</v>
      </c>
      <c r="S395" s="160">
        <f t="shared" si="219"/>
        <v>1.5707494567593476</v>
      </c>
      <c r="T395" s="160" t="str">
        <f t="shared" si="211"/>
        <v>1+103.594786499573i</v>
      </c>
      <c r="U395" s="160">
        <f t="shared" si="220"/>
        <v>103.59961288485644</v>
      </c>
      <c r="V395" s="160">
        <f t="shared" si="221"/>
        <v>1.5611436311775004</v>
      </c>
      <c r="W395" s="98" t="str">
        <f t="shared" si="212"/>
        <v>1-0.0666737279182516i</v>
      </c>
      <c r="X395" s="160">
        <f t="shared" si="222"/>
        <v>1.0022202282904278</v>
      </c>
      <c r="Y395" s="160">
        <f t="shared" si="223"/>
        <v>-6.6575193779637859E-2</v>
      </c>
      <c r="Z395" s="98" t="str">
        <f t="shared" si="213"/>
        <v>-0.38694740181013-1.56735622386383i</v>
      </c>
      <c r="AA395" s="160">
        <f t="shared" si="224"/>
        <v>1.6144143904996309</v>
      </c>
      <c r="AB395" s="160">
        <f t="shared" si="225"/>
        <v>-1.8128354668012965</v>
      </c>
      <c r="AC395" s="171" t="str">
        <f t="shared" si="226"/>
        <v>-0.874700474827758+5.2253398031048i</v>
      </c>
      <c r="AD395" s="190">
        <f t="shared" si="227"/>
        <v>14.482312260202896</v>
      </c>
      <c r="AE395" s="169">
        <f t="shared" si="228"/>
        <v>99.502970310925264</v>
      </c>
      <c r="AF395" s="98" t="str">
        <f t="shared" si="214"/>
        <v>-0.0000114342530449913</v>
      </c>
      <c r="AG395" s="98" t="str">
        <f t="shared" si="215"/>
        <v>0.0444162647116917i</v>
      </c>
      <c r="AH395" s="98">
        <f t="shared" si="229"/>
        <v>4.4416264711691703E-2</v>
      </c>
      <c r="AI395" s="98">
        <f t="shared" si="230"/>
        <v>1.5707963267948966</v>
      </c>
      <c r="AJ395" s="98" t="str">
        <f t="shared" si="216"/>
        <v>1+0.406810014218586i</v>
      </c>
      <c r="AK395" s="98">
        <f t="shared" si="231"/>
        <v>1.0795806536190458</v>
      </c>
      <c r="AL395" s="98">
        <f t="shared" si="232"/>
        <v>0.38636325829568513</v>
      </c>
      <c r="AM395" s="98" t="str">
        <f t="shared" si="217"/>
        <v>1+976.750844138826i</v>
      </c>
      <c r="AN395" s="98">
        <f t="shared" si="233"/>
        <v>976.75135603996432</v>
      </c>
      <c r="AO395" s="98">
        <f t="shared" si="234"/>
        <v>1.569772524607665</v>
      </c>
      <c r="AP395" s="168" t="str">
        <f t="shared" si="235"/>
        <v>-0.215654466140196+0.0879878303547346i</v>
      </c>
      <c r="AQ395" s="98">
        <f t="shared" si="236"/>
        <v>-12.656106081672089</v>
      </c>
      <c r="AR395" s="169">
        <f t="shared" si="237"/>
        <v>157.80435639634973</v>
      </c>
      <c r="AS395" s="168" t="str">
        <f t="shared" si="238"/>
        <v>-0.271133248209871-1.20383086263003i</v>
      </c>
      <c r="AT395" s="190">
        <f t="shared" si="239"/>
        <v>1.8262061785307817</v>
      </c>
      <c r="AU395" s="169">
        <f t="shared" si="240"/>
        <v>-102.69267329272499</v>
      </c>
      <c r="AV395" s="225"/>
      <c r="AX395">
        <f t="shared" si="241"/>
        <v>0</v>
      </c>
      <c r="AY395">
        <f t="shared" si="242"/>
        <v>0</v>
      </c>
    </row>
    <row r="396" spans="14:51" x14ac:dyDescent="0.2">
      <c r="N396" s="170">
        <v>78</v>
      </c>
      <c r="O396" s="199">
        <f t="shared" si="243"/>
        <v>60255.95860743591</v>
      </c>
      <c r="P396" s="189" t="str">
        <f t="shared" si="209"/>
        <v>1757.57575757576</v>
      </c>
      <c r="Q396" s="160" t="str">
        <f t="shared" si="210"/>
        <v>1+21832.5627353539i</v>
      </c>
      <c r="R396" s="160">
        <f t="shared" si="218"/>
        <v>21832.562758255466</v>
      </c>
      <c r="S396" s="160">
        <f t="shared" si="219"/>
        <v>1.5707505236516091</v>
      </c>
      <c r="T396" s="160" t="str">
        <f t="shared" si="211"/>
        <v>1+106.007819061834i</v>
      </c>
      <c r="U396" s="160">
        <f t="shared" si="220"/>
        <v>106.01253559012036</v>
      </c>
      <c r="V396" s="160">
        <f t="shared" si="221"/>
        <v>1.5613633401693672</v>
      </c>
      <c r="W396" s="98" t="str">
        <f t="shared" si="212"/>
        <v>1-0.0682267585479807i</v>
      </c>
      <c r="X396" s="160">
        <f t="shared" si="222"/>
        <v>1.002324743075798</v>
      </c>
      <c r="Y396" s="160">
        <f t="shared" si="223"/>
        <v>-6.8121190537421064E-2</v>
      </c>
      <c r="Z396" s="98" t="str">
        <f t="shared" si="213"/>
        <v>-0.45231221908042-1.60386464028749i</v>
      </c>
      <c r="AA396" s="160">
        <f t="shared" si="224"/>
        <v>1.6664237539995561</v>
      </c>
      <c r="AB396" s="160">
        <f t="shared" si="225"/>
        <v>-1.8456715965009447</v>
      </c>
      <c r="AC396" s="171" t="str">
        <f t="shared" si="226"/>
        <v>-1.00656225348546+5.03356153384636i</v>
      </c>
      <c r="AD396" s="190">
        <f t="shared" si="227"/>
        <v>14.207791244053967</v>
      </c>
      <c r="AE396" s="169">
        <f t="shared" si="228"/>
        <v>101.30829013842865</v>
      </c>
      <c r="AF396" s="98" t="str">
        <f t="shared" si="214"/>
        <v>-0.0000114342530449913</v>
      </c>
      <c r="AG396" s="98" t="str">
        <f t="shared" si="215"/>
        <v>0.0454508524227611i</v>
      </c>
      <c r="AH396" s="98">
        <f t="shared" si="229"/>
        <v>4.5450852422761097E-2</v>
      </c>
      <c r="AI396" s="98">
        <f t="shared" si="230"/>
        <v>1.5707963267948966</v>
      </c>
      <c r="AJ396" s="98" t="str">
        <f t="shared" si="216"/>
        <v>1+0.416285836739515i</v>
      </c>
      <c r="AK396" s="98">
        <f t="shared" si="231"/>
        <v>1.0831869173277151</v>
      </c>
      <c r="AL396" s="98">
        <f t="shared" si="232"/>
        <v>0.39446658169259197</v>
      </c>
      <c r="AM396" s="98" t="str">
        <f t="shared" si="217"/>
        <v>1+999.502294011574i</v>
      </c>
      <c r="AN396" s="98">
        <f t="shared" si="233"/>
        <v>999.50279426042562</v>
      </c>
      <c r="AO396" s="98">
        <f t="shared" si="234"/>
        <v>1.569795829174905</v>
      </c>
      <c r="AP396" s="168" t="str">
        <f t="shared" si="235"/>
        <v>-0.214220895905416+0.0894286989056218i</v>
      </c>
      <c r="AQ396" s="98">
        <f t="shared" si="236"/>
        <v>-12.685072540744518</v>
      </c>
      <c r="AR396" s="169">
        <f t="shared" si="237"/>
        <v>157.34140541902366</v>
      </c>
      <c r="AS396" s="168" t="str">
        <f t="shared" si="238"/>
        <v>-0.234518191107036-1.16830961407232i</v>
      </c>
      <c r="AT396" s="190">
        <f t="shared" si="239"/>
        <v>1.5227187033094325</v>
      </c>
      <c r="AU396" s="169">
        <f t="shared" si="240"/>
        <v>-101.35030444254772</v>
      </c>
      <c r="AV396" s="225"/>
      <c r="AX396">
        <f t="shared" si="241"/>
        <v>0</v>
      </c>
      <c r="AY396">
        <f t="shared" si="242"/>
        <v>0</v>
      </c>
    </row>
    <row r="397" spans="14:51" x14ac:dyDescent="0.2">
      <c r="N397" s="170">
        <v>79</v>
      </c>
      <c r="O397" s="199">
        <f t="shared" si="243"/>
        <v>61659.500186148245</v>
      </c>
      <c r="P397" s="189" t="str">
        <f t="shared" si="209"/>
        <v>1757.57575757576</v>
      </c>
      <c r="Q397" s="160" t="str">
        <f t="shared" si="210"/>
        <v>1+22341.1084506175i</v>
      </c>
      <c r="R397" s="160">
        <f t="shared" si="218"/>
        <v>22341.108472997763</v>
      </c>
      <c r="S397" s="160">
        <f t="shared" si="219"/>
        <v>1.5707515662584379</v>
      </c>
      <c r="T397" s="160" t="str">
        <f t="shared" si="211"/>
        <v>1+108.47705837294i</v>
      </c>
      <c r="U397" s="160">
        <f t="shared" si="220"/>
        <v>108.48166754454979</v>
      </c>
      <c r="V397" s="160">
        <f t="shared" si="221"/>
        <v>1.561578048854023</v>
      </c>
      <c r="W397" s="98" t="str">
        <f t="shared" si="212"/>
        <v>1-0.0698159639081796i</v>
      </c>
      <c r="X397" s="160">
        <f t="shared" si="222"/>
        <v>1.0024341718120089</v>
      </c>
      <c r="Y397" s="160">
        <f t="shared" si="223"/>
        <v>-6.9702860576743839E-2</v>
      </c>
      <c r="Z397" s="98" t="str">
        <f t="shared" si="213"/>
        <v>-0.52075758528225-1.64122344697308i</v>
      </c>
      <c r="AA397" s="160">
        <f t="shared" si="224"/>
        <v>1.7218602921036301</v>
      </c>
      <c r="AB397" s="160">
        <f t="shared" si="225"/>
        <v>-1.8780467061763331</v>
      </c>
      <c r="AC397" s="171" t="str">
        <f t="shared" si="226"/>
        <v>-1.1248345188892+4.83947844333126i</v>
      </c>
      <c r="AD397" s="190">
        <f t="shared" si="227"/>
        <v>13.924472817133752</v>
      </c>
      <c r="AE397" s="169">
        <f t="shared" si="228"/>
        <v>103.08486643075065</v>
      </c>
      <c r="AF397" s="98" t="str">
        <f t="shared" si="214"/>
        <v>-0.0000114342530449913</v>
      </c>
      <c r="AG397" s="98" t="str">
        <f t="shared" si="215"/>
        <v>0.0465095387773981i</v>
      </c>
      <c r="AH397" s="98">
        <f t="shared" si="229"/>
        <v>4.65095387773981E-2</v>
      </c>
      <c r="AI397" s="98">
        <f t="shared" si="230"/>
        <v>1.5707963267948966</v>
      </c>
      <c r="AJ397" s="98" t="str">
        <f t="shared" si="216"/>
        <v>1+0.425982379521274i</v>
      </c>
      <c r="AK397" s="98">
        <f t="shared" si="231"/>
        <v>1.0869503151766444</v>
      </c>
      <c r="AL397" s="98">
        <f t="shared" si="232"/>
        <v>0.40270243739324524</v>
      </c>
      <c r="AM397" s="98" t="str">
        <f t="shared" si="217"/>
        <v>1+1022.78369323058i</v>
      </c>
      <c r="AN397" s="98">
        <f t="shared" si="233"/>
        <v>1022.7841820923832</v>
      </c>
      <c r="AO397" s="98">
        <f t="shared" si="234"/>
        <v>1.5698186032664803</v>
      </c>
      <c r="AP397" s="168" t="str">
        <f t="shared" si="235"/>
        <v>-0.212740050316268+0.0908693603362225i</v>
      </c>
      <c r="AQ397" s="98">
        <f t="shared" si="236"/>
        <v>-12.715198472840232</v>
      </c>
      <c r="AR397" s="169">
        <f t="shared" si="237"/>
        <v>156.87083050602689</v>
      </c>
      <c r="AS397" s="168" t="str">
        <f t="shared" si="238"/>
        <v>-0.200462958360486-1.13176388075435i</v>
      </c>
      <c r="AT397" s="190">
        <f t="shared" si="239"/>
        <v>1.2092743442935128</v>
      </c>
      <c r="AU397" s="169">
        <f t="shared" si="240"/>
        <v>-100.04430306322246</v>
      </c>
      <c r="AV397" s="225"/>
      <c r="AX397">
        <f t="shared" si="241"/>
        <v>0</v>
      </c>
      <c r="AY397">
        <f t="shared" si="242"/>
        <v>0</v>
      </c>
    </row>
    <row r="398" spans="14:51" x14ac:dyDescent="0.2">
      <c r="N398" s="170">
        <v>80</v>
      </c>
      <c r="O398" s="199">
        <f t="shared" si="243"/>
        <v>63095.734448019342</v>
      </c>
      <c r="P398" s="189" t="str">
        <f t="shared" si="209"/>
        <v>1757.57575757576</v>
      </c>
      <c r="Q398" s="160" t="str">
        <f t="shared" si="210"/>
        <v>1+22861.4997173012i</v>
      </c>
      <c r="R398" s="160">
        <f t="shared" si="218"/>
        <v>22861.499739172032</v>
      </c>
      <c r="S398" s="160">
        <f t="shared" si="219"/>
        <v>1.5707525851326378</v>
      </c>
      <c r="T398" s="160" t="str">
        <f t="shared" si="211"/>
        <v>1+111.00381365626i</v>
      </c>
      <c r="U398" s="160">
        <f t="shared" si="220"/>
        <v>111.00831791462156</v>
      </c>
      <c r="V398" s="160">
        <f t="shared" si="221"/>
        <v>1.561787870993625</v>
      </c>
      <c r="W398" s="98" t="str">
        <f t="shared" si="212"/>
        <v>1-0.0714421866165661i</v>
      </c>
      <c r="X398" s="160">
        <f t="shared" si="222"/>
        <v>1.0025487449638328</v>
      </c>
      <c r="Y398" s="160">
        <f t="shared" si="223"/>
        <v>-7.1321010847547897E-2</v>
      </c>
      <c r="Z398" s="98" t="str">
        <f t="shared" si="213"/>
        <v>-0.59242868221399-1.67945245205441i</v>
      </c>
      <c r="AA398" s="160">
        <f t="shared" si="224"/>
        <v>1.7808796372077971</v>
      </c>
      <c r="AB398" s="160">
        <f t="shared" si="225"/>
        <v>-1.9099198999766305</v>
      </c>
      <c r="AC398" s="171" t="str">
        <f t="shared" si="226"/>
        <v>-1.22971164483106+4.64432022693288i</v>
      </c>
      <c r="AD398" s="190">
        <f t="shared" si="227"/>
        <v>13.632715758494093</v>
      </c>
      <c r="AE398" s="169">
        <f t="shared" si="228"/>
        <v>104.83031627983128</v>
      </c>
      <c r="AF398" s="98" t="str">
        <f t="shared" si="214"/>
        <v>-0.0000114342530449913</v>
      </c>
      <c r="AG398" s="98" t="str">
        <f t="shared" si="215"/>
        <v>0.0475928851051215i</v>
      </c>
      <c r="AH398" s="98">
        <f t="shared" si="229"/>
        <v>4.7592885105121503E-2</v>
      </c>
      <c r="AI398" s="98">
        <f t="shared" si="230"/>
        <v>1.5707963267948966</v>
      </c>
      <c r="AJ398" s="98" t="str">
        <f t="shared" si="216"/>
        <v>1+0.4359047837992i</v>
      </c>
      <c r="AK398" s="98">
        <f t="shared" si="231"/>
        <v>1.0908771610676553</v>
      </c>
      <c r="AL398" s="98">
        <f t="shared" si="232"/>
        <v>0.41107072204649547</v>
      </c>
      <c r="AM398" s="98" t="str">
        <f t="shared" si="217"/>
        <v>1+1046.60738590188i</v>
      </c>
      <c r="AN398" s="98">
        <f t="shared" si="233"/>
        <v>1046.6078636358352</v>
      </c>
      <c r="AO398" s="98">
        <f t="shared" si="234"/>
        <v>1.5698408589574209</v>
      </c>
      <c r="AP398" s="168" t="str">
        <f t="shared" si="235"/>
        <v>-0.21121120027464+0.0923082239027753i</v>
      </c>
      <c r="AQ398" s="98">
        <f t="shared" si="236"/>
        <v>-12.746521790079999</v>
      </c>
      <c r="AR398" s="169">
        <f t="shared" si="237"/>
        <v>156.39263827079253</v>
      </c>
      <c r="AS398" s="168" t="str">
        <f t="shared" si="238"/>
        <v>-0.168980078887438-1.0944449474372i</v>
      </c>
      <c r="AT398" s="190">
        <f t="shared" si="239"/>
        <v>0.88619396841411358</v>
      </c>
      <c r="AU398" s="169">
        <f t="shared" si="240"/>
        <v>-98.777045449376132</v>
      </c>
      <c r="AV398" s="225"/>
      <c r="AX398">
        <f t="shared" si="241"/>
        <v>0</v>
      </c>
      <c r="AY398">
        <f t="shared" si="242"/>
        <v>0</v>
      </c>
    </row>
    <row r="399" spans="14:51" x14ac:dyDescent="0.2">
      <c r="N399" s="170">
        <v>81</v>
      </c>
      <c r="O399" s="199">
        <f t="shared" si="243"/>
        <v>64565.422903465682</v>
      </c>
      <c r="P399" s="189" t="str">
        <f t="shared" si="209"/>
        <v>1757.57575757576</v>
      </c>
      <c r="Q399" s="160" t="str">
        <f t="shared" si="210"/>
        <v>1+23394.0124537428i</v>
      </c>
      <c r="R399" s="160">
        <f t="shared" si="218"/>
        <v>23394.012475115789</v>
      </c>
      <c r="S399" s="160">
        <f t="shared" si="219"/>
        <v>1.5707535808144297</v>
      </c>
      <c r="T399" s="160" t="str">
        <f t="shared" si="211"/>
        <v>1+113.58942463089i</v>
      </c>
      <c r="U399" s="160">
        <f t="shared" si="220"/>
        <v>113.59382636383299</v>
      </c>
      <c r="V399" s="160">
        <f t="shared" si="221"/>
        <v>1.5619929177647065</v>
      </c>
      <c r="W399" s="98" t="str">
        <f t="shared" si="212"/>
        <v>1-0.0731062889179461i</v>
      </c>
      <c r="X399" s="160">
        <f t="shared" si="222"/>
        <v>1.002668703749825</v>
      </c>
      <c r="Y399" s="160">
        <f t="shared" si="223"/>
        <v>-7.2976465399646098E-2</v>
      </c>
      <c r="Z399" s="98" t="str">
        <f t="shared" si="213"/>
        <v>-0.66747753388135-1.71857192505601i</v>
      </c>
      <c r="AA399" s="160">
        <f t="shared" si="224"/>
        <v>1.8436419717035759</v>
      </c>
      <c r="AB399" s="160">
        <f t="shared" si="225"/>
        <v>-1.9412548911017853</v>
      </c>
      <c r="AC399" s="171" t="str">
        <f t="shared" si="226"/>
        <v>-1.32151868823247+4.44924483252706i</v>
      </c>
      <c r="AD399" s="190">
        <f t="shared" si="227"/>
        <v>13.332898766642513</v>
      </c>
      <c r="AE399" s="169">
        <f t="shared" si="228"/>
        <v>106.54251972959298</v>
      </c>
      <c r="AF399" s="98" t="str">
        <f t="shared" si="214"/>
        <v>-0.0000114342530449913</v>
      </c>
      <c r="AG399" s="98" t="str">
        <f t="shared" si="215"/>
        <v>0.048701465810494i</v>
      </c>
      <c r="AH399" s="98">
        <f t="shared" si="229"/>
        <v>4.8701465810493998E-2</v>
      </c>
      <c r="AI399" s="98">
        <f t="shared" si="230"/>
        <v>1.5707963267948966</v>
      </c>
      <c r="AJ399" s="98" t="str">
        <f t="shared" si="216"/>
        <v>1+0.44605831056338i</v>
      </c>
      <c r="AK399" s="98">
        <f t="shared" si="231"/>
        <v>1.094973979792514</v>
      </c>
      <c r="AL399" s="98">
        <f t="shared" si="232"/>
        <v>0.41957118345019101</v>
      </c>
      <c r="AM399" s="98" t="str">
        <f t="shared" si="217"/>
        <v>1+1070.98600366267i</v>
      </c>
      <c r="AN399" s="98">
        <f t="shared" si="233"/>
        <v>1070.9864705220775</v>
      </c>
      <c r="AO399" s="98">
        <f t="shared" si="234"/>
        <v>1.569862608047901</v>
      </c>
      <c r="AP399" s="168" t="str">
        <f t="shared" si="235"/>
        <v>-0.209633673725494+0.0937436248627676i</v>
      </c>
      <c r="AQ399" s="98">
        <f t="shared" si="236"/>
        <v>-12.779080962421139</v>
      </c>
      <c r="AR399" s="169">
        <f t="shared" si="237"/>
        <v>155.90684383953982</v>
      </c>
      <c r="AS399" s="168" t="str">
        <f t="shared" si="238"/>
        <v>-0.140053520991956-1.05659549170562i</v>
      </c>
      <c r="AT399" s="190">
        <f t="shared" si="239"/>
        <v>0.55381780422138249</v>
      </c>
      <c r="AU399" s="169">
        <f t="shared" si="240"/>
        <v>-97.550636430867229</v>
      </c>
      <c r="AV399" s="225"/>
      <c r="AX399">
        <f t="shared" si="241"/>
        <v>0</v>
      </c>
      <c r="AY399">
        <f t="shared" si="242"/>
        <v>0</v>
      </c>
    </row>
    <row r="400" spans="14:51" x14ac:dyDescent="0.2">
      <c r="N400" s="170">
        <v>82</v>
      </c>
      <c r="O400" s="199">
        <f t="shared" si="243"/>
        <v>66069.344800759733</v>
      </c>
      <c r="P400" s="189" t="str">
        <f t="shared" si="209"/>
        <v>1757.57575757576</v>
      </c>
      <c r="Q400" s="160" t="str">
        <f t="shared" si="210"/>
        <v>1+23938.9290052438i</v>
      </c>
      <c r="R400" s="160">
        <f t="shared" si="218"/>
        <v>23938.929026130278</v>
      </c>
      <c r="S400" s="160">
        <f t="shared" si="219"/>
        <v>1.5707545538317369</v>
      </c>
      <c r="T400" s="160" t="str">
        <f t="shared" si="211"/>
        <v>1+116.235262221993i</v>
      </c>
      <c r="U400" s="160">
        <f t="shared" si="220"/>
        <v>116.23956376301263</v>
      </c>
      <c r="V400" s="160">
        <f t="shared" si="221"/>
        <v>1.5621932978167719</v>
      </c>
      <c r="W400" s="98" t="str">
        <f t="shared" si="212"/>
        <v>1-0.0748091531413865i</v>
      </c>
      <c r="X400" s="160">
        <f t="shared" si="222"/>
        <v>1.0027943006388356</v>
      </c>
      <c r="Y400" s="160">
        <f t="shared" si="223"/>
        <v>-7.4670065662020738E-2</v>
      </c>
      <c r="Z400" s="98" t="str">
        <f t="shared" si="213"/>
        <v>-0.74606332896068-1.75860260764026i</v>
      </c>
      <c r="AA400" s="160">
        <f t="shared" si="224"/>
        <v>1.9103124410470174</v>
      </c>
      <c r="AB400" s="160">
        <f t="shared" si="225"/>
        <v>-1.9720200636286849</v>
      </c>
      <c r="AC400" s="171" t="str">
        <f t="shared" si="226"/>
        <v>-1.40069455983141+4.25532423832733i</v>
      </c>
      <c r="AD400" s="190">
        <f t="shared" si="227"/>
        <v>13.02541521768652</v>
      </c>
      <c r="AE400" s="169">
        <f t="shared" si="228"/>
        <v>108.21962330565671</v>
      </c>
      <c r="AF400" s="98" t="str">
        <f t="shared" si="214"/>
        <v>-0.0000114342530449913</v>
      </c>
      <c r="AG400" s="98" t="str">
        <f t="shared" si="215"/>
        <v>0.0498358686776792i</v>
      </c>
      <c r="AH400" s="98">
        <f t="shared" si="229"/>
        <v>4.9835868677679203E-2</v>
      </c>
      <c r="AI400" s="98">
        <f t="shared" si="230"/>
        <v>1.5707963267948966</v>
      </c>
      <c r="AJ400" s="98" t="str">
        <f t="shared" si="216"/>
        <v>1+0.456448343348099i</v>
      </c>
      <c r="AK400" s="98">
        <f t="shared" si="231"/>
        <v>1.0992475108660578</v>
      </c>
      <c r="AL400" s="98">
        <f t="shared" si="232"/>
        <v>0.42820341381460908</v>
      </c>
      <c r="AM400" s="98" t="str">
        <f t="shared" si="217"/>
        <v>1+1095.93247237879i</v>
      </c>
      <c r="AN400" s="98">
        <f t="shared" si="233"/>
        <v>1095.9329286111845</v>
      </c>
      <c r="AO400" s="98">
        <f t="shared" si="234"/>
        <v>1.5698838620694937</v>
      </c>
      <c r="AP400" s="168" t="str">
        <f t="shared" si="235"/>
        <v>-0.208006861625799+0.0951738256150048i</v>
      </c>
      <c r="AQ400" s="98">
        <f t="shared" si="236"/>
        <v>-12.812914969902353</v>
      </c>
      <c r="AR400" s="169">
        <f t="shared" si="237"/>
        <v>155.41347123760883</v>
      </c>
      <c r="AS400" s="168" t="str">
        <f t="shared" si="238"/>
        <v>-0.113641407507007-1.01844609979194i</v>
      </c>
      <c r="AT400" s="190">
        <f t="shared" si="239"/>
        <v>0.21250024778414836</v>
      </c>
      <c r="AU400" s="169">
        <f t="shared" si="240"/>
        <v>-96.366905456734472</v>
      </c>
      <c r="AV400" s="225"/>
      <c r="AX400">
        <f t="shared" si="241"/>
        <v>66069.344800759733</v>
      </c>
      <c r="AY400">
        <f t="shared" si="242"/>
        <v>-96.366905456734472</v>
      </c>
    </row>
    <row r="401" spans="14:51" x14ac:dyDescent="0.2">
      <c r="N401" s="170">
        <v>83</v>
      </c>
      <c r="O401" s="199">
        <f t="shared" si="243"/>
        <v>67608.297539198305</v>
      </c>
      <c r="P401" s="189" t="str">
        <f t="shared" si="209"/>
        <v>1757.57575757576</v>
      </c>
      <c r="Q401" s="160" t="str">
        <f t="shared" si="210"/>
        <v>1+24496.5382937724i</v>
      </c>
      <c r="R401" s="160">
        <f t="shared" si="218"/>
        <v>24496.538314183446</v>
      </c>
      <c r="S401" s="160">
        <f t="shared" si="219"/>
        <v>1.5707555047004662</v>
      </c>
      <c r="T401" s="160" t="str">
        <f t="shared" si="211"/>
        <v>1+118.942729287681i</v>
      </c>
      <c r="U401" s="160">
        <f t="shared" si="220"/>
        <v>118.94693291717348</v>
      </c>
      <c r="V401" s="160">
        <f t="shared" si="221"/>
        <v>1.5623891173295743</v>
      </c>
      <c r="W401" s="98" t="str">
        <f t="shared" si="212"/>
        <v>1-0.0765516821680386i</v>
      </c>
      <c r="X401" s="160">
        <f t="shared" si="222"/>
        <v>1.0029257998689416</v>
      </c>
      <c r="Y401" s="160">
        <f t="shared" si="223"/>
        <v>-7.6402670720396845E-2</v>
      </c>
      <c r="Z401" s="98" t="str">
        <f t="shared" si="213"/>
        <v>-0.82835275845952-1.79956572460494i</v>
      </c>
      <c r="AA401" s="160">
        <f t="shared" si="224"/>
        <v>1.9810616067200932</v>
      </c>
      <c r="AB401" s="160">
        <f t="shared" si="225"/>
        <v>-2.0021884487408736</v>
      </c>
      <c r="AC401" s="171" t="str">
        <f t="shared" si="226"/>
        <v>-1.46777402180456+4.06353391317534i</v>
      </c>
      <c r="AD401" s="190">
        <f t="shared" si="227"/>
        <v>12.710668136052455</v>
      </c>
      <c r="AE401" s="169">
        <f t="shared" si="228"/>
        <v>109.8600386407673</v>
      </c>
      <c r="AF401" s="98" t="str">
        <f t="shared" si="214"/>
        <v>-0.0000114342530449913</v>
      </c>
      <c r="AG401" s="98" t="str">
        <f t="shared" si="215"/>
        <v>0.0509966951820931i</v>
      </c>
      <c r="AH401" s="98">
        <f t="shared" si="229"/>
        <v>5.0996695182093099E-2</v>
      </c>
      <c r="AI401" s="98">
        <f t="shared" si="230"/>
        <v>1.5707963267948966</v>
      </c>
      <c r="AJ401" s="98" t="str">
        <f t="shared" si="216"/>
        <v>1+0.467080391086269i</v>
      </c>
      <c r="AK401" s="98">
        <f t="shared" si="231"/>
        <v>1.1037047122021824</v>
      </c>
      <c r="AL401" s="98">
        <f t="shared" si="232"/>
        <v>0.43696684315158718</v>
      </c>
      <c r="AM401" s="98" t="str">
        <f t="shared" si="217"/>
        <v>1+1121.46001899813i</v>
      </c>
      <c r="AN401" s="98">
        <f t="shared" si="233"/>
        <v>1121.4604648454113</v>
      </c>
      <c r="AO401" s="98">
        <f t="shared" si="234"/>
        <v>1.5699046322912855</v>
      </c>
      <c r="AP401" s="168" t="str">
        <f t="shared" si="235"/>
        <v>-0.206330224037052+0.0965970173054894i</v>
      </c>
      <c r="AQ401" s="98">
        <f t="shared" si="236"/>
        <v>-12.848063250087838</v>
      </c>
      <c r="AR401" s="169">
        <f t="shared" si="237"/>
        <v>154.91255376858706</v>
      </c>
      <c r="AS401" s="168" t="str">
        <f t="shared" si="238"/>
        <v>-0.0896791129777417-0.98021245527243i</v>
      </c>
      <c r="AT401" s="190">
        <f t="shared" si="239"/>
        <v>-0.13739511403538063</v>
      </c>
      <c r="AU401" s="169">
        <f t="shared" si="240"/>
        <v>-95.227407590645612</v>
      </c>
      <c r="AV401" s="225"/>
      <c r="AX401">
        <f t="shared" si="241"/>
        <v>0</v>
      </c>
      <c r="AY401">
        <f t="shared" si="242"/>
        <v>0</v>
      </c>
    </row>
    <row r="402" spans="14:51" x14ac:dyDescent="0.2">
      <c r="N402" s="170">
        <v>84</v>
      </c>
      <c r="O402" s="199">
        <f t="shared" si="243"/>
        <v>69183.097091893651</v>
      </c>
      <c r="P402" s="189" t="str">
        <f t="shared" si="209"/>
        <v>1757.57575757576</v>
      </c>
      <c r="Q402" s="160" t="str">
        <f t="shared" si="210"/>
        <v>1+25067.1359711544i</v>
      </c>
      <c r="R402" s="160">
        <f t="shared" si="218"/>
        <v>25067.135991100829</v>
      </c>
      <c r="S402" s="160">
        <f t="shared" si="219"/>
        <v>1.570756433924781</v>
      </c>
      <c r="T402" s="160" t="str">
        <f t="shared" si="211"/>
        <v>1+121.71326136283i</v>
      </c>
      <c r="U402" s="160">
        <f t="shared" si="220"/>
        <v>121.71736930930017</v>
      </c>
      <c r="V402" s="160">
        <f t="shared" si="221"/>
        <v>1.5625804800691074</v>
      </c>
      <c r="W402" s="98" t="str">
        <f t="shared" si="212"/>
        <v>1-0.0783347999098572i</v>
      </c>
      <c r="X402" s="160">
        <f t="shared" si="222"/>
        <v>1.0030634779897618</v>
      </c>
      <c r="Y402" s="160">
        <f t="shared" si="223"/>
        <v>-7.8175157592492217E-2</v>
      </c>
      <c r="Z402" s="98" t="str">
        <f t="shared" si="213"/>
        <v>-0.91452036929056-1.84148299513687i</v>
      </c>
      <c r="AA402" s="160">
        <f t="shared" si="224"/>
        <v>2.0560659345521</v>
      </c>
      <c r="AB402" s="160">
        <f t="shared" si="225"/>
        <v>-2.031737625171492</v>
      </c>
      <c r="AC402" s="171" t="str">
        <f t="shared" si="226"/>
        <v>-1.52336928902217+3.87474587252528i</v>
      </c>
      <c r="AD402" s="190">
        <f t="shared" si="227"/>
        <v>12.38906548210748</v>
      </c>
      <c r="AE402" s="169">
        <f t="shared" si="228"/>
        <v>111.46243675801557</v>
      </c>
      <c r="AF402" s="98" t="str">
        <f t="shared" si="214"/>
        <v>-0.0000114342530449913</v>
      </c>
      <c r="AG402" s="98" t="str">
        <f t="shared" si="215"/>
        <v>0.0521845608093134i</v>
      </c>
      <c r="AH402" s="98">
        <f t="shared" si="229"/>
        <v>5.2184560809313399E-2</v>
      </c>
      <c r="AI402" s="98">
        <f t="shared" si="230"/>
        <v>1.5707963267948966</v>
      </c>
      <c r="AJ402" s="98" t="str">
        <f t="shared" si="216"/>
        <v>1+0.477960091030332i</v>
      </c>
      <c r="AK402" s="98">
        <f t="shared" si="231"/>
        <v>1.1083527636171271</v>
      </c>
      <c r="AL402" s="98">
        <f t="shared" si="232"/>
        <v>0.44586073283334271</v>
      </c>
      <c r="AM402" s="98" t="str">
        <f t="shared" si="217"/>
        <v>1+1147.58217856383i</v>
      </c>
      <c r="AN402" s="98">
        <f t="shared" si="233"/>
        <v>1147.5826142623919</v>
      </c>
      <c r="AO402" s="98">
        <f t="shared" si="234"/>
        <v>1.5699249297258515</v>
      </c>
      <c r="AP402" s="168" t="str">
        <f t="shared" si="235"/>
        <v>-0.204603296307175+0.0980113219279654i</v>
      </c>
      <c r="AQ402" s="98">
        <f t="shared" si="236"/>
        <v>-12.884565640624643</v>
      </c>
      <c r="AR402" s="169">
        <f t="shared" si="237"/>
        <v>154.40413438370317</v>
      </c>
      <c r="AS402" s="168" t="str">
        <f t="shared" si="238"/>
        <v>-0.0680825870740768-0.942093215672821i</v>
      </c>
      <c r="AT402" s="190">
        <f t="shared" si="239"/>
        <v>-0.49550015851716378</v>
      </c>
      <c r="AU402" s="169">
        <f t="shared" si="240"/>
        <v>-94.133428858281263</v>
      </c>
      <c r="AV402" s="225"/>
      <c r="AX402">
        <f t="shared" si="241"/>
        <v>0</v>
      </c>
      <c r="AY402">
        <f t="shared" si="242"/>
        <v>0</v>
      </c>
    </row>
    <row r="403" spans="14:51" x14ac:dyDescent="0.2">
      <c r="N403" s="170">
        <v>85</v>
      </c>
      <c r="O403" s="199">
        <f t="shared" si="243"/>
        <v>70794.578438413781</v>
      </c>
      <c r="P403" s="189" t="str">
        <f t="shared" ref="P403:P466" si="244">COMPLEX(Adc,0)</f>
        <v>1757.57575757576</v>
      </c>
      <c r="Q403" s="160" t="str">
        <f t="shared" ref="Q403:Q466" si="245">IMSUM(COMPLEX(1,0),IMDIV(COMPLEX(0,2*PI()*O403),COMPLEX(wp_lf,0)))</f>
        <v>1+25651.0245758311i</v>
      </c>
      <c r="R403" s="160">
        <f t="shared" si="218"/>
        <v>25651.024595323499</v>
      </c>
      <c r="S403" s="160">
        <f t="shared" si="219"/>
        <v>1.5707573419973679</v>
      </c>
      <c r="T403" s="160" t="str">
        <f t="shared" ref="T403:T466" si="246">IMSUM(COMPLEX(1,0),IMDIV(COMPLEX(0,2*PI()*O403),COMPLEX(wz_esr,0)))</f>
        <v>1+124.54832742022i</v>
      </c>
      <c r="U403" s="160">
        <f t="shared" si="220"/>
        <v>124.5523418614613</v>
      </c>
      <c r="V403" s="160">
        <f t="shared" si="221"/>
        <v>1.562767487442335</v>
      </c>
      <c r="W403" s="98" t="str">
        <f t="shared" ref="W403:W466" si="247">IMSUB(COMPLEX(1,0),IMDIV(COMPLEX(0,2*PI()*O403),COMPLEX(wz_rhp,0)))</f>
        <v>1-0.0801594517994719i</v>
      </c>
      <c r="X403" s="160">
        <f t="shared" si="222"/>
        <v>1.0032076244291566</v>
      </c>
      <c r="Y403" s="160">
        <f t="shared" si="223"/>
        <v>-7.9988421500301707E-2</v>
      </c>
      <c r="Z403" s="98" t="str">
        <f t="shared" ref="Z403:Z466" si="248">IF(Dc_Mode_Loop="CCM",IMSUM(COMPLEX(1,0),IMDIV(COMPLEX(0,2*PI()*O403),COMPLEX(Q*(wsl/2),0)),IMDIV(IMPOWER(COMPLEX(0,2*PI()*O403),2),IMPOWER(COMPLEX(wsl/2,0),2))),COMPLEX(1,0))</f>
        <v>-1.00474893450909-1.88437664432773i</v>
      </c>
      <c r="AA403" s="160">
        <f t="shared" si="224"/>
        <v>2.1355083139817057</v>
      </c>
      <c r="AB403" s="160">
        <f t="shared" si="225"/>
        <v>-2.0606495550338511</v>
      </c>
      <c r="AC403" s="171" t="str">
        <f t="shared" si="226"/>
        <v>-1.56815191632847+3.6897250918843i</v>
      </c>
      <c r="AD403" s="190">
        <f t="shared" si="227"/>
        <v>12.061015836689773</v>
      </c>
      <c r="AE403" s="169">
        <f t="shared" si="228"/>
        <v>113.02573865214319</v>
      </c>
      <c r="AF403" s="98" t="str">
        <f t="shared" ref="AF403:AF466" si="249">COMPLEX(Adc_ea,0)</f>
        <v>-0.0000114342530449913</v>
      </c>
      <c r="AG403" s="98" t="str">
        <f t="shared" ref="AG403:AG466" si="250">COMPLEX(0,2*PI()*O403*wp0_ea)</f>
        <v>0.0534000953814193i</v>
      </c>
      <c r="AH403" s="98">
        <f t="shared" si="229"/>
        <v>5.3400095381419301E-2</v>
      </c>
      <c r="AI403" s="98">
        <f t="shared" si="230"/>
        <v>1.5707963267948966</v>
      </c>
      <c r="AJ403" s="98" t="str">
        <f t="shared" ref="AJ403:AJ466" si="251">IMSUM(COMPLEX(1,0),IMDIV(COMPLEX(0,2*PI()*O403),COMPLEX(wp1_ea,0)))</f>
        <v>1+0.48909321174121i</v>
      </c>
      <c r="AK403" s="98">
        <f t="shared" si="231"/>
        <v>1.113199070144838</v>
      </c>
      <c r="AL403" s="98">
        <f t="shared" si="232"/>
        <v>0.45488416936755904</v>
      </c>
      <c r="AM403" s="98" t="str">
        <f t="shared" ref="AM403:AM466" si="252">IMSUM(COMPLEX(1,0),IMDIV(COMPLEX(0,2*PI()*O403),COMPLEX(wz_ea,0)))</f>
        <v>1+1174.31280139064i</v>
      </c>
      <c r="AN403" s="98">
        <f t="shared" si="233"/>
        <v>1174.3132271714956</v>
      </c>
      <c r="AO403" s="98">
        <f t="shared" si="234"/>
        <v>1.5699447651350931</v>
      </c>
      <c r="AP403" s="168" t="str">
        <f t="shared" si="235"/>
        <v>-0.202825695303194+0.0994147949458783i</v>
      </c>
      <c r="AQ403" s="98">
        <f t="shared" si="236"/>
        <v>-12.922462316859402</v>
      </c>
      <c r="AR403" s="169">
        <f t="shared" si="237"/>
        <v>153.88826603882293</v>
      </c>
      <c r="AS403" s="168" t="str">
        <f t="shared" si="238"/>
        <v>-0.0487517606459816-0.904268558444855i</v>
      </c>
      <c r="AT403" s="190">
        <f t="shared" si="239"/>
        <v>-0.86144648016963465</v>
      </c>
      <c r="AU403" s="169">
        <f t="shared" si="240"/>
        <v>-93.085995309033862</v>
      </c>
      <c r="AV403" s="225"/>
      <c r="AX403">
        <f t="shared" si="241"/>
        <v>0</v>
      </c>
      <c r="AY403">
        <f t="shared" si="242"/>
        <v>0</v>
      </c>
    </row>
    <row r="404" spans="14:51" x14ac:dyDescent="0.2">
      <c r="N404" s="170">
        <v>86</v>
      </c>
      <c r="O404" s="199">
        <f t="shared" si="243"/>
        <v>72443.596007499116</v>
      </c>
      <c r="P404" s="189" t="str">
        <f t="shared" si="244"/>
        <v>1757.57575757576</v>
      </c>
      <c r="Q404" s="160" t="str">
        <f t="shared" si="245"/>
        <v>1+26248.5136932694i</v>
      </c>
      <c r="R404" s="160">
        <f t="shared" ref="R404:R467" si="253">IMABS(Q404)</f>
        <v>26248.513712318098</v>
      </c>
      <c r="S404" s="160">
        <f t="shared" ref="S404:S467" si="254">IMARGUMENT(Q404)</f>
        <v>1.5707582293996993</v>
      </c>
      <c r="T404" s="160" t="str">
        <f t="shared" si="246"/>
        <v>1+127.4494306494i</v>
      </c>
      <c r="U404" s="160">
        <f t="shared" ref="U404:U467" si="255">IMABS(T404)</f>
        <v>127.4533537136478</v>
      </c>
      <c r="V404" s="160">
        <f t="shared" ref="V404:V467" si="256">IMARGUMENT(T404)</f>
        <v>1.5629502385506917</v>
      </c>
      <c r="W404" s="98" t="str">
        <f t="shared" si="247"/>
        <v>1-0.0820266052914666i</v>
      </c>
      <c r="X404" s="160">
        <f t="shared" ref="X404:X467" si="257">IMABS(W404)</f>
        <v>1.0033585420853515</v>
      </c>
      <c r="Y404" s="160">
        <f t="shared" ref="Y404:Y467" si="258">IMARGUMENT(W404)</f>
        <v>-8.1843376138714036E-2</v>
      </c>
      <c r="Z404" s="98" t="str">
        <f t="shared" si="248"/>
        <v>-1.0992298409991-1.92826941495809i</v>
      </c>
      <c r="AA404" s="160">
        <f t="shared" ref="AA404:AA467" si="259">IMABS(Z404)</f>
        <v>2.2195786041511845</v>
      </c>
      <c r="AB404" s="160">
        <f t="shared" ref="AB404:AB467" si="260">IMARGUMENT(Z404)</f>
        <v>-2.0889103668721933</v>
      </c>
      <c r="AC404" s="171" t="str">
        <f t="shared" ref="AC404:AC467" si="261">(IMDIV(IMPRODUCT(P404,T404,W404),IMPRODUCT(Q404,Z404)))</f>
        <v>-1.6028355365524+3.5091289267434i</v>
      </c>
      <c r="AD404" s="190">
        <f t="shared" ref="AD404:AD467" si="262">20*LOG(IMABS(AC404))</f>
        <v>11.726924538254046</v>
      </c>
      <c r="AE404" s="169">
        <f t="shared" ref="AE404:AE467" si="263">(180/PI())*IMARGUMENT(AC404)</f>
        <v>114.5491028469262</v>
      </c>
      <c r="AF404" s="98" t="str">
        <f t="shared" si="249"/>
        <v>-0.0000114342530449913</v>
      </c>
      <c r="AG404" s="98" t="str">
        <f t="shared" si="250"/>
        <v>0.0546439433909304i</v>
      </c>
      <c r="AH404" s="98">
        <f t="shared" ref="AH404:AH467" si="264">IMABS(AG404)</f>
        <v>5.46439433909304E-2</v>
      </c>
      <c r="AI404" s="98">
        <f t="shared" ref="AI404:AI467" si="265">IMARGUMENT(AG404)</f>
        <v>1.5707963267948966</v>
      </c>
      <c r="AJ404" s="98" t="str">
        <f t="shared" si="251"/>
        <v>1+0.500485656146868i</v>
      </c>
      <c r="AK404" s="98">
        <f t="shared" ref="AK404:AK467" si="266">IMABS(AJ404)</f>
        <v>1.1182512651496357</v>
      </c>
      <c r="AL404" s="98">
        <f t="shared" ref="AL404:AL467" si="267">IMARGUMENT(AJ404)</f>
        <v>0.46403605843761597</v>
      </c>
      <c r="AM404" s="98" t="str">
        <f t="shared" si="252"/>
        <v>1+1201.66606040863i</v>
      </c>
      <c r="AN404" s="98">
        <f t="shared" ref="AN404:AN467" si="268">IMABS(AM404)</f>
        <v>1201.6664764975335</v>
      </c>
      <c r="AO404" s="98">
        <f t="shared" ref="AO404:AO467" si="269">IMARGUMENT(AM404)</f>
        <v>1.5699641490359442</v>
      </c>
      <c r="AP404" s="168" t="str">
        <f t="shared" ref="AP404:AP467" si="270">IMPRODUCT(AF404,IMDIV(AM404,IMPRODUCT(AG404,AJ404)))</f>
        <v>-0.200997125651929+0.100805428459938i</v>
      </c>
      <c r="AQ404" s="98">
        <f t="shared" ref="AQ404:AQ467" si="271">20*LOG(IMABS(AP404))</f>
        <v>-12.961793724487833</v>
      </c>
      <c r="AR404" s="169">
        <f t="shared" ref="AR404:AR467" si="272">(180/PI())*IMARGUMENT(AP404)</f>
        <v>153.36501203624582</v>
      </c>
      <c r="AS404" s="168" t="str">
        <f t="shared" ref="AS404:AS467" si="273">IMPRODUCT(AC404,AP404)</f>
        <v>-0.031573909241731-0.866899350830441i</v>
      </c>
      <c r="AT404" s="190">
        <f t="shared" ref="AT404:AT467" si="274">20*LOG(IMABS(AS404))</f>
        <v>-1.2348691862337922</v>
      </c>
      <c r="AU404" s="169">
        <f t="shared" ref="AU404:AU467" si="275">(180/PI())*IMARGUMENT(AS404)</f>
        <v>-92.085885116827967</v>
      </c>
      <c r="AV404" s="225"/>
      <c r="AX404">
        <f t="shared" ref="AX404:AX467" si="276">SUM((AT405&lt;0)*(AT404&gt;0))*O404</f>
        <v>0</v>
      </c>
      <c r="AY404">
        <f t="shared" ref="AY404:AY467" si="277">IF(AX404&gt;0,AU404,0)</f>
        <v>0</v>
      </c>
    </row>
    <row r="405" spans="14:51" x14ac:dyDescent="0.2">
      <c r="N405" s="170">
        <v>87</v>
      </c>
      <c r="O405" s="199">
        <f t="shared" si="243"/>
        <v>74131.024130091857</v>
      </c>
      <c r="P405" s="189" t="str">
        <f t="shared" si="244"/>
        <v>1757.57575757576</v>
      </c>
      <c r="Q405" s="160" t="str">
        <f t="shared" si="245"/>
        <v>1+26859.920120108i</v>
      </c>
      <c r="R405" s="160">
        <f t="shared" si="253"/>
        <v>26859.920138723097</v>
      </c>
      <c r="S405" s="160">
        <f t="shared" si="254"/>
        <v>1.5707590966022875</v>
      </c>
      <c r="T405" s="160" t="str">
        <f t="shared" si="246"/>
        <v>1+130.418109253703i</v>
      </c>
      <c r="U405" s="160">
        <f t="shared" si="255"/>
        <v>130.42194302076172</v>
      </c>
      <c r="V405" s="160">
        <f t="shared" si="256"/>
        <v>1.5631288302423783</v>
      </c>
      <c r="W405" s="98" t="str">
        <f t="shared" si="247"/>
        <v>1-0.0839372503753373i</v>
      </c>
      <c r="X405" s="160">
        <f t="shared" si="257"/>
        <v>1.0035165479455592</v>
      </c>
      <c r="Y405" s="160">
        <f t="shared" si="258"/>
        <v>-8.3740953939711177E-2</v>
      </c>
      <c r="Z405" s="98" t="str">
        <f t="shared" si="248"/>
        <v>-1.19816349543051-1.97318457955593i</v>
      </c>
      <c r="AA405" s="160">
        <f t="shared" si="259"/>
        <v>2.3084742031869387</v>
      </c>
      <c r="AB405" s="160">
        <f t="shared" si="260"/>
        <v>-2.116510097800401</v>
      </c>
      <c r="AC405" s="171" t="str">
        <f t="shared" si="261"/>
        <v>-1.62815988546126+3.33350911465022i</v>
      </c>
      <c r="AD405" s="190">
        <f t="shared" si="262"/>
        <v>11.38719030543999</v>
      </c>
      <c r="AE405" s="169">
        <f t="shared" si="263"/>
        <v>116.03191060865565</v>
      </c>
      <c r="AF405" s="98" t="str">
        <f t="shared" si="249"/>
        <v>-0.0000114342530449913</v>
      </c>
      <c r="AG405" s="98" t="str">
        <f t="shared" si="250"/>
        <v>0.0559167643425253i</v>
      </c>
      <c r="AH405" s="98">
        <f t="shared" si="264"/>
        <v>5.5916764342525301E-2</v>
      </c>
      <c r="AI405" s="98">
        <f t="shared" si="265"/>
        <v>1.5707963267948966</v>
      </c>
      <c r="AJ405" s="98" t="str">
        <f t="shared" si="251"/>
        <v>1+0.512143464672126i</v>
      </c>
      <c r="AK405" s="98">
        <f t="shared" si="266"/>
        <v>1.123517213222107</v>
      </c>
      <c r="AL405" s="98">
        <f t="shared" si="267"/>
        <v>0.4733151192589406</v>
      </c>
      <c r="AM405" s="98" t="str">
        <f t="shared" si="252"/>
        <v>1+1229.65645867777i</v>
      </c>
      <c r="AN405" s="98">
        <f t="shared" si="268"/>
        <v>1229.656865295337</v>
      </c>
      <c r="AO405" s="98">
        <f t="shared" si="269"/>
        <v>1.5699830917059476</v>
      </c>
      <c r="AP405" s="168" t="str">
        <f t="shared" si="270"/>
        <v>-0.199117385941582+0.102181154942174i</v>
      </c>
      <c r="AQ405" s="98">
        <f t="shared" si="271"/>
        <v>-13.002600507251923</v>
      </c>
      <c r="AR405" s="169">
        <f t="shared" si="272"/>
        <v>152.83444634838278</v>
      </c>
      <c r="AS405" s="168" t="str">
        <f t="shared" si="273"/>
        <v>-0.0164268710572318-0.830126878448538i</v>
      </c>
      <c r="AT405" s="190">
        <f t="shared" si="274"/>
        <v>-1.6154102018119378</v>
      </c>
      <c r="AU405" s="169">
        <f t="shared" si="275"/>
        <v>-91.133643042961566</v>
      </c>
      <c r="AV405" s="225"/>
      <c r="AX405">
        <f t="shared" si="276"/>
        <v>0</v>
      </c>
      <c r="AY405">
        <f t="shared" si="277"/>
        <v>0</v>
      </c>
    </row>
    <row r="406" spans="14:51" x14ac:dyDescent="0.2">
      <c r="N406" s="170">
        <v>88</v>
      </c>
      <c r="O406" s="199">
        <f t="shared" si="243"/>
        <v>75857.757502918481</v>
      </c>
      <c r="P406" s="189" t="str">
        <f t="shared" si="244"/>
        <v>1757.57575757576</v>
      </c>
      <c r="Q406" s="160" t="str">
        <f t="shared" si="245"/>
        <v>1+27485.5680321273i</v>
      </c>
      <c r="R406" s="160">
        <f t="shared" si="253"/>
        <v>27485.568050318663</v>
      </c>
      <c r="S406" s="160">
        <f t="shared" si="254"/>
        <v>1.5707599440649349</v>
      </c>
      <c r="T406" s="160" t="str">
        <f t="shared" si="246"/>
        <v>1+133.45593726582i</v>
      </c>
      <c r="U406" s="160">
        <f t="shared" si="255"/>
        <v>133.45968376816455</v>
      </c>
      <c r="V406" s="160">
        <f t="shared" si="256"/>
        <v>1.5633033571634778</v>
      </c>
      <c r="W406" s="98" t="str">
        <f t="shared" si="247"/>
        <v>1-0.0858924001003976i</v>
      </c>
      <c r="X406" s="160">
        <f t="shared" si="257"/>
        <v>1.0036819737322211</v>
      </c>
      <c r="Y406" s="160">
        <f t="shared" si="258"/>
        <v>-8.5682106331333677E-2</v>
      </c>
      <c r="Z406" s="98" t="str">
        <f t="shared" si="248"/>
        <v>-1.30175974934864-2.01914595273602i</v>
      </c>
      <c r="AA406" s="160">
        <f t="shared" si="259"/>
        <v>2.4024006375861795</v>
      </c>
      <c r="AB406" s="160">
        <f t="shared" si="260"/>
        <v>-2.1434424061184627</v>
      </c>
      <c r="AC406" s="171" t="str">
        <f t="shared" si="261"/>
        <v>-1.64487642141357+3.16331589824119i</v>
      </c>
      <c r="AD406" s="190">
        <f t="shared" si="262"/>
        <v>11.042202357365891</v>
      </c>
      <c r="AE406" s="169">
        <f t="shared" si="263"/>
        <v>117.4737494683515</v>
      </c>
      <c r="AF406" s="98" t="str">
        <f t="shared" si="249"/>
        <v>-0.0000114342530449913</v>
      </c>
      <c r="AG406" s="98" t="str">
        <f t="shared" si="250"/>
        <v>0.0572192331027204i</v>
      </c>
      <c r="AH406" s="98">
        <f t="shared" si="264"/>
        <v>5.7219233102720403E-2</v>
      </c>
      <c r="AI406" s="98">
        <f t="shared" si="265"/>
        <v>1.5707963267948966</v>
      </c>
      <c r="AJ406" s="98" t="str">
        <f t="shared" si="251"/>
        <v>1+0.524072818441371i</v>
      </c>
      <c r="AK406" s="98">
        <f t="shared" si="266"/>
        <v>1.1290050128449749</v>
      </c>
      <c r="AL406" s="98">
        <f t="shared" si="267"/>
        <v>0.48271987930418125</v>
      </c>
      <c r="AM406" s="98" t="str">
        <f t="shared" si="252"/>
        <v>1+1258.29883707773i</v>
      </c>
      <c r="AN406" s="98">
        <f t="shared" si="268"/>
        <v>1258.2992344395541</v>
      </c>
      <c r="AO406" s="98">
        <f t="shared" si="269"/>
        <v>1.5700016031887032</v>
      </c>
      <c r="AP406" s="168" t="str">
        <f t="shared" si="270"/>
        <v>-0.19718637483318+0.103539851553584i</v>
      </c>
      <c r="AQ406" s="98">
        <f t="shared" si="271"/>
        <v>-13.044923429733783</v>
      </c>
      <c r="AR406" s="169">
        <f t="shared" si="272"/>
        <v>152.29665392029176</v>
      </c>
      <c r="AS406" s="168" t="str">
        <f t="shared" si="273"/>
        <v>-0.00318203993386912-0.794073054923496i</v>
      </c>
      <c r="AT406" s="190">
        <f t="shared" si="274"/>
        <v>-2.0027210723678963</v>
      </c>
      <c r="AU406" s="169">
        <f t="shared" si="275"/>
        <v>-90.22959661135674</v>
      </c>
      <c r="AV406" s="225"/>
      <c r="AX406">
        <f t="shared" si="276"/>
        <v>0</v>
      </c>
      <c r="AY406">
        <f t="shared" si="277"/>
        <v>0</v>
      </c>
    </row>
    <row r="407" spans="14:51" x14ac:dyDescent="0.2">
      <c r="N407" s="170">
        <v>89</v>
      </c>
      <c r="O407" s="199">
        <f t="shared" si="243"/>
        <v>77624.711662869129</v>
      </c>
      <c r="P407" s="189" t="str">
        <f t="shared" si="244"/>
        <v>1757.57575757576</v>
      </c>
      <c r="Q407" s="160" t="str">
        <f t="shared" si="245"/>
        <v>1+28125.7891561318i</v>
      </c>
      <c r="R407" s="160">
        <f t="shared" si="253"/>
        <v>28125.789173909077</v>
      </c>
      <c r="S407" s="160">
        <f t="shared" si="254"/>
        <v>1.5707607722369772</v>
      </c>
      <c r="T407" s="160" t="str">
        <f t="shared" si="246"/>
        <v>1+136.564525382374i</v>
      </c>
      <c r="U407" s="160">
        <f t="shared" si="255"/>
        <v>136.56818660622639</v>
      </c>
      <c r="V407" s="160">
        <f t="shared" si="256"/>
        <v>1.5634739118079215</v>
      </c>
      <c r="W407" s="98" t="str">
        <f t="shared" si="247"/>
        <v>1-0.0878930911129115i</v>
      </c>
      <c r="X407" s="160">
        <f t="shared" si="257"/>
        <v>1.0038551665780191</v>
      </c>
      <c r="Y407" s="160">
        <f t="shared" si="258"/>
        <v>-8.7667803990535087E-2</v>
      </c>
      <c r="Z407" s="98" t="str">
        <f t="shared" si="248"/>
        <v>-1.41023834429743-2.06617790382682i</v>
      </c>
      <c r="AA407" s="160">
        <f t="shared" si="259"/>
        <v>2.5015721692545569</v>
      </c>
      <c r="AB407" s="160">
        <f t="shared" si="260"/>
        <v>-2.1697042649277236</v>
      </c>
      <c r="AC407" s="171" t="str">
        <f t="shared" si="261"/>
        <v>-1.65373572751435+2.99890380264664i</v>
      </c>
      <c r="AD407" s="190">
        <f t="shared" si="262"/>
        <v>10.692338026497257</v>
      </c>
      <c r="AE407" s="169">
        <f t="shared" si="263"/>
        <v>118.87439565556963</v>
      </c>
      <c r="AF407" s="98" t="str">
        <f t="shared" si="249"/>
        <v>-0.0000114342530449913</v>
      </c>
      <c r="AG407" s="98" t="str">
        <f t="shared" si="250"/>
        <v>0.0585520402576927i</v>
      </c>
      <c r="AH407" s="98">
        <f t="shared" si="264"/>
        <v>5.85520402576927E-2</v>
      </c>
      <c r="AI407" s="98">
        <f t="shared" si="265"/>
        <v>1.5707963267948966</v>
      </c>
      <c r="AJ407" s="98" t="str">
        <f t="shared" si="251"/>
        <v>1+0.536280042555878i</v>
      </c>
      <c r="AK407" s="98">
        <f t="shared" si="266"/>
        <v>1.1347229988167749</v>
      </c>
      <c r="AL407" s="98">
        <f t="shared" si="267"/>
        <v>0.49224866945128354</v>
      </c>
      <c r="AM407" s="98" t="str">
        <f t="shared" si="252"/>
        <v>1+1287.60838217666i</v>
      </c>
      <c r="AN407" s="98">
        <f t="shared" si="268"/>
        <v>1287.6087704934273</v>
      </c>
      <c r="AO407" s="98">
        <f t="shared" si="269"/>
        <v>1.5700196932991932</v>
      </c>
      <c r="AP407" s="168" t="str">
        <f t="shared" si="270"/>
        <v>-0.195204097026978+0.104879345057911i</v>
      </c>
      <c r="AQ407" s="98">
        <f t="shared" si="271"/>
        <v>-13.088803295341314</v>
      </c>
      <c r="AR407" s="169">
        <f t="shared" si="272"/>
        <v>151.75173094797876</v>
      </c>
      <c r="AS407" s="168" t="str">
        <f t="shared" si="273"/>
        <v>0.00829292269743287-0.758841028866981i</v>
      </c>
      <c r="AT407" s="190">
        <f t="shared" si="274"/>
        <v>-2.3964652688440551</v>
      </c>
      <c r="AU407" s="169">
        <f t="shared" si="275"/>
        <v>-89.373873396451614</v>
      </c>
      <c r="AV407" s="225"/>
      <c r="AX407">
        <f t="shared" si="276"/>
        <v>0</v>
      </c>
      <c r="AY407">
        <f t="shared" si="277"/>
        <v>0</v>
      </c>
    </row>
    <row r="408" spans="14:51" x14ac:dyDescent="0.2">
      <c r="N408" s="170">
        <v>90</v>
      </c>
      <c r="O408" s="199">
        <f t="shared" si="243"/>
        <v>79432.823472428237</v>
      </c>
      <c r="P408" s="189" t="str">
        <f t="shared" si="244"/>
        <v>1757.57575757576</v>
      </c>
      <c r="Q408" s="160" t="str">
        <f t="shared" si="245"/>
        <v>1+28780.9229458357i</v>
      </c>
      <c r="R408" s="160">
        <f t="shared" si="253"/>
        <v>28780.922963208315</v>
      </c>
      <c r="S408" s="160">
        <f t="shared" si="254"/>
        <v>1.5707615815575227</v>
      </c>
      <c r="T408" s="160" t="str">
        <f t="shared" si="246"/>
        <v>1+139.74552181793i</v>
      </c>
      <c r="U408" s="160">
        <f t="shared" si="255"/>
        <v>139.74909970431136</v>
      </c>
      <c r="V408" s="160">
        <f t="shared" si="256"/>
        <v>1.5636405845663266</v>
      </c>
      <c r="W408" s="98" t="str">
        <f t="shared" si="247"/>
        <v>1-0.0899403842057364i</v>
      </c>
      <c r="X408" s="160">
        <f t="shared" si="257"/>
        <v>1.004036489730864</v>
      </c>
      <c r="Y408" s="160">
        <f t="shared" si="258"/>
        <v>-8.969903708897882E-2</v>
      </c>
      <c r="Z408" s="98" t="str">
        <f t="shared" si="248"/>
        <v>-1.52382937792078-2.11430536979133i</v>
      </c>
      <c r="AA408" s="160">
        <f t="shared" si="259"/>
        <v>2.6062124183847493</v>
      </c>
      <c r="AB408" s="160">
        <f t="shared" si="260"/>
        <v>-2.1952956461284763</v>
      </c>
      <c r="AC408" s="171" t="str">
        <f t="shared" si="261"/>
        <v>-1.65547677848532+2.8405386202869i</v>
      </c>
      <c r="AD408" s="190">
        <f t="shared" si="262"/>
        <v>10.337960844835957</v>
      </c>
      <c r="AE408" s="169">
        <f t="shared" si="263"/>
        <v>120.23379598149984</v>
      </c>
      <c r="AF408" s="98" t="str">
        <f t="shared" si="249"/>
        <v>-0.0000114342530449913</v>
      </c>
      <c r="AG408" s="98" t="str">
        <f t="shared" si="250"/>
        <v>0.0599158924794376i</v>
      </c>
      <c r="AH408" s="98">
        <f t="shared" si="264"/>
        <v>5.9915892479437599E-2</v>
      </c>
      <c r="AI408" s="98">
        <f t="shared" si="265"/>
        <v>1.5707963267948966</v>
      </c>
      <c r="AJ408" s="98" t="str">
        <f t="shared" si="251"/>
        <v>1+0.548771609447456i</v>
      </c>
      <c r="AK408" s="98">
        <f t="shared" si="266"/>
        <v>1.1406797444223997</v>
      </c>
      <c r="AL408" s="98">
        <f t="shared" si="267"/>
        <v>0.50189961960944562</v>
      </c>
      <c r="AM408" s="98" t="str">
        <f t="shared" si="252"/>
        <v>1+1317.60063428334i</v>
      </c>
      <c r="AN408" s="98">
        <f t="shared" si="268"/>
        <v>1317.6010137609412</v>
      </c>
      <c r="AO408" s="98">
        <f t="shared" si="269"/>
        <v>1.5700373716289866</v>
      </c>
      <c r="AP408" s="168" t="str">
        <f t="shared" si="270"/>
        <v>-0.193170669025565+0.106197417339029i</v>
      </c>
      <c r="AQ408" s="98">
        <f t="shared" si="271"/>
        <v>-13.134280859622042</v>
      </c>
      <c r="AR408" s="169">
        <f t="shared" si="272"/>
        <v>151.19978512931084</v>
      </c>
      <c r="AS408" s="168" t="str">
        <f t="shared" si="273"/>
        <v>0.0181316915300588-0.724516104013653i</v>
      </c>
      <c r="AT408" s="190">
        <f t="shared" si="274"/>
        <v>-2.7963200147860823</v>
      </c>
      <c r="AU408" s="169">
        <f t="shared" si="275"/>
        <v>-88.566418889189308</v>
      </c>
      <c r="AV408" s="225"/>
      <c r="AX408">
        <f t="shared" si="276"/>
        <v>0</v>
      </c>
      <c r="AY408">
        <f t="shared" si="277"/>
        <v>0</v>
      </c>
    </row>
    <row r="409" spans="14:51" x14ac:dyDescent="0.2">
      <c r="N409" s="170">
        <v>91</v>
      </c>
      <c r="O409" s="199">
        <f t="shared" si="243"/>
        <v>81283.051616410012</v>
      </c>
      <c r="P409" s="189" t="str">
        <f t="shared" si="244"/>
        <v>1757.57575757576</v>
      </c>
      <c r="Q409" s="160" t="str">
        <f t="shared" si="245"/>
        <v>1+29451.316761846i</v>
      </c>
      <c r="R409" s="160">
        <f t="shared" si="253"/>
        <v>29451.316778823166</v>
      </c>
      <c r="S409" s="160">
        <f t="shared" si="254"/>
        <v>1.5707623724556832</v>
      </c>
      <c r="T409" s="160" t="str">
        <f t="shared" si="246"/>
        <v>1+143.000613178905i</v>
      </c>
      <c r="U409" s="160">
        <f t="shared" si="255"/>
        <v>143.00410962466367</v>
      </c>
      <c r="V409" s="160">
        <f t="shared" si="256"/>
        <v>1.5638034637737332</v>
      </c>
      <c r="W409" s="98" t="str">
        <f t="shared" si="247"/>
        <v>1-0.0920353648807685i</v>
      </c>
      <c r="X409" s="160">
        <f t="shared" si="257"/>
        <v>1.0042263232900919</v>
      </c>
      <c r="Y409" s="160">
        <f t="shared" si="258"/>
        <v>-9.1776815530760586E-2</v>
      </c>
      <c r="Z409" s="98" t="str">
        <f t="shared" si="248"/>
        <v>-1.64277379203039-2.16355386844903i</v>
      </c>
      <c r="AA409" s="160">
        <f t="shared" si="259"/>
        <v>2.716555001000839</v>
      </c>
      <c r="AB409" s="160">
        <f t="shared" si="260"/>
        <v>-2.2202192028886856</v>
      </c>
      <c r="AC409" s="171" t="str">
        <f t="shared" si="261"/>
        <v>-1.65081806660831+2.68840519390242i</v>
      </c>
      <c r="AD409" s="190">
        <f t="shared" si="262"/>
        <v>9.9794190734623101</v>
      </c>
      <c r="AE409" s="169">
        <f t="shared" si="263"/>
        <v>121.55204963486551</v>
      </c>
      <c r="AF409" s="98" t="str">
        <f t="shared" si="249"/>
        <v>-0.0000114342530449913</v>
      </c>
      <c r="AG409" s="98" t="str">
        <f t="shared" si="250"/>
        <v>0.0613115129004556i</v>
      </c>
      <c r="AH409" s="98">
        <f t="shared" si="264"/>
        <v>6.1311512900455598E-2</v>
      </c>
      <c r="AI409" s="98">
        <f t="shared" si="265"/>
        <v>1.5707963267948966</v>
      </c>
      <c r="AJ409" s="98" t="str">
        <f t="shared" si="251"/>
        <v>1+0.561554142310212i</v>
      </c>
      <c r="AK409" s="98">
        <f t="shared" si="266"/>
        <v>1.1468840633410848</v>
      </c>
      <c r="AL409" s="98">
        <f t="shared" si="267"/>
        <v>0.51167065487838248</v>
      </c>
      <c r="AM409" s="98" t="str">
        <f t="shared" si="252"/>
        <v>1+1348.29149568682i</v>
      </c>
      <c r="AN409" s="98">
        <f t="shared" si="268"/>
        <v>1348.291866526459</v>
      </c>
      <c r="AO409" s="98">
        <f t="shared" si="269"/>
        <v>1.5700546475513233</v>
      </c>
      <c r="AP409" s="168" t="str">
        <f t="shared" si="270"/>
        <v>-0.191086324632347+0.107491811523627i</v>
      </c>
      <c r="AQ409" s="98">
        <f t="shared" si="271"/>
        <v>-13.1813967390932</v>
      </c>
      <c r="AR409" s="169">
        <f t="shared" si="272"/>
        <v>150.64093588436458</v>
      </c>
      <c r="AS409" s="168" t="str">
        <f t="shared" si="273"/>
        <v>0.0264672125827602-0.691166892100984i</v>
      </c>
      <c r="AT409" s="190">
        <f t="shared" si="274"/>
        <v>-3.2019776656308956</v>
      </c>
      <c r="AU409" s="169">
        <f t="shared" si="275"/>
        <v>-87.807014480769908</v>
      </c>
      <c r="AV409" s="225"/>
      <c r="AX409">
        <f t="shared" si="276"/>
        <v>0</v>
      </c>
      <c r="AY409">
        <f t="shared" si="277"/>
        <v>0</v>
      </c>
    </row>
    <row r="410" spans="14:51" x14ac:dyDescent="0.2">
      <c r="N410" s="170">
        <v>92</v>
      </c>
      <c r="O410" s="199">
        <f t="shared" si="243"/>
        <v>83176.377110267174</v>
      </c>
      <c r="P410" s="189" t="str">
        <f t="shared" si="244"/>
        <v>1757.57575757576</v>
      </c>
      <c r="Q410" s="160" t="str">
        <f t="shared" si="245"/>
        <v>1+30137.3260558377i</v>
      </c>
      <c r="R410" s="160">
        <f t="shared" si="253"/>
        <v>30137.326072428423</v>
      </c>
      <c r="S410" s="160">
        <f t="shared" si="254"/>
        <v>1.5707631453508037</v>
      </c>
      <c r="T410" s="160" t="str">
        <f t="shared" si="246"/>
        <v>1+146.331525357825i</v>
      </c>
      <c r="U410" s="160">
        <f t="shared" si="255"/>
        <v>146.33494221664139</v>
      </c>
      <c r="V410" s="160">
        <f t="shared" si="256"/>
        <v>1.5639626357562646</v>
      </c>
      <c r="W410" s="98" t="str">
        <f t="shared" si="247"/>
        <v>1-0.0941791439244927i</v>
      </c>
      <c r="X410" s="160">
        <f t="shared" si="257"/>
        <v>1.004425064975158</v>
      </c>
      <c r="Y410" s="160">
        <f t="shared" si="258"/>
        <v>-9.3902169180967235E-2</v>
      </c>
      <c r="Z410" s="98" t="str">
        <f t="shared" si="248"/>
        <v>-1.76732388367576-2.21394951200581i</v>
      </c>
      <c r="AA410" s="160">
        <f t="shared" si="259"/>
        <v>2.8328441805933373</v>
      </c>
      <c r="AB410" s="160">
        <f t="shared" si="260"/>
        <v>-2.2444799573180672</v>
      </c>
      <c r="AC410" s="171" t="str">
        <f t="shared" si="261"/>
        <v>-1.64045051222089+2.54261563822574i</v>
      </c>
      <c r="AD410" s="190">
        <f t="shared" si="262"/>
        <v>9.6170446379440762</v>
      </c>
      <c r="AE410" s="169">
        <f t="shared" si="263"/>
        <v>122.82939027653018</v>
      </c>
      <c r="AF410" s="98" t="str">
        <f t="shared" si="249"/>
        <v>-0.0000114342530449913</v>
      </c>
      <c r="AG410" s="98" t="str">
        <f t="shared" si="250"/>
        <v>0.0627396414971673i</v>
      </c>
      <c r="AH410" s="98">
        <f t="shared" si="264"/>
        <v>6.2739641497167306E-2</v>
      </c>
      <c r="AI410" s="98">
        <f t="shared" si="265"/>
        <v>1.5707963267948966</v>
      </c>
      <c r="AJ410" s="98" t="str">
        <f t="shared" si="251"/>
        <v>1+0.57463441861227i</v>
      </c>
      <c r="AK410" s="98">
        <f t="shared" si="266"/>
        <v>1.1533450112840744</v>
      </c>
      <c r="AL410" s="98">
        <f t="shared" si="267"/>
        <v>0.52155949229619925</v>
      </c>
      <c r="AM410" s="98" t="str">
        <f t="shared" si="252"/>
        <v>1+1379.69723908806i</v>
      </c>
      <c r="AN410" s="98">
        <f t="shared" si="268"/>
        <v>1379.6976014863603</v>
      </c>
      <c r="AO410" s="98">
        <f t="shared" si="269"/>
        <v>1.570071530226085</v>
      </c>
      <c r="AP410" s="168" t="str">
        <f t="shared" si="270"/>
        <v>-0.188951420121732+0.108760238704577i</v>
      </c>
      <c r="AQ410" s="98">
        <f t="shared" si="271"/>
        <v>-13.230191315822545</v>
      </c>
      <c r="AR410" s="169">
        <f t="shared" si="272"/>
        <v>150.07531454204343</v>
      </c>
      <c r="AS410" s="168" t="str">
        <f t="shared" si="273"/>
        <v>0.0334299701761379-0.658846624958667i</v>
      </c>
      <c r="AT410" s="190">
        <f t="shared" si="274"/>
        <v>-3.6131466778784671</v>
      </c>
      <c r="AU410" s="169">
        <f t="shared" si="275"/>
        <v>-87.095295181426408</v>
      </c>
      <c r="AV410" s="225"/>
      <c r="AX410">
        <f t="shared" si="276"/>
        <v>0</v>
      </c>
      <c r="AY410">
        <f t="shared" si="277"/>
        <v>0</v>
      </c>
    </row>
    <row r="411" spans="14:51" x14ac:dyDescent="0.2">
      <c r="N411" s="170">
        <v>93</v>
      </c>
      <c r="O411" s="199">
        <f t="shared" si="243"/>
        <v>85113.803820237721</v>
      </c>
      <c r="P411" s="189" t="str">
        <f t="shared" si="244"/>
        <v>1757.57575757576</v>
      </c>
      <c r="Q411" s="160" t="str">
        <f t="shared" si="245"/>
        <v>1+30839.3145590189i</v>
      </c>
      <c r="R411" s="160">
        <f t="shared" si="253"/>
        <v>30839.314575231969</v>
      </c>
      <c r="S411" s="160">
        <f t="shared" si="254"/>
        <v>1.5707639006526835</v>
      </c>
      <c r="T411" s="160" t="str">
        <f t="shared" si="246"/>
        <v>1+149.740024448415i</v>
      </c>
      <c r="U411" s="160">
        <f t="shared" si="255"/>
        <v>149.74336353178367</v>
      </c>
      <c r="V411" s="160">
        <f t="shared" si="256"/>
        <v>1.5641181848767318</v>
      </c>
      <c r="W411" s="98" t="str">
        <f t="shared" si="247"/>
        <v>1-0.0963728579969339i</v>
      </c>
      <c r="X411" s="160">
        <f t="shared" si="257"/>
        <v>1.00463313092815</v>
      </c>
      <c r="Y411" s="160">
        <f t="shared" si="258"/>
        <v>-9.6076148083890089E-2</v>
      </c>
      <c r="Z411" s="98" t="str">
        <f t="shared" si="248"/>
        <v>-1.89774384029997-2.26551902089894i</v>
      </c>
      <c r="AA411" s="160">
        <f t="shared" si="259"/>
        <v>2.9553355338186846</v>
      </c>
      <c r="AB411" s="160">
        <f t="shared" si="260"/>
        <v>-2.2680849987437695</v>
      </c>
      <c r="AC411" s="171" t="str">
        <f t="shared" si="261"/>
        <v>-1.62503203390121+2.40321769633446i</v>
      </c>
      <c r="AD411" s="190">
        <f t="shared" si="262"/>
        <v>9.251152427487547</v>
      </c>
      <c r="AE411" s="169">
        <f t="shared" si="263"/>
        <v>124.06616874206621</v>
      </c>
      <c r="AF411" s="98" t="str">
        <f t="shared" si="249"/>
        <v>-0.0000114342530449913</v>
      </c>
      <c r="AG411" s="98" t="str">
        <f t="shared" si="250"/>
        <v>0.0642010354822581i</v>
      </c>
      <c r="AH411" s="98">
        <f t="shared" si="264"/>
        <v>6.4201035482258098E-2</v>
      </c>
      <c r="AI411" s="98">
        <f t="shared" si="265"/>
        <v>1.5707963267948966</v>
      </c>
      <c r="AJ411" s="98" t="str">
        <f t="shared" si="251"/>
        <v>1+0.588019373689261i</v>
      </c>
      <c r="AK411" s="98">
        <f t="shared" si="266"/>
        <v>1.1600718873560858</v>
      </c>
      <c r="AL411" s="98">
        <f t="shared" si="267"/>
        <v>0.53156363823039432</v>
      </c>
      <c r="AM411" s="98" t="str">
        <f t="shared" si="252"/>
        <v>1+1411.83451622791i</v>
      </c>
      <c r="AN411" s="98">
        <f t="shared" si="268"/>
        <v>1411.8348703770198</v>
      </c>
      <c r="AO411" s="98">
        <f t="shared" si="269"/>
        <v>1.5700880286046506</v>
      </c>
      <c r="AP411" s="168" t="str">
        <f t="shared" si="270"/>
        <v>-0.186766439015535+0.110000385253485i</v>
      </c>
      <c r="AQ411" s="98">
        <f t="shared" si="271"/>
        <v>-13.280704638047089</v>
      </c>
      <c r="AR411" s="169">
        <f t="shared" si="272"/>
        <v>149.50306448984148</v>
      </c>
      <c r="AS411" s="168" t="str">
        <f t="shared" si="273"/>
        <v>0.0391465738131178-0.627594561101892i</v>
      </c>
      <c r="AT411" s="190">
        <f t="shared" si="274"/>
        <v>-4.0295522105595394</v>
      </c>
      <c r="AU411" s="169">
        <f t="shared" si="275"/>
        <v>-86.43076676809234</v>
      </c>
      <c r="AV411" s="225"/>
      <c r="AX411">
        <f t="shared" si="276"/>
        <v>0</v>
      </c>
      <c r="AY411">
        <f t="shared" si="277"/>
        <v>0</v>
      </c>
    </row>
    <row r="412" spans="14:51" x14ac:dyDescent="0.2">
      <c r="N412" s="170">
        <v>94</v>
      </c>
      <c r="O412" s="199">
        <f t="shared" si="243"/>
        <v>87096.358995608127</v>
      </c>
      <c r="P412" s="189" t="str">
        <f t="shared" si="244"/>
        <v>1757.57575757576</v>
      </c>
      <c r="Q412" s="160" t="str">
        <f t="shared" si="245"/>
        <v>1+31557.654474986i</v>
      </c>
      <c r="R412" s="160">
        <f t="shared" si="253"/>
        <v>31557.654490830017</v>
      </c>
      <c r="S412" s="160">
        <f t="shared" si="254"/>
        <v>1.5707646387617933</v>
      </c>
      <c r="T412" s="160" t="str">
        <f t="shared" si="246"/>
        <v>1+153.227917682012i</v>
      </c>
      <c r="U412" s="160">
        <f t="shared" si="255"/>
        <v>153.23118076020117</v>
      </c>
      <c r="V412" s="160">
        <f t="shared" si="256"/>
        <v>1.564270193579212</v>
      </c>
      <c r="W412" s="98" t="str">
        <f t="shared" si="247"/>
        <v>1-0.0986176702343308i</v>
      </c>
      <c r="X412" s="160">
        <f t="shared" si="257"/>
        <v>1.0048509565514914</v>
      </c>
      <c r="Y412" s="160">
        <f t="shared" si="258"/>
        <v>-9.8299822669642309E-2</v>
      </c>
      <c r="Z412" s="98" t="str">
        <f t="shared" si="248"/>
        <v>-2.03431030011675-2.31828973796464i</v>
      </c>
      <c r="AA412" s="160">
        <f t="shared" si="259"/>
        <v>3.0842966307268926</v>
      </c>
      <c r="AB412" s="160">
        <f t="shared" si="260"/>
        <v>-2.2910431967216112</v>
      </c>
      <c r="AC412" s="171" t="str">
        <f t="shared" si="261"/>
        <v>-1.60518362005884+2.27020298378168i</v>
      </c>
      <c r="AD412" s="190">
        <f t="shared" si="262"/>
        <v>8.8820399135080343</v>
      </c>
      <c r="AE412" s="169">
        <f t="shared" si="263"/>
        <v>125.26283658921294</v>
      </c>
      <c r="AF412" s="98" t="str">
        <f t="shared" si="249"/>
        <v>-0.0000114342530449913</v>
      </c>
      <c r="AG412" s="98" t="str">
        <f t="shared" si="250"/>
        <v>0.0656964697061627i</v>
      </c>
      <c r="AH412" s="98">
        <f t="shared" si="264"/>
        <v>6.5696469706162705E-2</v>
      </c>
      <c r="AI412" s="98">
        <f t="shared" si="265"/>
        <v>1.5707963267948966</v>
      </c>
      <c r="AJ412" s="98" t="str">
        <f t="shared" si="251"/>
        <v>1+0.601716104421539i</v>
      </c>
      <c r="AK412" s="98">
        <f t="shared" si="266"/>
        <v>1.1670742351368366</v>
      </c>
      <c r="AL412" s="98">
        <f t="shared" si="267"/>
        <v>0.54168038646519767</v>
      </c>
      <c r="AM412" s="98" t="str">
        <f t="shared" si="252"/>
        <v>1+1444.72036671612i</v>
      </c>
      <c r="AN412" s="98">
        <f t="shared" si="268"/>
        <v>1444.720712803814</v>
      </c>
      <c r="AO412" s="98">
        <f t="shared" si="269"/>
        <v>1.5701041514346428</v>
      </c>
      <c r="AP412" s="168" t="str">
        <f t="shared" si="270"/>
        <v>-0.184531996399077+0.11120992070359i</v>
      </c>
      <c r="AQ412" s="98">
        <f t="shared" si="271"/>
        <v>-13.332976317170019</v>
      </c>
      <c r="AR412" s="169">
        <f t="shared" si="272"/>
        <v>148.92434128370328</v>
      </c>
      <c r="AS412" s="168" t="str">
        <f t="shared" si="273"/>
        <v>0.0437386441891412-0.59743743192982i</v>
      </c>
      <c r="AT412" s="190">
        <f t="shared" si="274"/>
        <v>-4.4509364036619807</v>
      </c>
      <c r="AU412" s="169">
        <f t="shared" si="275"/>
        <v>-85.812822127083805</v>
      </c>
      <c r="AV412" s="225"/>
      <c r="AX412">
        <f t="shared" si="276"/>
        <v>0</v>
      </c>
      <c r="AY412">
        <f t="shared" si="277"/>
        <v>0</v>
      </c>
    </row>
    <row r="413" spans="14:51" x14ac:dyDescent="0.2">
      <c r="N413" s="170">
        <v>95</v>
      </c>
      <c r="O413" s="199">
        <f t="shared" si="243"/>
        <v>89125.093813374609</v>
      </c>
      <c r="P413" s="189" t="str">
        <f t="shared" si="244"/>
        <v>1757.57575757576</v>
      </c>
      <c r="Q413" s="160" t="str">
        <f t="shared" si="245"/>
        <v>1+32292.7266770705i</v>
      </c>
      <c r="R413" s="160">
        <f t="shared" si="253"/>
        <v>32292.726692553857</v>
      </c>
      <c r="S413" s="160">
        <f t="shared" si="254"/>
        <v>1.5707653600694886</v>
      </c>
      <c r="T413" s="160" t="str">
        <f t="shared" si="246"/>
        <v>1+156.797054385775i</v>
      </c>
      <c r="U413" s="160">
        <f t="shared" si="255"/>
        <v>156.80024318876448</v>
      </c>
      <c r="V413" s="160">
        <f t="shared" si="256"/>
        <v>1.5644187424326155</v>
      </c>
      <c r="W413" s="98" t="str">
        <f t="shared" si="247"/>
        <v>1-0.100914770865845i</v>
      </c>
      <c r="X413" s="160">
        <f t="shared" si="257"/>
        <v>1.0050789973822485</v>
      </c>
      <c r="Y413" s="160">
        <f t="shared" si="258"/>
        <v>-0.10057428394782451</v>
      </c>
      <c r="Z413" s="98" t="str">
        <f t="shared" si="248"/>
        <v>-2.17731293889714-2.3722896429356i</v>
      </c>
      <c r="AA413" s="160">
        <f t="shared" si="259"/>
        <v>3.2200077304050714</v>
      </c>
      <c r="AB413" s="160">
        <f t="shared" si="260"/>
        <v>-2.31336493176914</v>
      </c>
      <c r="AC413" s="171" t="str">
        <f t="shared" si="261"/>
        <v>-1.58148672482365+2.14351492858678i</v>
      </c>
      <c r="AD413" s="190">
        <f t="shared" si="262"/>
        <v>8.5099870431026527</v>
      </c>
      <c r="AE413" s="169">
        <f t="shared" si="263"/>
        <v>126.41993066140459</v>
      </c>
      <c r="AF413" s="98" t="str">
        <f t="shared" si="249"/>
        <v>-0.0000114342530449913</v>
      </c>
      <c r="AG413" s="98" t="str">
        <f t="shared" si="250"/>
        <v>0.0672267370679012i</v>
      </c>
      <c r="AH413" s="98">
        <f t="shared" si="264"/>
        <v>6.7226737067901193E-2</v>
      </c>
      <c r="AI413" s="98">
        <f t="shared" si="265"/>
        <v>1.5707963267948966</v>
      </c>
      <c r="AJ413" s="98" t="str">
        <f t="shared" si="251"/>
        <v>1+0.615731872997036i</v>
      </c>
      <c r="AK413" s="98">
        <f t="shared" si="266"/>
        <v>1.1743618434811469</v>
      </c>
      <c r="AL413" s="98">
        <f t="shared" si="267"/>
        <v>0.55190681703630506</v>
      </c>
      <c r="AM413" s="98" t="str">
        <f t="shared" si="252"/>
        <v>1+1478.37222706588i</v>
      </c>
      <c r="AN413" s="98">
        <f t="shared" si="268"/>
        <v>1478.3725652756582</v>
      </c>
      <c r="AO413" s="98">
        <f t="shared" si="269"/>
        <v>1.5701199072645662</v>
      </c>
      <c r="AP413" s="168" t="str">
        <f t="shared" si="270"/>
        <v>-0.18224884271027+0.112386506176415i</v>
      </c>
      <c r="AQ413" s="98">
        <f t="shared" si="271"/>
        <v>-13.387045421529194</v>
      </c>
      <c r="AR413" s="169">
        <f t="shared" si="272"/>
        <v>148.33931271505256</v>
      </c>
      <c r="AS413" s="168" t="str">
        <f t="shared" si="273"/>
        <v>0.0473219715999095-0.568390882634439i</v>
      </c>
      <c r="AT413" s="190">
        <f t="shared" si="274"/>
        <v>-4.8770583784265416</v>
      </c>
      <c r="AU413" s="169">
        <f t="shared" si="275"/>
        <v>-85.24075662354285</v>
      </c>
      <c r="AV413" s="225"/>
      <c r="AX413">
        <f t="shared" si="276"/>
        <v>0</v>
      </c>
      <c r="AY413">
        <f t="shared" si="277"/>
        <v>0</v>
      </c>
    </row>
    <row r="414" spans="14:51" x14ac:dyDescent="0.2">
      <c r="N414" s="170">
        <v>96</v>
      </c>
      <c r="O414" s="199">
        <f t="shared" si="243"/>
        <v>91201.083935591028</v>
      </c>
      <c r="P414" s="189" t="str">
        <f t="shared" si="244"/>
        <v>1757.57575757576</v>
      </c>
      <c r="Q414" s="160" t="str">
        <f t="shared" si="245"/>
        <v>1+33044.920910284i</v>
      </c>
      <c r="R414" s="160">
        <f t="shared" si="253"/>
        <v>33044.920925414917</v>
      </c>
      <c r="S414" s="160">
        <f t="shared" si="254"/>
        <v>1.5707660649582165</v>
      </c>
      <c r="T414" s="160" t="str">
        <f t="shared" si="246"/>
        <v>1+160.449326963228i</v>
      </c>
      <c r="U414" s="160">
        <f t="shared" si="255"/>
        <v>160.45244318162577</v>
      </c>
      <c r="V414" s="160">
        <f t="shared" si="256"/>
        <v>1.5645639101732718</v>
      </c>
      <c r="W414" s="98" t="str">
        <f t="shared" si="247"/>
        <v>1-0.103265377844637i</v>
      </c>
      <c r="X414" s="160">
        <f t="shared" si="257"/>
        <v>1.0053177300044975</v>
      </c>
      <c r="Y414" s="160">
        <f t="shared" si="258"/>
        <v>-0.10290064368679819</v>
      </c>
      <c r="Z414" s="98" t="str">
        <f t="shared" si="248"/>
        <v>-2.3270550844107-2.42754736727622i</v>
      </c>
      <c r="AA414" s="160">
        <f t="shared" si="259"/>
        <v>3.3627624932860476</v>
      </c>
      <c r="AB414" s="160">
        <f t="shared" si="260"/>
        <v>-2.3350618457978212</v>
      </c>
      <c r="AC414" s="171" t="str">
        <f t="shared" si="261"/>
        <v>-1.5544818042387+2.02305626565876i</v>
      </c>
      <c r="AD414" s="190">
        <f t="shared" si="262"/>
        <v>8.135256364260858</v>
      </c>
      <c r="AE414" s="169">
        <f t="shared" si="263"/>
        <v>127.53805878074579</v>
      </c>
      <c r="AF414" s="98" t="str">
        <f t="shared" si="249"/>
        <v>-0.0000114342530449913</v>
      </c>
      <c r="AG414" s="98" t="str">
        <f t="shared" si="250"/>
        <v>0.0687926489354841i</v>
      </c>
      <c r="AH414" s="98">
        <f t="shared" si="264"/>
        <v>6.8792648935484105E-2</v>
      </c>
      <c r="AI414" s="98">
        <f t="shared" si="265"/>
        <v>1.5707963267948966</v>
      </c>
      <c r="AJ414" s="98" t="str">
        <f t="shared" si="251"/>
        <v>1+0.63007411076177i</v>
      </c>
      <c r="AK414" s="98">
        <f t="shared" si="266"/>
        <v>1.1819447470386402</v>
      </c>
      <c r="AL414" s="98">
        <f t="shared" si="267"/>
        <v>0.56223979586131212</v>
      </c>
      <c r="AM414" s="98" t="str">
        <f t="shared" si="252"/>
        <v>1+1512.80793993901i</v>
      </c>
      <c r="AN414" s="98">
        <f t="shared" si="268"/>
        <v>1512.8082704501956</v>
      </c>
      <c r="AO414" s="98">
        <f t="shared" si="269"/>
        <v>1.5701353044483388</v>
      </c>
      <c r="AP414" s="168" t="str">
        <f t="shared" si="270"/>
        <v>-0.179917866935821+0.113527803317557i</v>
      </c>
      <c r="AQ414" s="98">
        <f t="shared" si="271"/>
        <v>-13.442950367380316</v>
      </c>
      <c r="AR414" s="169">
        <f t="shared" si="272"/>
        <v>147.7481588322282</v>
      </c>
      <c r="AS414" s="168" t="str">
        <f t="shared" si="273"/>
        <v>0.0500059165811144-0.540460872540804i</v>
      </c>
      <c r="AT414" s="190">
        <f t="shared" si="274"/>
        <v>-5.3076940031194582</v>
      </c>
      <c r="AU414" s="169">
        <f t="shared" si="275"/>
        <v>-84.713782387026015</v>
      </c>
      <c r="AV414" s="225"/>
      <c r="AX414">
        <f t="shared" si="276"/>
        <v>0</v>
      </c>
      <c r="AY414">
        <f t="shared" si="277"/>
        <v>0</v>
      </c>
    </row>
    <row r="415" spans="14:51" x14ac:dyDescent="0.2">
      <c r="N415" s="170">
        <v>97</v>
      </c>
      <c r="O415" s="199">
        <f t="shared" si="243"/>
        <v>93325.430079699145</v>
      </c>
      <c r="P415" s="189" t="str">
        <f t="shared" si="244"/>
        <v>1757.57575757576</v>
      </c>
      <c r="Q415" s="160" t="str">
        <f t="shared" si="245"/>
        <v>1+33814.6359979654i</v>
      </c>
      <c r="R415" s="160">
        <f t="shared" si="253"/>
        <v>33814.636012751893</v>
      </c>
      <c r="S415" s="160">
        <f t="shared" si="254"/>
        <v>1.5707667538017178</v>
      </c>
      <c r="T415" s="160" t="str">
        <f t="shared" si="246"/>
        <v>1+164.186671897635i</v>
      </c>
      <c r="U415" s="160">
        <f t="shared" si="255"/>
        <v>164.18971718357287</v>
      </c>
      <c r="V415" s="160">
        <f t="shared" si="256"/>
        <v>1.5647057737465504</v>
      </c>
      <c r="W415" s="98" t="str">
        <f t="shared" si="247"/>
        <v>1-0.105670737493642i</v>
      </c>
      <c r="X415" s="160">
        <f t="shared" si="257"/>
        <v>1.0055676530012538</v>
      </c>
      <c r="Y415" s="160">
        <f t="shared" si="258"/>
        <v>-0.10528003457702048</v>
      </c>
      <c r="Z415" s="98" t="str">
        <f t="shared" si="248"/>
        <v>-2.48385435982434-2.48409220936335i</v>
      </c>
      <c r="AA415" s="160">
        <f t="shared" si="259"/>
        <v>3.5128687116711426</v>
      </c>
      <c r="AB415" s="160">
        <f t="shared" si="260"/>
        <v>-2.3561466133612403</v>
      </c>
      <c r="AC415" s="171" t="str">
        <f t="shared" si="261"/>
        <v>-1.52466781112928+1.90869598874385i</v>
      </c>
      <c r="AD415" s="190">
        <f t="shared" si="262"/>
        <v>7.7580933421306089</v>
      </c>
      <c r="AE415" s="169">
        <f t="shared" si="263"/>
        <v>128.61788663451253</v>
      </c>
      <c r="AF415" s="98" t="str">
        <f t="shared" si="249"/>
        <v>-0.0000114342530449913</v>
      </c>
      <c r="AG415" s="98" t="str">
        <f t="shared" si="250"/>
        <v>0.0703950355761109i</v>
      </c>
      <c r="AH415" s="98">
        <f t="shared" si="264"/>
        <v>7.0395035576110904E-2</v>
      </c>
      <c r="AI415" s="98">
        <f t="shared" si="265"/>
        <v>1.5707963267948966</v>
      </c>
      <c r="AJ415" s="98" t="str">
        <f t="shared" si="251"/>
        <v>1+0.644750422160047i</v>
      </c>
      <c r="AK415" s="98">
        <f t="shared" si="266"/>
        <v>1.1898332264967049</v>
      </c>
      <c r="AL415" s="98">
        <f t="shared" si="267"/>
        <v>0.572675975210585</v>
      </c>
      <c r="AM415" s="98" t="str">
        <f t="shared" si="252"/>
        <v>1+1548.04576360627i</v>
      </c>
      <c r="AN415" s="98">
        <f t="shared" si="268"/>
        <v>1548.0460865941036</v>
      </c>
      <c r="AO415" s="98">
        <f t="shared" si="269"/>
        <v>1.5701503511497221</v>
      </c>
      <c r="AP415" s="168" t="str">
        <f t="shared" si="270"/>
        <v>-0.177540099150283+0.114631483698724i</v>
      </c>
      <c r="AQ415" s="98">
        <f t="shared" si="271"/>
        <v>-13.500728807596259</v>
      </c>
      <c r="AR415" s="169">
        <f t="shared" si="272"/>
        <v>147.15107191375822</v>
      </c>
      <c r="AS415" s="168" t="str">
        <f t="shared" si="273"/>
        <v>0.0518930212396268-0.513645008426766i</v>
      </c>
      <c r="AT415" s="190">
        <f t="shared" si="274"/>
        <v>-5.7426354654656473</v>
      </c>
      <c r="AU415" s="169">
        <f t="shared" si="275"/>
        <v>-84.231041451729268</v>
      </c>
      <c r="AV415" s="225"/>
      <c r="AX415">
        <f t="shared" si="276"/>
        <v>0</v>
      </c>
      <c r="AY415">
        <f t="shared" si="277"/>
        <v>0</v>
      </c>
    </row>
    <row r="416" spans="14:51" x14ac:dyDescent="0.2">
      <c r="N416" s="170">
        <v>98</v>
      </c>
      <c r="O416" s="199">
        <f t="shared" si="243"/>
        <v>95499.258602143804</v>
      </c>
      <c r="P416" s="189" t="str">
        <f t="shared" si="244"/>
        <v>1757.57575757576</v>
      </c>
      <c r="Q416" s="160" t="str">
        <f t="shared" si="245"/>
        <v>1+34602.2800532426i</v>
      </c>
      <c r="R416" s="160">
        <f t="shared" si="253"/>
        <v>34602.280067692511</v>
      </c>
      <c r="S416" s="160">
        <f t="shared" si="254"/>
        <v>1.570767426965227</v>
      </c>
      <c r="T416" s="160" t="str">
        <f t="shared" si="246"/>
        <v>1+168.01107077875i</v>
      </c>
      <c r="U416" s="160">
        <f t="shared" si="255"/>
        <v>168.01404674675905</v>
      </c>
      <c r="V416" s="160">
        <f t="shared" si="256"/>
        <v>1.5648444083475428</v>
      </c>
      <c r="W416" s="98" t="str">
        <f t="shared" si="247"/>
        <v>1-0.108132125166383i</v>
      </c>
      <c r="X416" s="160">
        <f t="shared" si="257"/>
        <v>1.0058292879475117</v>
      </c>
      <c r="Y416" s="160">
        <f t="shared" si="258"/>
        <v>-0.10771361037678412</v>
      </c>
      <c r="Z416" s="98" t="str">
        <f t="shared" si="248"/>
        <v>-2.64804335742366-2.54195415002073i</v>
      </c>
      <c r="AA416" s="160">
        <f t="shared" si="259"/>
        <v>3.6706490602621198</v>
      </c>
      <c r="AB416" s="160">
        <f t="shared" si="260"/>
        <v>-2.3766327341248261</v>
      </c>
      <c r="AC416" s="171" t="str">
        <f t="shared" si="261"/>
        <v>-1.49250247613271+1.80027570084003i</v>
      </c>
      <c r="AD416" s="190">
        <f t="shared" si="262"/>
        <v>7.3787268289019572</v>
      </c>
      <c r="AE416" s="169">
        <f t="shared" si="263"/>
        <v>129.66012587851304</v>
      </c>
      <c r="AF416" s="98" t="str">
        <f t="shared" si="249"/>
        <v>-0.0000114342530449913</v>
      </c>
      <c r="AG416" s="98" t="str">
        <f t="shared" si="250"/>
        <v>0.0720347465963888i</v>
      </c>
      <c r="AH416" s="98">
        <f t="shared" si="264"/>
        <v>7.2034746596388796E-2</v>
      </c>
      <c r="AI416" s="98">
        <f t="shared" si="265"/>
        <v>1.5707963267948966</v>
      </c>
      <c r="AJ416" s="98" t="str">
        <f t="shared" si="251"/>
        <v>1+0.659768588766435i</v>
      </c>
      <c r="AK416" s="98">
        <f t="shared" si="266"/>
        <v>1.198037808553158</v>
      </c>
      <c r="AL416" s="98">
        <f t="shared" si="267"/>
        <v>0.58321179505899445</v>
      </c>
      <c r="AM416" s="98" t="str">
        <f t="shared" si="252"/>
        <v>1+1584.10438162821i</v>
      </c>
      <c r="AN416" s="98">
        <f t="shared" si="268"/>
        <v>1584.1046972639447</v>
      </c>
      <c r="AO416" s="98">
        <f t="shared" si="269"/>
        <v>1.5701650553466493</v>
      </c>
      <c r="AP416" s="168" t="str">
        <f t="shared" si="270"/>
        <v>-0.175116712336711+0.11569523863492i</v>
      </c>
      <c r="AQ416" s="98">
        <f t="shared" si="271"/>
        <v>-13.560417518626162</v>
      </c>
      <c r="AR416" s="169">
        <f t="shared" si="272"/>
        <v>146.54825639115944</v>
      </c>
      <c r="AS416" s="168" t="str">
        <f t="shared" si="273"/>
        <v>0.0530787999574255-0.487933792170157i</v>
      </c>
      <c r="AT416" s="190">
        <f t="shared" si="274"/>
        <v>-6.1816906897242081</v>
      </c>
      <c r="AU416" s="169">
        <f t="shared" si="275"/>
        <v>-83.791617730327516</v>
      </c>
      <c r="AV416" s="225"/>
      <c r="AX416">
        <f t="shared" si="276"/>
        <v>0</v>
      </c>
      <c r="AY416">
        <f t="shared" si="277"/>
        <v>0</v>
      </c>
    </row>
    <row r="417" spans="14:51" x14ac:dyDescent="0.2">
      <c r="N417" s="170">
        <v>99</v>
      </c>
      <c r="O417" s="199">
        <f t="shared" si="243"/>
        <v>97723.722095581266</v>
      </c>
      <c r="P417" s="189" t="str">
        <f t="shared" si="244"/>
        <v>1757.57575757576</v>
      </c>
      <c r="Q417" s="160" t="str">
        <f t="shared" si="245"/>
        <v>1+35408.2706954192i</v>
      </c>
      <c r="R417" s="160">
        <f t="shared" si="253"/>
        <v>35408.2707095402</v>
      </c>
      <c r="S417" s="160">
        <f t="shared" si="254"/>
        <v>1.5707680848056638</v>
      </c>
      <c r="T417" s="160" t="str">
        <f t="shared" si="246"/>
        <v>1+171.92455135348i</v>
      </c>
      <c r="U417" s="160">
        <f t="shared" si="255"/>
        <v>171.92745958134606</v>
      </c>
      <c r="V417" s="160">
        <f t="shared" si="256"/>
        <v>1.5649798874608207</v>
      </c>
      <c r="W417" s="98" t="str">
        <f t="shared" si="247"/>
        <v>1-0.110650845923185i</v>
      </c>
      <c r="X417" s="160">
        <f t="shared" si="257"/>
        <v>1.0061031804459801</v>
      </c>
      <c r="Y417" s="160">
        <f t="shared" si="258"/>
        <v>-0.11020254603861292</v>
      </c>
      <c r="Z417" s="98" t="str">
        <f t="shared" si="248"/>
        <v>-2.81997034408576-2.60116386841519i</v>
      </c>
      <c r="AA417" s="160">
        <f t="shared" si="259"/>
        <v>3.8364418686944597</v>
      </c>
      <c r="AB417" s="160">
        <f t="shared" si="260"/>
        <v>-2.3965343463926576</v>
      </c>
      <c r="AC417" s="171" t="str">
        <f t="shared" si="261"/>
        <v>-1.45840321602632+1.69761533510121i</v>
      </c>
      <c r="AD417" s="190">
        <f t="shared" si="262"/>
        <v>6.9973696535678833</v>
      </c>
      <c r="AE417" s="169">
        <f t="shared" si="263"/>
        <v>130.66552344798544</v>
      </c>
      <c r="AF417" s="98" t="str">
        <f t="shared" si="249"/>
        <v>-0.0000114342530449913</v>
      </c>
      <c r="AG417" s="98" t="str">
        <f t="shared" si="250"/>
        <v>0.0737126513928046i</v>
      </c>
      <c r="AH417" s="98">
        <f t="shared" si="264"/>
        <v>7.3712651392804598E-2</v>
      </c>
      <c r="AI417" s="98">
        <f t="shared" si="265"/>
        <v>1.5707963267948966</v>
      </c>
      <c r="AJ417" s="98" t="str">
        <f t="shared" si="251"/>
        <v>1+0.675136573411654i</v>
      </c>
      <c r="AK417" s="98">
        <f t="shared" si="266"/>
        <v>1.2065692656279745</v>
      </c>
      <c r="AL417" s="98">
        <f t="shared" si="267"/>
        <v>0.59384348535388942</v>
      </c>
      <c r="AM417" s="98" t="str">
        <f t="shared" si="252"/>
        <v>1+1621.00291276138i</v>
      </c>
      <c r="AN417" s="98">
        <f t="shared" si="268"/>
        <v>1621.0032212123695</v>
      </c>
      <c r="AO417" s="98">
        <f t="shared" si="269"/>
        <v>1.5701794248354544</v>
      </c>
      <c r="AP417" s="168" t="str">
        <f t="shared" si="270"/>
        <v>-0.17264902343148+0.116716789357434i</v>
      </c>
      <c r="AQ417" s="98">
        <f t="shared" si="271"/>
        <v>-13.622052286311689</v>
      </c>
      <c r="AR417" s="169">
        <f t="shared" si="272"/>
        <v>145.93992871923365</v>
      </c>
      <c r="AS417" s="168" t="str">
        <f t="shared" si="273"/>
        <v>0.0536516795393163-0.463311770730677i</v>
      </c>
      <c r="AT417" s="190">
        <f t="shared" si="274"/>
        <v>-6.6246826327438049</v>
      </c>
      <c r="AU417" s="169">
        <f t="shared" si="275"/>
        <v>-83.394547832780916</v>
      </c>
      <c r="AV417" s="225"/>
      <c r="AX417">
        <f t="shared" si="276"/>
        <v>0</v>
      </c>
      <c r="AY417">
        <f t="shared" si="277"/>
        <v>0</v>
      </c>
    </row>
    <row r="418" spans="14:51" x14ac:dyDescent="0.2">
      <c r="N418" s="170">
        <v>100</v>
      </c>
      <c r="O418" s="199">
        <f t="shared" si="243"/>
        <v>100000</v>
      </c>
      <c r="P418" s="189" t="str">
        <f t="shared" si="244"/>
        <v>1757.57575757576</v>
      </c>
      <c r="Q418" s="160" t="str">
        <f t="shared" si="245"/>
        <v>1+36233.0352714024i</v>
      </c>
      <c r="R418" s="160">
        <f t="shared" si="253"/>
        <v>36233.035285201957</v>
      </c>
      <c r="S418" s="160">
        <f t="shared" si="254"/>
        <v>1.5707687276718241</v>
      </c>
      <c r="T418" s="160" t="str">
        <f t="shared" si="246"/>
        <v>1+175.929188601029i</v>
      </c>
      <c r="U418" s="160">
        <f t="shared" si="255"/>
        <v>175.93203063062862</v>
      </c>
      <c r="V418" s="160">
        <f t="shared" si="256"/>
        <v>1.5651122828992989</v>
      </c>
      <c r="W418" s="98" t="str">
        <f t="shared" si="247"/>
        <v>1-0.113228235223132i</v>
      </c>
      <c r="X418" s="160">
        <f t="shared" si="257"/>
        <v>1.0063899012071538</v>
      </c>
      <c r="Y418" s="160">
        <f t="shared" si="258"/>
        <v>-0.1127480378144161</v>
      </c>
      <c r="Z418" s="98" t="str">
        <f t="shared" si="248"/>
        <v>-3.00000000000001-2.66175275832316i</v>
      </c>
      <c r="AA418" s="160">
        <f t="shared" si="259"/>
        <v>4.0106019182213801</v>
      </c>
      <c r="AB418" s="160">
        <f t="shared" si="260"/>
        <v>-2.4158660610863478</v>
      </c>
      <c r="AC418" s="171" t="str">
        <f t="shared" si="261"/>
        <v>-1.42274852684438+1.60051824287733i</v>
      </c>
      <c r="AD418" s="190">
        <f t="shared" si="262"/>
        <v>6.6142193017199755</v>
      </c>
      <c r="AE418" s="169">
        <f t="shared" si="263"/>
        <v>131.63485204148006</v>
      </c>
      <c r="AF418" s="98" t="str">
        <f t="shared" si="249"/>
        <v>-0.0000114342530449913</v>
      </c>
      <c r="AG418" s="98" t="str">
        <f t="shared" si="250"/>
        <v>0.0754296396126909i</v>
      </c>
      <c r="AH418" s="98">
        <f t="shared" si="264"/>
        <v>7.5429639612690905E-2</v>
      </c>
      <c r="AI418" s="98">
        <f t="shared" si="265"/>
        <v>1.5707963267948966</v>
      </c>
      <c r="AJ418" s="98" t="str">
        <f t="shared" si="251"/>
        <v>1+0.690862524404586i</v>
      </c>
      <c r="AK418" s="98">
        <f t="shared" si="266"/>
        <v>1.2154386153264496</v>
      </c>
      <c r="AL418" s="98">
        <f t="shared" si="267"/>
        <v>0.6045670692288948</v>
      </c>
      <c r="AM418" s="98" t="str">
        <f t="shared" si="252"/>
        <v>1+1658.76092109541i</v>
      </c>
      <c r="AN418" s="98">
        <f t="shared" si="268"/>
        <v>1658.7612225251992</v>
      </c>
      <c r="AO418" s="98">
        <f t="shared" si="269"/>
        <v>1.5701934672350071</v>
      </c>
      <c r="AP418" s="168" t="str">
        <f t="shared" si="270"/>
        <v>-0.170138493541008+0.117693897475386i</v>
      </c>
      <c r="AQ418" s="98">
        <f t="shared" si="271"/>
        <v>-13.685667791197746</v>
      </c>
      <c r="AR418" s="169">
        <f t="shared" si="272"/>
        <v>145.32631719217019</v>
      </c>
      <c r="AS418" s="168" t="str">
        <f t="shared" si="273"/>
        <v>0.0536930610603018-0.439758581979729i</v>
      </c>
      <c r="AT418" s="190">
        <f t="shared" si="274"/>
        <v>-7.0714484894777723</v>
      </c>
      <c r="AU418" s="169">
        <f t="shared" si="275"/>
        <v>-83.038830766349761</v>
      </c>
      <c r="AV418" s="225"/>
      <c r="AX418">
        <f t="shared" si="276"/>
        <v>0</v>
      </c>
      <c r="AY418">
        <f t="shared" si="277"/>
        <v>0</v>
      </c>
    </row>
    <row r="419" spans="14:51" x14ac:dyDescent="0.2">
      <c r="N419" s="170">
        <v>1</v>
      </c>
      <c r="O419" s="199">
        <f>10^(5+(N419/100))</f>
        <v>102329.29922807543</v>
      </c>
      <c r="P419" s="189" t="str">
        <f t="shared" si="244"/>
        <v>1757.57575757576</v>
      </c>
      <c r="Q419" s="160" t="str">
        <f t="shared" si="245"/>
        <v>1+37077.0110822875i</v>
      </c>
      <c r="R419" s="160">
        <f t="shared" si="253"/>
        <v>37077.011095772941</v>
      </c>
      <c r="S419" s="160">
        <f t="shared" si="254"/>
        <v>1.5707693559045641</v>
      </c>
      <c r="T419" s="160" t="str">
        <f t="shared" si="246"/>
        <v>1+180.027105833072i</v>
      </c>
      <c r="U419" s="160">
        <f t="shared" si="255"/>
        <v>180.02988317118943</v>
      </c>
      <c r="V419" s="160">
        <f t="shared" si="256"/>
        <v>1.5652416648422149</v>
      </c>
      <c r="W419" s="98" t="str">
        <f t="shared" si="247"/>
        <v>1-0.115865659632148i</v>
      </c>
      <c r="X419" s="160">
        <f t="shared" si="257"/>
        <v>1.0066900471753919</v>
      </c>
      <c r="Y419" s="160">
        <f t="shared" si="258"/>
        <v>-0.11535130333741234</v>
      </c>
      <c r="Z419" s="98" t="str">
        <f t="shared" si="248"/>
        <v>-3.18851419220361-2.72375294477606i</v>
      </c>
      <c r="AA419" s="160">
        <f t="shared" si="259"/>
        <v>4.1935012648215686</v>
      </c>
      <c r="AB419" s="160">
        <f t="shared" si="260"/>
        <v>-2.4346428152447506</v>
      </c>
      <c r="AC419" s="171" t="str">
        <f t="shared" si="261"/>
        <v>-1.3858797368633+1.50877566429148i</v>
      </c>
      <c r="AD419" s="190">
        <f t="shared" si="262"/>
        <v>6.2294586594417076</v>
      </c>
      <c r="AE419" s="169">
        <f t="shared" si="263"/>
        <v>132.56890172448135</v>
      </c>
      <c r="AF419" s="98" t="str">
        <f t="shared" si="249"/>
        <v>-0.0000114342530449913</v>
      </c>
      <c r="AG419" s="98" t="str">
        <f t="shared" si="250"/>
        <v>0.0771866216259294i</v>
      </c>
      <c r="AH419" s="98">
        <f t="shared" si="264"/>
        <v>7.7186621625929402E-2</v>
      </c>
      <c r="AI419" s="98">
        <f t="shared" si="265"/>
        <v>1.5707963267948966</v>
      </c>
      <c r="AJ419" s="98" t="str">
        <f t="shared" si="251"/>
        <v>1+0.706954779852604i</v>
      </c>
      <c r="AK419" s="98">
        <f t="shared" si="266"/>
        <v>1.2246571196691929</v>
      </c>
      <c r="AL419" s="98">
        <f t="shared" si="267"/>
        <v>0.6153783671865708</v>
      </c>
      <c r="AM419" s="98" t="str">
        <f t="shared" si="252"/>
        <v>1+1697.3984264261i</v>
      </c>
      <c r="AN419" s="98">
        <f t="shared" si="268"/>
        <v>1697.3987209945108</v>
      </c>
      <c r="AO419" s="98">
        <f t="shared" si="269"/>
        <v>1.5702071899907513</v>
      </c>
      <c r="AP419" s="168" t="str">
        <f t="shared" si="270"/>
        <v>-0.167586727284295+0.118624375651095i</v>
      </c>
      <c r="AQ419" s="98">
        <f t="shared" si="271"/>
        <v>-13.751297494015839</v>
      </c>
      <c r="AR419" s="169">
        <f t="shared" si="272"/>
        <v>144.70766170412426</v>
      </c>
      <c r="AS419" s="168" t="str">
        <f t="shared" si="273"/>
        <v>0.0532774783363975-0.41724989429771i</v>
      </c>
      <c r="AT419" s="190">
        <f t="shared" si="274"/>
        <v>-7.5218388345741314</v>
      </c>
      <c r="AU419" s="169">
        <f t="shared" si="275"/>
        <v>-82.723436571394345</v>
      </c>
      <c r="AV419" s="225"/>
      <c r="AX419">
        <f t="shared" si="276"/>
        <v>0</v>
      </c>
      <c r="AY419">
        <f t="shared" si="277"/>
        <v>0</v>
      </c>
    </row>
    <row r="420" spans="14:51" x14ac:dyDescent="0.2">
      <c r="N420" s="170">
        <v>2</v>
      </c>
      <c r="O420" s="199">
        <f t="shared" ref="O420:O483" si="278">10^(5+(N420/100))</f>
        <v>104712.85480508996</v>
      </c>
      <c r="P420" s="189" t="str">
        <f t="shared" si="244"/>
        <v>1757.57575757576</v>
      </c>
      <c r="Q420" s="160" t="str">
        <f t="shared" si="245"/>
        <v>1+37940.6456152206i</v>
      </c>
      <c r="R420" s="160">
        <f t="shared" si="253"/>
        <v>37940.645628399077</v>
      </c>
      <c r="S420" s="160">
        <f t="shared" si="254"/>
        <v>1.570769969836981</v>
      </c>
      <c r="T420" s="160" t="str">
        <f t="shared" si="246"/>
        <v>1+184.220475819568i</v>
      </c>
      <c r="U420" s="160">
        <f t="shared" si="255"/>
        <v>184.22318993869376</v>
      </c>
      <c r="V420" s="160">
        <f t="shared" si="256"/>
        <v>1.5653681018722509</v>
      </c>
      <c r="W420" s="98" t="str">
        <f t="shared" si="247"/>
        <v>1-0.118564517547564i</v>
      </c>
      <c r="X420" s="160">
        <f t="shared" si="257"/>
        <v>1.0070042427027239</v>
      </c>
      <c r="Y420" s="160">
        <f t="shared" si="258"/>
        <v>-0.11801358167867734</v>
      </c>
      <c r="Z420" s="98" t="str">
        <f t="shared" si="248"/>
        <v>-3.38591278457276-2.78719730109341i</v>
      </c>
      <c r="AA420" s="160">
        <f t="shared" si="259"/>
        <v>4.3855300911013764</v>
      </c>
      <c r="AB420" s="160">
        <f t="shared" si="260"/>
        <v>-2.4528797438852674</v>
      </c>
      <c r="AC420" s="171" t="str">
        <f t="shared" si="261"/>
        <v>-1.34810301225012+1.42217061037601i</v>
      </c>
      <c r="AD420" s="190">
        <f t="shared" si="262"/>
        <v>5.8432567991334583</v>
      </c>
      <c r="AE420" s="169">
        <f t="shared" si="263"/>
        <v>133.46847258647949</v>
      </c>
      <c r="AF420" s="98" t="str">
        <f t="shared" si="249"/>
        <v>-0.0000114342530449913</v>
      </c>
      <c r="AG420" s="98" t="str">
        <f t="shared" si="250"/>
        <v>0.0789845290076397i</v>
      </c>
      <c r="AH420" s="98">
        <f t="shared" si="264"/>
        <v>7.8984529007639706E-2</v>
      </c>
      <c r="AI420" s="98">
        <f t="shared" si="265"/>
        <v>1.5707963267948966</v>
      </c>
      <c r="AJ420" s="98" t="str">
        <f t="shared" si="251"/>
        <v>1+0.723421872082554i</v>
      </c>
      <c r="AK420" s="98">
        <f t="shared" si="266"/>
        <v>1.2342362841074748</v>
      </c>
      <c r="AL420" s="98">
        <f t="shared" si="267"/>
        <v>0.62627300226585614</v>
      </c>
      <c r="AM420" s="98" t="str">
        <f t="shared" si="252"/>
        <v>1+1736.93591487021i</v>
      </c>
      <c r="AN420" s="98">
        <f t="shared" si="268"/>
        <v>1736.9362027334259</v>
      </c>
      <c r="AO420" s="98">
        <f t="shared" si="269"/>
        <v>1.570220600378653</v>
      </c>
      <c r="AP420" s="168" t="str">
        <f t="shared" si="270"/>
        <v>-0.164995471222592+0.119506098407554i</v>
      </c>
      <c r="AQ420" s="98">
        <f t="shared" si="271"/>
        <v>-13.818973522051408</v>
      </c>
      <c r="AR420" s="169">
        <f t="shared" si="272"/>
        <v>144.08421345337445</v>
      </c>
      <c r="AS420" s="168" t="str">
        <f t="shared" si="273"/>
        <v>0.0524728308468777-0.395758241263394i</v>
      </c>
      <c r="AT420" s="190">
        <f t="shared" si="274"/>
        <v>-7.9757167229179444</v>
      </c>
      <c r="AU420" s="169">
        <f t="shared" si="275"/>
        <v>-82.447313960146076</v>
      </c>
      <c r="AV420" s="225"/>
      <c r="AX420">
        <f t="shared" si="276"/>
        <v>0</v>
      </c>
      <c r="AY420">
        <f t="shared" si="277"/>
        <v>0</v>
      </c>
    </row>
    <row r="421" spans="14:51" x14ac:dyDescent="0.2">
      <c r="N421" s="170">
        <v>3</v>
      </c>
      <c r="O421" s="199">
        <f t="shared" si="278"/>
        <v>107151.93052376082</v>
      </c>
      <c r="P421" s="189" t="str">
        <f t="shared" si="244"/>
        <v>1757.57575757576</v>
      </c>
      <c r="Q421" s="160" t="str">
        <f t="shared" si="245"/>
        <v>1+38824.3967806628i</v>
      </c>
      <c r="R421" s="160">
        <f t="shared" si="253"/>
        <v>38824.396793541302</v>
      </c>
      <c r="S421" s="160">
        <f t="shared" si="254"/>
        <v>1.5707705697945902</v>
      </c>
      <c r="T421" s="160" t="str">
        <f t="shared" si="246"/>
        <v>1+188.51152194079i</v>
      </c>
      <c r="U421" s="160">
        <f t="shared" si="255"/>
        <v>188.51417427990117</v>
      </c>
      <c r="V421" s="160">
        <f t="shared" si="256"/>
        <v>1.5654916610118146</v>
      </c>
      <c r="W421" s="98" t="str">
        <f t="shared" si="247"/>
        <v>1-0.121326239939571i</v>
      </c>
      <c r="X421" s="160">
        <f t="shared" si="257"/>
        <v>1.0073331407721451</v>
      </c>
      <c r="Y421" s="160">
        <f t="shared" si="258"/>
        <v>-0.12073613337606295</v>
      </c>
      <c r="Z421" s="98" t="str">
        <f t="shared" si="248"/>
        <v>-3.59261448598756-2.85211946631272i</v>
      </c>
      <c r="AA421" s="160">
        <f t="shared" si="259"/>
        <v>4.5870975894401482</v>
      </c>
      <c r="AB421" s="160">
        <f t="shared" si="260"/>
        <v>-2.4705920689216074</v>
      </c>
      <c r="AC421" s="171" t="str">
        <f t="shared" si="261"/>
        <v>-1.30969152521576+1.3404811950688i</v>
      </c>
      <c r="AD421" s="190">
        <f t="shared" si="262"/>
        <v>5.4557697886389613</v>
      </c>
      <c r="AE421" s="169">
        <f t="shared" si="263"/>
        <v>134.33436837683783</v>
      </c>
      <c r="AF421" s="98" t="str">
        <f t="shared" si="249"/>
        <v>-0.0000114342530449913</v>
      </c>
      <c r="AG421" s="98" t="str">
        <f t="shared" si="250"/>
        <v>0.0808243150321138i</v>
      </c>
      <c r="AH421" s="98">
        <f t="shared" si="264"/>
        <v>8.0824315032113805E-2</v>
      </c>
      <c r="AI421" s="98">
        <f t="shared" si="265"/>
        <v>1.5707963267948966</v>
      </c>
      <c r="AJ421" s="98" t="str">
        <f t="shared" si="251"/>
        <v>1+0.740272532164702i</v>
      </c>
      <c r="AK421" s="98">
        <f t="shared" si="266"/>
        <v>1.2441878563454716</v>
      </c>
      <c r="AL421" s="98">
        <f t="shared" si="267"/>
        <v>0.63724640620239736</v>
      </c>
      <c r="AM421" s="98" t="str">
        <f t="shared" si="252"/>
        <v>1+1777.39434972745i</v>
      </c>
      <c r="AN421" s="98">
        <f t="shared" si="268"/>
        <v>1777.3946310381002</v>
      </c>
      <c r="AO421" s="98">
        <f t="shared" si="269"/>
        <v>1.5702337055090581</v>
      </c>
      <c r="AP421" s="168" t="str">
        <f t="shared" si="270"/>
        <v>-0.162366611345859+0.120337012980227i</v>
      </c>
      <c r="AQ421" s="98">
        <f t="shared" si="271"/>
        <v>-13.888726557134124</v>
      </c>
      <c r="AR421" s="169">
        <f t="shared" si="272"/>
        <v>143.45623458958045</v>
      </c>
      <c r="AS421" s="168" t="str">
        <f t="shared" si="273"/>
        <v>0.0513406718869282-0.375253755286151i</v>
      </c>
      <c r="AT421" s="190">
        <f t="shared" si="274"/>
        <v>-8.4329567684951545</v>
      </c>
      <c r="AU421" s="169">
        <f t="shared" si="275"/>
        <v>-82.209397033581723</v>
      </c>
      <c r="AV421" s="225"/>
      <c r="AX421">
        <f t="shared" si="276"/>
        <v>0</v>
      </c>
      <c r="AY421">
        <f t="shared" si="277"/>
        <v>0</v>
      </c>
    </row>
    <row r="422" spans="14:51" x14ac:dyDescent="0.2">
      <c r="N422" s="170">
        <v>4</v>
      </c>
      <c r="O422" s="199">
        <f t="shared" si="278"/>
        <v>109647.81961431868</v>
      </c>
      <c r="P422" s="189" t="str">
        <f t="shared" si="244"/>
        <v>1757.57575757576</v>
      </c>
      <c r="Q422" s="160" t="str">
        <f t="shared" si="245"/>
        <v>1+39728.7331551798i</v>
      </c>
      <c r="R422" s="160">
        <f t="shared" si="253"/>
        <v>39728.733167765145</v>
      </c>
      <c r="S422" s="160">
        <f t="shared" si="254"/>
        <v>1.5707711560954967</v>
      </c>
      <c r="T422" s="160" t="str">
        <f t="shared" si="246"/>
        <v>1+192.90251936619i</v>
      </c>
      <c r="U422" s="160">
        <f t="shared" si="255"/>
        <v>192.9051113315127</v>
      </c>
      <c r="V422" s="160">
        <f t="shared" si="256"/>
        <v>1.5656124077584974</v>
      </c>
      <c r="W422" s="98" t="str">
        <f t="shared" si="247"/>
        <v>1-0.124152291109936i</v>
      </c>
      <c r="X422" s="160">
        <f t="shared" si="257"/>
        <v>1.0076774242721955</v>
      </c>
      <c r="Y422" s="160">
        <f t="shared" si="258"/>
        <v>-0.12352024043306219</v>
      </c>
      <c r="Z422" s="98" t="str">
        <f t="shared" si="248"/>
        <v>-3.80905773846968-2.91855386302533i</v>
      </c>
      <c r="AA422" s="160">
        <f t="shared" si="259"/>
        <v>4.7986328788912189</v>
      </c>
      <c r="AB422" s="160">
        <f t="shared" si="260"/>
        <v>-2.4877950037538223</v>
      </c>
      <c r="AC422" s="171" t="str">
        <f t="shared" si="261"/>
        <v>-1.27088771036419+1.26348346109027i</v>
      </c>
      <c r="AD422" s="190">
        <f t="shared" si="262"/>
        <v>5.0671415082842097</v>
      </c>
      <c r="AE422" s="169">
        <f t="shared" si="263"/>
        <v>135.16739104029111</v>
      </c>
      <c r="AF422" s="98" t="str">
        <f t="shared" si="249"/>
        <v>-0.0000114342530449913</v>
      </c>
      <c r="AG422" s="98" t="str">
        <f t="shared" si="250"/>
        <v>0.082706955178254i</v>
      </c>
      <c r="AH422" s="98">
        <f t="shared" si="264"/>
        <v>8.2706955178253994E-2</v>
      </c>
      <c r="AI422" s="98">
        <f t="shared" si="265"/>
        <v>1.5707963267948966</v>
      </c>
      <c r="AJ422" s="98" t="str">
        <f t="shared" si="251"/>
        <v>1+0.757515694542069i</v>
      </c>
      <c r="AK422" s="98">
        <f t="shared" si="266"/>
        <v>1.2545238249939907</v>
      </c>
      <c r="AL422" s="98">
        <f t="shared" si="267"/>
        <v>0.64829382658161094</v>
      </c>
      <c r="AM422" s="98" t="str">
        <f t="shared" si="252"/>
        <v>1+1818.79518259551i</v>
      </c>
      <c r="AN422" s="98">
        <f t="shared" si="268"/>
        <v>1818.7954575027491</v>
      </c>
      <c r="AO422" s="98">
        <f t="shared" si="269"/>
        <v>1.5702465123304621</v>
      </c>
      <c r="AP422" s="168" t="str">
        <f t="shared" si="270"/>
        <v>-0.159702169595081+0.121115150120091i</v>
      </c>
      <c r="AQ422" s="98">
        <f t="shared" si="271"/>
        <v>-13.96058572601129</v>
      </c>
      <c r="AR422" s="169">
        <f t="shared" si="272"/>
        <v>142.82399780416029</v>
      </c>
      <c r="AS422" s="168" t="str">
        <f t="shared" si="273"/>
        <v>0.0499365355926858-0.355704805810156i</v>
      </c>
      <c r="AT422" s="190">
        <f t="shared" si="274"/>
        <v>-8.8934442177270761</v>
      </c>
      <c r="AU422" s="169">
        <f t="shared" si="275"/>
        <v>-82.008611155548635</v>
      </c>
      <c r="AV422" s="225"/>
      <c r="AX422">
        <f t="shared" si="276"/>
        <v>0</v>
      </c>
      <c r="AY422">
        <f t="shared" si="277"/>
        <v>0</v>
      </c>
    </row>
    <row r="423" spans="14:51" x14ac:dyDescent="0.2">
      <c r="N423" s="170">
        <v>5</v>
      </c>
      <c r="O423" s="199">
        <f t="shared" si="278"/>
        <v>112201.84543019651</v>
      </c>
      <c r="P423" s="189" t="str">
        <f t="shared" si="244"/>
        <v>1757.57575757576</v>
      </c>
      <c r="Q423" s="160" t="str">
        <f t="shared" si="245"/>
        <v>1+40654.1342298875i</v>
      </c>
      <c r="R423" s="160">
        <f t="shared" si="253"/>
        <v>40654.134242186374</v>
      </c>
      <c r="S423" s="160">
        <f t="shared" si="254"/>
        <v>1.5707717290505654</v>
      </c>
      <c r="T423" s="160" t="str">
        <f t="shared" si="246"/>
        <v>1+197.395796260725i</v>
      </c>
      <c r="U423" s="160">
        <f t="shared" si="255"/>
        <v>197.39832922647966</v>
      </c>
      <c r="V423" s="160">
        <f t="shared" si="256"/>
        <v>1.5657304061197312</v>
      </c>
      <c r="W423" s="98" t="str">
        <f t="shared" si="247"/>
        <v>1-0.127044169468398i</v>
      </c>
      <c r="X423" s="160">
        <f t="shared" si="257"/>
        <v>1.0080378073246632</v>
      </c>
      <c r="Y423" s="160">
        <f t="shared" si="258"/>
        <v>-0.12636720628507786</v>
      </c>
      <c r="Z423" s="98" t="str">
        <f t="shared" si="248"/>
        <v>-4.0357016471767-2.98653571562775i</v>
      </c>
      <c r="AA423" s="160">
        <f t="shared" si="259"/>
        <v>5.020585958406139</v>
      </c>
      <c r="AB423" s="160">
        <f t="shared" si="260"/>
        <v>-2.5045036721203182</v>
      </c>
      <c r="AC423" s="171" t="str">
        <f t="shared" si="261"/>
        <v>-1.23190554926455+1.19095374661123i</v>
      </c>
      <c r="AD423" s="190">
        <f t="shared" si="262"/>
        <v>4.6775044633524434</v>
      </c>
      <c r="AE423" s="169">
        <f t="shared" si="263"/>
        <v>135.96833607141758</v>
      </c>
      <c r="AF423" s="98" t="str">
        <f t="shared" si="249"/>
        <v>-0.0000114342530449913</v>
      </c>
      <c r="AG423" s="98" t="str">
        <f t="shared" si="250"/>
        <v>0.0846334476467858i</v>
      </c>
      <c r="AH423" s="98">
        <f t="shared" si="264"/>
        <v>8.4633447646785806E-2</v>
      </c>
      <c r="AI423" s="98">
        <f t="shared" si="265"/>
        <v>1.5707963267948966</v>
      </c>
      <c r="AJ423" s="98" t="str">
        <f t="shared" si="251"/>
        <v>1+0.775160501767587i</v>
      </c>
      <c r="AK423" s="98">
        <f t="shared" si="266"/>
        <v>1.2652564180831398</v>
      </c>
      <c r="AL423" s="98">
        <f t="shared" si="267"/>
        <v>0.65941033497557233</v>
      </c>
      <c r="AM423" s="98" t="str">
        <f t="shared" si="252"/>
        <v>1+1861.16036474398i</v>
      </c>
      <c r="AN423" s="98">
        <f t="shared" si="268"/>
        <v>1861.1606333935674</v>
      </c>
      <c r="AO423" s="98">
        <f t="shared" si="269"/>
        <v>1.5702590276331947</v>
      </c>
      <c r="AP423" s="168" t="str">
        <f t="shared" si="270"/>
        <v>-0.157004299409763+0.121838634750796i</v>
      </c>
      <c r="AQ423" s="98">
        <f t="shared" si="271"/>
        <v>-14.034578493875266</v>
      </c>
      <c r="AR423" s="169">
        <f t="shared" si="272"/>
        <v>142.18778586429056</v>
      </c>
      <c r="AS423" s="168" t="str">
        <f t="shared" si="273"/>
        <v>0.0483102891628223-0.337078548880451i</v>
      </c>
      <c r="AT423" s="190">
        <f t="shared" si="274"/>
        <v>-9.3570740305228171</v>
      </c>
      <c r="AU423" s="169">
        <f t="shared" si="275"/>
        <v>-81.843878064291857</v>
      </c>
      <c r="AV423" s="225"/>
      <c r="AX423">
        <f t="shared" si="276"/>
        <v>0</v>
      </c>
      <c r="AY423">
        <f t="shared" si="277"/>
        <v>0</v>
      </c>
    </row>
    <row r="424" spans="14:51" x14ac:dyDescent="0.2">
      <c r="N424" s="170">
        <v>6</v>
      </c>
      <c r="O424" s="199">
        <f t="shared" si="278"/>
        <v>114815.36214968823</v>
      </c>
      <c r="P424" s="189" t="str">
        <f t="shared" si="244"/>
        <v>1757.57575757576</v>
      </c>
      <c r="Q424" s="160" t="str">
        <f t="shared" si="245"/>
        <v>1+41601.0906646849i</v>
      </c>
      <c r="R424" s="160">
        <f t="shared" si="253"/>
        <v>41601.090676703818</v>
      </c>
      <c r="S424" s="160">
        <f t="shared" si="254"/>
        <v>1.5707722889635842</v>
      </c>
      <c r="T424" s="160" t="str">
        <f t="shared" si="246"/>
        <v>1+201.993735019279i</v>
      </c>
      <c r="U424" s="160">
        <f t="shared" si="255"/>
        <v>201.99621032840864</v>
      </c>
      <c r="V424" s="160">
        <f t="shared" si="256"/>
        <v>1.5658457186466579</v>
      </c>
      <c r="W424" s="98" t="str">
        <f t="shared" si="247"/>
        <v>1-0.13000340832714i</v>
      </c>
      <c r="X424" s="160">
        <f t="shared" si="257"/>
        <v>1.0084150366672806</v>
      </c>
      <c r="Y424" s="160">
        <f t="shared" si="258"/>
        <v>-0.12927835573036836</v>
      </c>
      <c r="Z424" s="98" t="str">
        <f t="shared" si="248"/>
        <v>-4.27302695422563-3.05610106899805i</v>
      </c>
      <c r="AA424" s="160">
        <f t="shared" si="259"/>
        <v>5.2534286989993291</v>
      </c>
      <c r="AB424" s="160">
        <f t="shared" si="260"/>
        <v>-2.5207330398161911</v>
      </c>
      <c r="AC424" s="171" t="str">
        <f t="shared" si="261"/>
        <v>-1.19293283594368+1.12267064033172i</v>
      </c>
      <c r="AD424" s="190">
        <f t="shared" si="262"/>
        <v>4.286980582086751</v>
      </c>
      <c r="AE424" s="169">
        <f t="shared" si="263"/>
        <v>136.73798860827512</v>
      </c>
      <c r="AF424" s="98" t="str">
        <f t="shared" si="249"/>
        <v>-0.0000114342530449913</v>
      </c>
      <c r="AG424" s="98" t="str">
        <f t="shared" si="250"/>
        <v>0.0866048138895158i</v>
      </c>
      <c r="AH424" s="98">
        <f t="shared" si="264"/>
        <v>8.6604813889515797E-2</v>
      </c>
      <c r="AI424" s="98">
        <f t="shared" si="265"/>
        <v>1.5707963267948966</v>
      </c>
      <c r="AJ424" s="98" t="str">
        <f t="shared" si="251"/>
        <v>1+0.793216309351603i</v>
      </c>
      <c r="AK424" s="98">
        <f t="shared" si="266"/>
        <v>1.2763981014641859</v>
      </c>
      <c r="AL424" s="98">
        <f t="shared" si="267"/>
        <v>0.67059083604581105</v>
      </c>
      <c r="AM424" s="98" t="str">
        <f t="shared" si="252"/>
        <v>1+1904.5123587532i</v>
      </c>
      <c r="AN424" s="98">
        <f t="shared" si="268"/>
        <v>1904.5126212875768</v>
      </c>
      <c r="AO424" s="98">
        <f t="shared" si="269"/>
        <v>1.5702712580530189</v>
      </c>
      <c r="AP424" s="168" t="str">
        <f t="shared" si="270"/>
        <v>-0.15427528030087+0.122505696379881i</v>
      </c>
      <c r="AQ424" s="98">
        <f t="shared" si="271"/>
        <v>-14.110730561822376</v>
      </c>
      <c r="AR424" s="169">
        <f t="shared" si="272"/>
        <v>141.54789109156189</v>
      </c>
      <c r="AS424" s="168" t="str">
        <f t="shared" si="273"/>
        <v>0.0465064990462387-0.31934139552444i</v>
      </c>
      <c r="AT424" s="190">
        <f t="shared" si="274"/>
        <v>-9.8237499797356289</v>
      </c>
      <c r="AU424" s="169">
        <f t="shared" si="275"/>
        <v>-81.714120300163003</v>
      </c>
      <c r="AV424" s="225"/>
      <c r="AX424">
        <f t="shared" si="276"/>
        <v>0</v>
      </c>
      <c r="AY424">
        <f t="shared" si="277"/>
        <v>0</v>
      </c>
    </row>
    <row r="425" spans="14:51" x14ac:dyDescent="0.2">
      <c r="N425" s="170">
        <v>7</v>
      </c>
      <c r="O425" s="199">
        <f t="shared" si="278"/>
        <v>117489.75549395311</v>
      </c>
      <c r="P425" s="189" t="str">
        <f t="shared" si="244"/>
        <v>1757.57575757576</v>
      </c>
      <c r="Q425" s="160" t="str">
        <f t="shared" si="245"/>
        <v>1+42570.1045484084i</v>
      </c>
      <c r="R425" s="160">
        <f t="shared" si="253"/>
        <v>42570.104560153726</v>
      </c>
      <c r="S425" s="160">
        <f t="shared" si="254"/>
        <v>1.570772836131427</v>
      </c>
      <c r="T425" s="160" t="str">
        <f t="shared" si="246"/>
        <v>1+206.698773529844i</v>
      </c>
      <c r="U425" s="160">
        <f t="shared" si="255"/>
        <v>206.70119249472592</v>
      </c>
      <c r="V425" s="160">
        <f t="shared" si="256"/>
        <v>1.5659584064672316</v>
      </c>
      <c r="W425" s="98" t="str">
        <f t="shared" si="247"/>
        <v>1-0.133031576713776i</v>
      </c>
      <c r="X425" s="160">
        <f t="shared" si="257"/>
        <v>1.0088098930933187</v>
      </c>
      <c r="Y425" s="160">
        <f t="shared" si="258"/>
        <v>-0.13225503482281772</v>
      </c>
      <c r="Z425" s="98" t="str">
        <f t="shared" si="248"/>
        <v>-4.52153705841156-3.12728680760743i</v>
      </c>
      <c r="AA425" s="160">
        <f t="shared" si="259"/>
        <v>5.4976558775194846</v>
      </c>
      <c r="AB425" s="160">
        <f t="shared" si="260"/>
        <v>-2.5364978579270865</v>
      </c>
      <c r="AC425" s="171" t="str">
        <f t="shared" si="261"/>
        <v>-1.1541333869733+1.05841657168481i</v>
      </c>
      <c r="AD425" s="190">
        <f t="shared" si="262"/>
        <v>3.8956819915511653</v>
      </c>
      <c r="AE425" s="169">
        <f t="shared" si="263"/>
        <v>137.47712018797191</v>
      </c>
      <c r="AF425" s="98" t="str">
        <f t="shared" si="249"/>
        <v>-0.0000114342530449913</v>
      </c>
      <c r="AG425" s="98" t="str">
        <f t="shared" si="250"/>
        <v>0.0886220991509206i</v>
      </c>
      <c r="AH425" s="98">
        <f t="shared" si="264"/>
        <v>8.8622099150920605E-2</v>
      </c>
      <c r="AI425" s="98">
        <f t="shared" si="265"/>
        <v>1.5707963267948966</v>
      </c>
      <c r="AJ425" s="98" t="str">
        <f t="shared" si="251"/>
        <v>1+0.8116926907223i</v>
      </c>
      <c r="AK425" s="98">
        <f t="shared" si="266"/>
        <v>1.2879615771334203</v>
      </c>
      <c r="AL425" s="98">
        <f t="shared" si="267"/>
        <v>0.6818300775848315</v>
      </c>
      <c r="AM425" s="98" t="str">
        <f t="shared" si="252"/>
        <v>1+1948.87415042424i</v>
      </c>
      <c r="AN425" s="98">
        <f t="shared" si="268"/>
        <v>1948.8744069826057</v>
      </c>
      <c r="AO425" s="98">
        <f t="shared" si="269"/>
        <v>1.5702832100746511</v>
      </c>
      <c r="AP425" s="168" t="str">
        <f t="shared" si="270"/>
        <v>-0.151517511461028+0.123114679162522i</v>
      </c>
      <c r="AQ425" s="98">
        <f t="shared" si="271"/>
        <v>-14.189065769014523</v>
      </c>
      <c r="AR425" s="169">
        <f t="shared" si="272"/>
        <v>140.90461478684423</v>
      </c>
      <c r="AS425" s="168" t="str">
        <f t="shared" si="273"/>
        <v>0.0445648020450102-0.302459406678768i</v>
      </c>
      <c r="AT425" s="190">
        <f t="shared" si="274"/>
        <v>-10.293383777463351</v>
      </c>
      <c r="AU425" s="169">
        <f t="shared" si="275"/>
        <v>-81.61826502518386</v>
      </c>
      <c r="AV425" s="225"/>
      <c r="AX425">
        <f t="shared" si="276"/>
        <v>0</v>
      </c>
      <c r="AY425">
        <f t="shared" si="277"/>
        <v>0</v>
      </c>
    </row>
    <row r="426" spans="14:51" x14ac:dyDescent="0.2">
      <c r="N426" s="170">
        <v>8</v>
      </c>
      <c r="O426" s="199">
        <f t="shared" si="278"/>
        <v>120226.44346174144</v>
      </c>
      <c r="P426" s="189" t="str">
        <f t="shared" si="244"/>
        <v>1757.57575757576</v>
      </c>
      <c r="Q426" s="160" t="str">
        <f t="shared" si="245"/>
        <v>1+43561.6896650454i</v>
      </c>
      <c r="R426" s="160">
        <f t="shared" si="253"/>
        <v>43561.689676523369</v>
      </c>
      <c r="S426" s="160">
        <f t="shared" si="254"/>
        <v>1.5707733708442089</v>
      </c>
      <c r="T426" s="160" t="str">
        <f t="shared" si="246"/>
        <v>1+211.513406466116i</v>
      </c>
      <c r="U426" s="160">
        <f t="shared" si="255"/>
        <v>211.51577036925735</v>
      </c>
      <c r="V426" s="160">
        <f t="shared" si="256"/>
        <v>1.5660685293185723</v>
      </c>
      <c r="W426" s="98" t="str">
        <f t="shared" si="247"/>
        <v>1-0.136130280203267i</v>
      </c>
      <c r="X426" s="160">
        <f t="shared" si="257"/>
        <v>1.0092231929500133</v>
      </c>
      <c r="Y426" s="160">
        <f t="shared" si="258"/>
        <v>-0.13529861072347624</v>
      </c>
      <c r="Z426" s="98" t="str">
        <f t="shared" si="248"/>
        <v>-4.78175908298373-3.20013067507674i</v>
      </c>
      <c r="AA426" s="160">
        <f t="shared" si="259"/>
        <v>5.7537862547425691</v>
      </c>
      <c r="AB426" s="160">
        <f t="shared" si="260"/>
        <v>-2.5518126162939958</v>
      </c>
      <c r="AC426" s="171" t="str">
        <f t="shared" si="261"/>
        <v>-1.11564916916159+0.997979080824858i</v>
      </c>
      <c r="AD426" s="190">
        <f t="shared" si="262"/>
        <v>3.503711765593629</v>
      </c>
      <c r="AE426" s="169">
        <f t="shared" si="263"/>
        <v>138.18648609074708</v>
      </c>
      <c r="AF426" s="98" t="str">
        <f t="shared" si="249"/>
        <v>-0.0000114342530449913</v>
      </c>
      <c r="AG426" s="98" t="str">
        <f t="shared" si="250"/>
        <v>0.0906863730223472i</v>
      </c>
      <c r="AH426" s="98">
        <f t="shared" si="264"/>
        <v>9.0686373022347194E-2</v>
      </c>
      <c r="AI426" s="98">
        <f t="shared" si="265"/>
        <v>1.5707963267948966</v>
      </c>
      <c r="AJ426" s="98" t="str">
        <f t="shared" si="251"/>
        <v>1+0.830599442301639i</v>
      </c>
      <c r="AK426" s="98">
        <f t="shared" si="266"/>
        <v>1.2999597815131796</v>
      </c>
      <c r="AL426" s="98">
        <f t="shared" si="267"/>
        <v>0.69312266145985424</v>
      </c>
      <c r="AM426" s="98" t="str">
        <f t="shared" si="252"/>
        <v>1+1994.26926096623i</v>
      </c>
      <c r="AN426" s="98">
        <f t="shared" si="268"/>
        <v>1994.2695116846148</v>
      </c>
      <c r="AO426" s="98">
        <f t="shared" si="269"/>
        <v>1.5702948900351972</v>
      </c>
      <c r="AP426" s="168" t="str">
        <f t="shared" si="270"/>
        <v>-0.148733504435703+0.123664051516257i</v>
      </c>
      <c r="AQ426" s="98">
        <f t="shared" si="271"/>
        <v>-14.269606000300774</v>
      </c>
      <c r="AR426" s="169">
        <f t="shared" si="272"/>
        <v>140.25826660345197</v>
      </c>
      <c r="AS426" s="168" t="str">
        <f t="shared" si="273"/>
        <v>0.0425202741869116-0.286398622373871i</v>
      </c>
      <c r="AT426" s="190">
        <f t="shared" si="274"/>
        <v>-10.765894234707149</v>
      </c>
      <c r="AU426" s="169">
        <f t="shared" si="275"/>
        <v>-81.555247305800961</v>
      </c>
      <c r="AV426" s="225"/>
      <c r="AX426">
        <f t="shared" si="276"/>
        <v>0</v>
      </c>
      <c r="AY426">
        <f t="shared" si="277"/>
        <v>0</v>
      </c>
    </row>
    <row r="427" spans="14:51" x14ac:dyDescent="0.2">
      <c r="N427" s="170">
        <v>9</v>
      </c>
      <c r="O427" s="199">
        <f t="shared" si="278"/>
        <v>123026.87708123829</v>
      </c>
      <c r="P427" s="189" t="str">
        <f t="shared" si="244"/>
        <v>1757.57575757576</v>
      </c>
      <c r="Q427" s="160" t="str">
        <f t="shared" si="245"/>
        <v>1+44576.3717661499i</v>
      </c>
      <c r="R427" s="160">
        <f t="shared" si="253"/>
        <v>44576.371777366607</v>
      </c>
      <c r="S427" s="160">
        <f t="shared" si="254"/>
        <v>1.570773893385442</v>
      </c>
      <c r="T427" s="160" t="str">
        <f t="shared" si="246"/>
        <v>1+216.440186610207i</v>
      </c>
      <c r="U427" s="160">
        <f t="shared" si="255"/>
        <v>216.44249670492445</v>
      </c>
      <c r="V427" s="160">
        <f t="shared" si="256"/>
        <v>1.5661761455785839</v>
      </c>
      <c r="W427" s="98" t="str">
        <f t="shared" si="247"/>
        <v>1-0.139301161769218i</v>
      </c>
      <c r="X427" s="160">
        <f t="shared" si="257"/>
        <v>1.0096557896977829</v>
      </c>
      <c r="Y427" s="160">
        <f t="shared" si="258"/>
        <v>-0.1384104715076743</v>
      </c>
      <c r="Z427" s="98" t="str">
        <f t="shared" si="248"/>
        <v>-5.05424499374485-3.2746712941887i</v>
      </c>
      <c r="AA427" s="160">
        <f t="shared" si="259"/>
        <v>6.0223637005563173</v>
      </c>
      <c r="AB427" s="160">
        <f t="shared" si="260"/>
        <v>-2.5666915060049926</v>
      </c>
      <c r="AC427" s="171" t="str">
        <f t="shared" si="261"/>
        <v>-1.07760232566516+0.941151810240907i</v>
      </c>
      <c r="AD427" s="190">
        <f t="shared" si="262"/>
        <v>3.1111646407739126</v>
      </c>
      <c r="AE427" s="169">
        <f t="shared" si="263"/>
        <v>138.86682320375928</v>
      </c>
      <c r="AF427" s="98" t="str">
        <f t="shared" si="249"/>
        <v>-0.0000114342530449913</v>
      </c>
      <c r="AG427" s="98" t="str">
        <f t="shared" si="250"/>
        <v>0.0927987300091263i</v>
      </c>
      <c r="AH427" s="98">
        <f t="shared" si="264"/>
        <v>9.2798730009126307E-2</v>
      </c>
      <c r="AI427" s="98">
        <f t="shared" si="265"/>
        <v>1.5707963267948966</v>
      </c>
      <c r="AJ427" s="98" t="str">
        <f t="shared" si="251"/>
        <v>1+0.849946588699569i</v>
      </c>
      <c r="AK427" s="98">
        <f t="shared" si="266"/>
        <v>1.3124058837272996</v>
      </c>
      <c r="AL427" s="98">
        <f t="shared" si="267"/>
        <v>0.70446305541307253</v>
      </c>
      <c r="AM427" s="98" t="str">
        <f t="shared" si="252"/>
        <v>1+2040.72175946767i</v>
      </c>
      <c r="AN427" s="98">
        <f t="shared" si="268"/>
        <v>2040.7220044790085</v>
      </c>
      <c r="AO427" s="98">
        <f t="shared" si="269"/>
        <v>1.5703063041275145</v>
      </c>
      <c r="AP427" s="168" t="str">
        <f t="shared" si="270"/>
        <v>-0.14592587489116+0.124152415186652i</v>
      </c>
      <c r="AQ427" s="98">
        <f t="shared" si="271"/>
        <v>-14.352371100032473</v>
      </c>
      <c r="AR427" s="169">
        <f t="shared" si="272"/>
        <v>139.60916387123359</v>
      </c>
      <c r="AS427" s="168" t="str">
        <f t="shared" si="273"/>
        <v>0.040403791858739-0.271125332656886i</v>
      </c>
      <c r="AT427" s="190">
        <f t="shared" si="274"/>
        <v>-11.241206459258564</v>
      </c>
      <c r="AU427" s="169">
        <f t="shared" si="275"/>
        <v>-81.524012925007128</v>
      </c>
      <c r="AV427" s="225"/>
      <c r="AX427">
        <f t="shared" si="276"/>
        <v>0</v>
      </c>
      <c r="AY427">
        <f t="shared" si="277"/>
        <v>0</v>
      </c>
    </row>
    <row r="428" spans="14:51" x14ac:dyDescent="0.2">
      <c r="N428" s="170">
        <v>10</v>
      </c>
      <c r="O428" s="199">
        <f t="shared" si="278"/>
        <v>125892.54117941685</v>
      </c>
      <c r="P428" s="189" t="str">
        <f t="shared" si="244"/>
        <v>1757.57575757576</v>
      </c>
      <c r="Q428" s="160" t="str">
        <f t="shared" si="245"/>
        <v>1+45614.6888496029i</v>
      </c>
      <c r="R428" s="160">
        <f t="shared" si="253"/>
        <v>45614.688860564282</v>
      </c>
      <c r="S428" s="160">
        <f t="shared" si="254"/>
        <v>1.5707744040321845</v>
      </c>
      <c r="T428" s="160" t="str">
        <f t="shared" si="246"/>
        <v>1+221.481726206164i</v>
      </c>
      <c r="U428" s="160">
        <f t="shared" si="255"/>
        <v>221.48398371724807</v>
      </c>
      <c r="V428" s="160">
        <f t="shared" si="256"/>
        <v>1.5662813122968549</v>
      </c>
      <c r="W428" s="98" t="str">
        <f t="shared" si="247"/>
        <v>1-0.142545902655009i</v>
      </c>
      <c r="X428" s="160">
        <f t="shared" si="257"/>
        <v>1.0101085755322203</v>
      </c>
      <c r="Y428" s="160">
        <f t="shared" si="258"/>
        <v>-0.14159202592432621</v>
      </c>
      <c r="Z428" s="98" t="str">
        <f t="shared" si="248"/>
        <v>-5.33957276984448-3.35094818736625i</v>
      </c>
      <c r="AA428" s="160">
        <f t="shared" si="259"/>
        <v>6.3039583690628707</v>
      </c>
      <c r="AB428" s="160">
        <f t="shared" si="260"/>
        <v>-2.5811483897987282</v>
      </c>
      <c r="AC428" s="171" t="str">
        <f t="shared" si="261"/>
        <v>-1.04009708775632+0.887735256555548i</v>
      </c>
      <c r="AD428" s="190">
        <f t="shared" si="262"/>
        <v>2.7181276974722968</v>
      </c>
      <c r="AE428" s="169">
        <f t="shared" si="263"/>
        <v>139.51884834088528</v>
      </c>
      <c r="AF428" s="98" t="str">
        <f t="shared" si="249"/>
        <v>-0.0000114342530449913</v>
      </c>
      <c r="AG428" s="98" t="str">
        <f t="shared" si="250"/>
        <v>0.0949602901108927i</v>
      </c>
      <c r="AH428" s="98">
        <f t="shared" si="264"/>
        <v>9.4960290110892701E-2</v>
      </c>
      <c r="AI428" s="98">
        <f t="shared" si="265"/>
        <v>1.5707963267948966</v>
      </c>
      <c r="AJ428" s="98" t="str">
        <f t="shared" si="251"/>
        <v>1+0.869744388029202i</v>
      </c>
      <c r="AK428" s="98">
        <f t="shared" si="266"/>
        <v>1.3253132839099935</v>
      </c>
      <c r="AL428" s="98">
        <f t="shared" si="267"/>
        <v>0.71584560566362121</v>
      </c>
      <c r="AM428" s="98" t="str">
        <f t="shared" si="252"/>
        <v>1+2088.25627565811i</v>
      </c>
      <c r="AN428" s="98">
        <f t="shared" si="268"/>
        <v>2088.2565150923101</v>
      </c>
      <c r="AO428" s="98">
        <f t="shared" si="269"/>
        <v>1.5703174584034936</v>
      </c>
      <c r="AP428" s="168" t="str">
        <f t="shared" si="270"/>
        <v>-0.143097333526971+0.124578513667005i</v>
      </c>
      <c r="AQ428" s="98">
        <f t="shared" si="271"/>
        <v>-14.437378792773226</v>
      </c>
      <c r="AR428" s="169">
        <f t="shared" si="272"/>
        <v>138.95763087471886</v>
      </c>
      <c r="AS428" s="168" t="str">
        <f t="shared" si="273"/>
        <v>0.0382423810756098-0.256606297353043i</v>
      </c>
      <c r="AT428" s="190">
        <f t="shared" si="274"/>
        <v>-11.719251095300937</v>
      </c>
      <c r="AU428" s="169">
        <f t="shared" si="275"/>
        <v>-81.52352078439587</v>
      </c>
      <c r="AV428" s="225"/>
      <c r="AX428">
        <f t="shared" si="276"/>
        <v>0</v>
      </c>
      <c r="AY428">
        <f t="shared" si="277"/>
        <v>0</v>
      </c>
    </row>
    <row r="429" spans="14:51" x14ac:dyDescent="0.2">
      <c r="N429" s="170">
        <v>11</v>
      </c>
      <c r="O429" s="199">
        <f t="shared" si="278"/>
        <v>128824.95516931375</v>
      </c>
      <c r="P429" s="189" t="str">
        <f t="shared" si="244"/>
        <v>1757.57575757576</v>
      </c>
      <c r="Q429" s="160" t="str">
        <f t="shared" si="245"/>
        <v>1+46677.1914448657i</v>
      </c>
      <c r="R429" s="160">
        <f t="shared" si="253"/>
        <v>46677.191455577566</v>
      </c>
      <c r="S429" s="160">
        <f t="shared" si="254"/>
        <v>1.5707749030551879</v>
      </c>
      <c r="T429" s="160" t="str">
        <f t="shared" si="246"/>
        <v>1+226.640698345012i</v>
      </c>
      <c r="U429" s="160">
        <f t="shared" si="255"/>
        <v>226.64290446937608</v>
      </c>
      <c r="V429" s="160">
        <f t="shared" si="256"/>
        <v>1.5663840852248614</v>
      </c>
      <c r="W429" s="98" t="str">
        <f t="shared" si="247"/>
        <v>1-0.145866223265205i</v>
      </c>
      <c r="X429" s="160">
        <f t="shared" si="257"/>
        <v>1.0105824830708547</v>
      </c>
      <c r="Y429" s="160">
        <f t="shared" si="258"/>
        <v>-0.14484470310383898</v>
      </c>
      <c r="Z429" s="98" t="str">
        <f t="shared" si="248"/>
        <v>-5.63834762975028-3.42900179762778i</v>
      </c>
      <c r="AA429" s="160">
        <f t="shared" si="259"/>
        <v>6.5991679264923349</v>
      </c>
      <c r="AB429" s="160">
        <f t="shared" si="260"/>
        <v>-2.595196779357583</v>
      </c>
      <c r="AC429" s="171" t="str">
        <f t="shared" si="261"/>
        <v>-1.0032215646691+0.837537317560186i</v>
      </c>
      <c r="AD429" s="190">
        <f t="shared" si="262"/>
        <v>2.324681004501342</v>
      </c>
      <c r="AE429" s="169">
        <f t="shared" si="263"/>
        <v>140.14325696016942</v>
      </c>
      <c r="AF429" s="98" t="str">
        <f t="shared" si="249"/>
        <v>-0.0000114342530449913</v>
      </c>
      <c r="AG429" s="98" t="str">
        <f t="shared" si="250"/>
        <v>0.097172199415424i</v>
      </c>
      <c r="AH429" s="98">
        <f t="shared" si="264"/>
        <v>9.7172199415424002E-2</v>
      </c>
      <c r="AI429" s="98">
        <f t="shared" si="265"/>
        <v>1.5707963267948966</v>
      </c>
      <c r="AJ429" s="98" t="str">
        <f t="shared" si="251"/>
        <v>1+0.890003337345797i</v>
      </c>
      <c r="AK429" s="98">
        <f t="shared" si="266"/>
        <v>1.3386956115886302</v>
      </c>
      <c r="AL429" s="98">
        <f t="shared" si="267"/>
        <v>0.72726455024782899</v>
      </c>
      <c r="AM429" s="98" t="str">
        <f t="shared" si="252"/>
        <v>1+2136.89801296726i</v>
      </c>
      <c r="AN429" s="98">
        <f t="shared" si="268"/>
        <v>2136.898246951273</v>
      </c>
      <c r="AO429" s="98">
        <f t="shared" si="269"/>
        <v>1.5703283587772685</v>
      </c>
      <c r="AP429" s="168" t="str">
        <f t="shared" si="270"/>
        <v>-0.140250676192612+0.124941239879926i</v>
      </c>
      <c r="AQ429" s="98">
        <f t="shared" si="271"/>
        <v>-14.524644611560547</v>
      </c>
      <c r="AR429" s="169">
        <f t="shared" si="272"/>
        <v>138.30399808896223</v>
      </c>
      <c r="AS429" s="168" t="str">
        <f t="shared" si="273"/>
        <v>0.0360595519141745-0.242808921288399i</v>
      </c>
      <c r="AT429" s="190">
        <f t="shared" si="274"/>
        <v>-12.199963607059212</v>
      </c>
      <c r="AU429" s="169">
        <f t="shared" si="275"/>
        <v>-81.552744950868373</v>
      </c>
      <c r="AV429" s="225"/>
      <c r="AX429">
        <f t="shared" si="276"/>
        <v>0</v>
      </c>
      <c r="AY429">
        <f t="shared" si="277"/>
        <v>0</v>
      </c>
    </row>
    <row r="430" spans="14:51" x14ac:dyDescent="0.2">
      <c r="N430" s="170">
        <v>12</v>
      </c>
      <c r="O430" s="199">
        <f t="shared" si="278"/>
        <v>131825.67385564081</v>
      </c>
      <c r="P430" s="189" t="str">
        <f t="shared" si="244"/>
        <v>1757.57575757576</v>
      </c>
      <c r="Q430" s="160" t="str">
        <f t="shared" si="245"/>
        <v>1+47764.4429048782i</v>
      </c>
      <c r="R430" s="160">
        <f t="shared" si="253"/>
        <v>47764.442915346233</v>
      </c>
      <c r="S430" s="160">
        <f t="shared" si="254"/>
        <v>1.5707753907190412</v>
      </c>
      <c r="T430" s="160" t="str">
        <f t="shared" si="246"/>
        <v>1+231.919838382067i</v>
      </c>
      <c r="U430" s="160">
        <f t="shared" si="255"/>
        <v>231.9219942893819</v>
      </c>
      <c r="V430" s="160">
        <f t="shared" si="256"/>
        <v>1.5664845188454808</v>
      </c>
      <c r="W430" s="98" t="str">
        <f t="shared" si="247"/>
        <v>1-0.149263884077744i</v>
      </c>
      <c r="X430" s="160">
        <f t="shared" si="257"/>
        <v>1.0110784871067005</v>
      </c>
      <c r="Y430" s="160">
        <f t="shared" si="258"/>
        <v>-0.14816995221089743</v>
      </c>
      <c r="Z430" s="98" t="str">
        <f t="shared" si="248"/>
        <v>-5.95120331499752-3.50887351003061i</v>
      </c>
      <c r="AA430" s="160">
        <f t="shared" si="259"/>
        <v>6.9086188348925432</v>
      </c>
      <c r="AB430" s="160">
        <f t="shared" si="260"/>
        <v>-2.6088498185617288</v>
      </c>
      <c r="AC430" s="171" t="str">
        <f t="shared" si="261"/>
        <v>-0.967049408068003+0.79037366597608i</v>
      </c>
      <c r="AD430" s="190">
        <f t="shared" si="262"/>
        <v>1.9308982264476404</v>
      </c>
      <c r="AE430" s="169">
        <f t="shared" si="263"/>
        <v>140.74072222593168</v>
      </c>
      <c r="AF430" s="98" t="str">
        <f t="shared" si="249"/>
        <v>-0.0000114342530449913</v>
      </c>
      <c r="AG430" s="98" t="str">
        <f t="shared" si="250"/>
        <v>0.0994356307063112i</v>
      </c>
      <c r="AH430" s="98">
        <f t="shared" si="264"/>
        <v>9.9435630706311201E-2</v>
      </c>
      <c r="AI430" s="98">
        <f t="shared" si="265"/>
        <v>1.5707963267948966</v>
      </c>
      <c r="AJ430" s="98" t="str">
        <f t="shared" si="251"/>
        <v>1+0.910734178212436i</v>
      </c>
      <c r="AK430" s="98">
        <f t="shared" si="266"/>
        <v>1.3525667241819463</v>
      </c>
      <c r="AL430" s="98">
        <f t="shared" si="267"/>
        <v>0.73871403302614702</v>
      </c>
      <c r="AM430" s="98" t="str">
        <f t="shared" si="252"/>
        <v>1+2186.67276188806i</v>
      </c>
      <c r="AN430" s="98">
        <f t="shared" si="268"/>
        <v>2186.672990545947</v>
      </c>
      <c r="AO430" s="98">
        <f t="shared" si="269"/>
        <v>1.5703390110283508</v>
      </c>
      <c r="AP430" s="168" t="str">
        <f t="shared" si="270"/>
        <v>-0.137388773278837+0.125239643034924i</v>
      </c>
      <c r="AQ430" s="98">
        <f t="shared" si="271"/>
        <v>-14.614181834325642</v>
      </c>
      <c r="AR430" s="169">
        <f t="shared" si="272"/>
        <v>137.64860137718603</v>
      </c>
      <c r="AS430" s="168" t="str">
        <f t="shared" si="273"/>
        <v>0.0338756160834399-0.229701391063922i</v>
      </c>
      <c r="AT430" s="190">
        <f t="shared" si="274"/>
        <v>-12.683283607878003</v>
      </c>
      <c r="AU430" s="169">
        <f t="shared" si="275"/>
        <v>-81.610676396882269</v>
      </c>
      <c r="AV430" s="225"/>
      <c r="AX430">
        <f t="shared" si="276"/>
        <v>0</v>
      </c>
      <c r="AY430">
        <f t="shared" si="277"/>
        <v>0</v>
      </c>
    </row>
    <row r="431" spans="14:51" x14ac:dyDescent="0.2">
      <c r="N431" s="170">
        <v>13</v>
      </c>
      <c r="O431" s="199">
        <f t="shared" si="278"/>
        <v>134896.28825916545</v>
      </c>
      <c r="P431" s="189" t="str">
        <f t="shared" si="244"/>
        <v>1757.57575757576</v>
      </c>
      <c r="Q431" s="160" t="str">
        <f t="shared" si="245"/>
        <v>1+48877.019704756i</v>
      </c>
      <c r="R431" s="160">
        <f t="shared" si="253"/>
        <v>48877.019714985749</v>
      </c>
      <c r="S431" s="160">
        <f t="shared" si="254"/>
        <v>1.5707758672823098</v>
      </c>
      <c r="T431" s="160" t="str">
        <f t="shared" si="246"/>
        <v>1+237.321945387254i</v>
      </c>
      <c r="U431" s="160">
        <f t="shared" si="255"/>
        <v>237.32405222056775</v>
      </c>
      <c r="V431" s="160">
        <f t="shared" si="256"/>
        <v>1.5665826664018387</v>
      </c>
      <c r="W431" s="98" t="str">
        <f t="shared" si="247"/>
        <v>1-0.152740686577362i</v>
      </c>
      <c r="X431" s="160">
        <f t="shared" si="257"/>
        <v>1.0115976064306025</v>
      </c>
      <c r="Y431" s="160">
        <f t="shared" si="258"/>
        <v>-0.15156924203815511</v>
      </c>
      <c r="Z431" s="98" t="str">
        <f t="shared" si="248"/>
        <v>-6.27880343443995-3.5906056736139i</v>
      </c>
      <c r="AA431" s="160">
        <f t="shared" si="259"/>
        <v>7.2329676946412009</v>
      </c>
      <c r="AB431" s="160">
        <f t="shared" si="260"/>
        <v>-2.6221202718669505</v>
      </c>
      <c r="AC431" s="171" t="str">
        <f t="shared" si="261"/>
        <v>-0.931641350889037+0.746067977941116i</v>
      </c>
      <c r="AD431" s="190">
        <f t="shared" si="262"/>
        <v>1.5368471936831807</v>
      </c>
      <c r="AE431" s="169">
        <f t="shared" si="263"/>
        <v>141.31189436778757</v>
      </c>
      <c r="AF431" s="98" t="str">
        <f t="shared" si="249"/>
        <v>-0.0000114342530449913</v>
      </c>
      <c r="AG431" s="98" t="str">
        <f t="shared" si="250"/>
        <v>0.101751784084785i</v>
      </c>
      <c r="AH431" s="98">
        <f t="shared" si="264"/>
        <v>0.101751784084785</v>
      </c>
      <c r="AI431" s="98">
        <f t="shared" si="265"/>
        <v>1.5707963267948966</v>
      </c>
      <c r="AJ431" s="98" t="str">
        <f t="shared" si="251"/>
        <v>1+0.931947902395357i</v>
      </c>
      <c r="AK431" s="98">
        <f t="shared" si="266"/>
        <v>1.3669407056559204</v>
      </c>
      <c r="AL431" s="98">
        <f t="shared" si="267"/>
        <v>0.75018811827763066</v>
      </c>
      <c r="AM431" s="98" t="str">
        <f t="shared" si="252"/>
        <v>1+2237.60691365125i</v>
      </c>
      <c r="AN431" s="98">
        <f t="shared" si="268"/>
        <v>2237.6071371042494</v>
      </c>
      <c r="AO431" s="98">
        <f t="shared" si="269"/>
        <v>1.570349420804696</v>
      </c>
      <c r="AP431" s="168" t="str">
        <f t="shared" si="270"/>
        <v>-0.134514558464942+0.125472934583976i</v>
      </c>
      <c r="AQ431" s="98">
        <f t="shared" si="271"/>
        <v>-14.70600142901667</v>
      </c>
      <c r="AR431" s="169">
        <f t="shared" si="272"/>
        <v>136.99178115475331</v>
      </c>
      <c r="AS431" s="168" t="str">
        <f t="shared" si="273"/>
        <v>0.031707986371116-0.217252778913408i</v>
      </c>
      <c r="AT431" s="190">
        <f t="shared" si="274"/>
        <v>-13.169154235333513</v>
      </c>
      <c r="AU431" s="169">
        <f t="shared" si="275"/>
        <v>-81.6963244774591</v>
      </c>
      <c r="AV431" s="225"/>
      <c r="AX431">
        <f t="shared" si="276"/>
        <v>0</v>
      </c>
      <c r="AY431">
        <f t="shared" si="277"/>
        <v>0</v>
      </c>
    </row>
    <row r="432" spans="14:51" x14ac:dyDescent="0.2">
      <c r="N432" s="170">
        <v>14</v>
      </c>
      <c r="O432" s="199">
        <f t="shared" si="278"/>
        <v>138038.42646028858</v>
      </c>
      <c r="P432" s="189" t="str">
        <f t="shared" si="244"/>
        <v>1757.57575757576</v>
      </c>
      <c r="Q432" s="160" t="str">
        <f t="shared" si="245"/>
        <v>1+50015.5117474452i</v>
      </c>
      <c r="R432" s="160">
        <f t="shared" si="253"/>
        <v>50015.511757442095</v>
      </c>
      <c r="S432" s="160">
        <f t="shared" si="254"/>
        <v>1.5707763329976741</v>
      </c>
      <c r="T432" s="160" t="str">
        <f t="shared" si="246"/>
        <v>1+242.849883629213i</v>
      </c>
      <c r="U432" s="160">
        <f t="shared" si="255"/>
        <v>242.85194250555688</v>
      </c>
      <c r="V432" s="160">
        <f t="shared" si="256"/>
        <v>1.5666785799255014</v>
      </c>
      <c r="W432" s="98" t="str">
        <f t="shared" si="247"/>
        <v>1-0.156298474210766i</v>
      </c>
      <c r="X432" s="160">
        <f t="shared" si="257"/>
        <v>1.0121409057244022</v>
      </c>
      <c r="Y432" s="160">
        <f t="shared" si="258"/>
        <v>-0.15504406053670566</v>
      </c>
      <c r="Z432" s="98" t="str">
        <f t="shared" si="248"/>
        <v>-6.62184287185301-3.67424162385262i</v>
      </c>
      <c r="AA432" s="160">
        <f t="shared" si="259"/>
        <v>7.5729026489161768</v>
      </c>
      <c r="AB432" s="160">
        <f t="shared" si="260"/>
        <v>-2.6350205170567187</v>
      </c>
      <c r="AC432" s="171" t="str">
        <f t="shared" si="261"/>
        <v>-0.897046622740564+0.704452040893656i</v>
      </c>
      <c r="AD432" s="190">
        <f t="shared" si="262"/>
        <v>1.1425904355522074</v>
      </c>
      <c r="AE432" s="169">
        <f t="shared" si="263"/>
        <v>141.85740029388356</v>
      </c>
      <c r="AF432" s="98" t="str">
        <f t="shared" si="249"/>
        <v>-0.0000114342530449913</v>
      </c>
      <c r="AG432" s="98" t="str">
        <f t="shared" si="250"/>
        <v>0.104121887606025i</v>
      </c>
      <c r="AH432" s="98">
        <f t="shared" si="264"/>
        <v>0.104121887606025</v>
      </c>
      <c r="AI432" s="98">
        <f t="shared" si="265"/>
        <v>1.5707963267948966</v>
      </c>
      <c r="AJ432" s="98" t="str">
        <f t="shared" si="251"/>
        <v>1+0.953655757691917i</v>
      </c>
      <c r="AK432" s="98">
        <f t="shared" si="266"/>
        <v>1.3818318653797734</v>
      </c>
      <c r="AL432" s="98">
        <f t="shared" si="267"/>
        <v>0.76168080579608699</v>
      </c>
      <c r="AM432" s="98" t="str">
        <f t="shared" si="252"/>
        <v>1+2289.72747421829i</v>
      </c>
      <c r="AN432" s="98">
        <f t="shared" si="268"/>
        <v>2289.7276925848782</v>
      </c>
      <c r="AO432" s="98">
        <f t="shared" si="269"/>
        <v>1.5703595936256958</v>
      </c>
      <c r="AP432" s="168" t="str">
        <f t="shared" si="270"/>
        <v>-0.131631016912469+0.125640493206256i</v>
      </c>
      <c r="AQ432" s="98">
        <f t="shared" si="271"/>
        <v>-14.800112007902815</v>
      </c>
      <c r="AR432" s="169">
        <f t="shared" si="272"/>
        <v>136.33388152439198</v>
      </c>
      <c r="AS432" s="168" t="str">
        <f t="shared" si="273"/>
        <v>0.0295714573112038-0.205433118619027i</v>
      </c>
      <c r="AT432" s="190">
        <f t="shared" si="274"/>
        <v>-13.657521572350602</v>
      </c>
      <c r="AU432" s="169">
        <f t="shared" si="275"/>
        <v>-81.808718181724458</v>
      </c>
      <c r="AV432" s="225"/>
      <c r="AX432">
        <f t="shared" si="276"/>
        <v>0</v>
      </c>
      <c r="AY432">
        <f t="shared" si="277"/>
        <v>0</v>
      </c>
    </row>
    <row r="433" spans="14:51" x14ac:dyDescent="0.2">
      <c r="N433" s="170">
        <v>15</v>
      </c>
      <c r="O433" s="199">
        <f t="shared" si="278"/>
        <v>141253.75446227577</v>
      </c>
      <c r="P433" s="189" t="str">
        <f t="shared" si="244"/>
        <v>1757.57575757576</v>
      </c>
      <c r="Q433" s="160" t="str">
        <f t="shared" si="245"/>
        <v>1+51180.5226764965i</v>
      </c>
      <c r="R433" s="160">
        <f t="shared" si="253"/>
        <v>51180.522686265831</v>
      </c>
      <c r="S433" s="160">
        <f t="shared" si="254"/>
        <v>1.5707767881120622</v>
      </c>
      <c r="T433" s="160" t="str">
        <f t="shared" si="246"/>
        <v>1+248.506584093971i</v>
      </c>
      <c r="U433" s="160">
        <f t="shared" si="255"/>
        <v>248.50859610495141</v>
      </c>
      <c r="V433" s="160">
        <f t="shared" si="256"/>
        <v>1.5667723102640254</v>
      </c>
      <c r="W433" s="98" t="str">
        <f t="shared" si="247"/>
        <v>1-0.159939133364051i</v>
      </c>
      <c r="X433" s="160">
        <f t="shared" si="257"/>
        <v>1.0127094975269284</v>
      </c>
      <c r="Y433" s="160">
        <f t="shared" si="258"/>
        <v>-0.15859591427898453</v>
      </c>
      <c r="Z433" s="98" t="str">
        <f t="shared" si="248"/>
        <v>-6.98104925987557-3.75982570563465i</v>
      </c>
      <c r="AA433" s="160">
        <f t="shared" si="259"/>
        <v>7.9291448533596833</v>
      </c>
      <c r="AB433" s="160">
        <f t="shared" si="260"/>
        <v>-2.6475625417018338</v>
      </c>
      <c r="AC433" s="171" t="str">
        <f t="shared" si="261"/>
        <v>-0.863304245850005+0.66536576241223i</v>
      </c>
      <c r="AD433" s="190">
        <f t="shared" si="262"/>
        <v>0.74818567766468247</v>
      </c>
      <c r="AE433" s="169">
        <f t="shared" si="263"/>
        <v>142.3778434203935</v>
      </c>
      <c r="AF433" s="98" t="str">
        <f t="shared" si="249"/>
        <v>-0.0000114342530449913</v>
      </c>
      <c r="AG433" s="98" t="str">
        <f t="shared" si="250"/>
        <v>0.10654719793029i</v>
      </c>
      <c r="AH433" s="98">
        <f t="shared" si="264"/>
        <v>0.10654719793028999</v>
      </c>
      <c r="AI433" s="98">
        <f t="shared" si="265"/>
        <v>1.5707963267948966</v>
      </c>
      <c r="AJ433" s="98" t="str">
        <f t="shared" si="251"/>
        <v>1+0.975869253894334i</v>
      </c>
      <c r="AK433" s="98">
        <f t="shared" si="266"/>
        <v>1.3972547372244921</v>
      </c>
      <c r="AL433" s="98">
        <f t="shared" si="267"/>
        <v>0.77318604639622157</v>
      </c>
      <c r="AM433" s="98" t="str">
        <f t="shared" si="252"/>
        <v>1+2343.06207860029i</v>
      </c>
      <c r="AN433" s="98">
        <f t="shared" si="268"/>
        <v>2343.0622919962484</v>
      </c>
      <c r="AO433" s="98">
        <f t="shared" si="269"/>
        <v>1.5703695348851063</v>
      </c>
      <c r="AP433" s="168" t="str">
        <f t="shared" si="270"/>
        <v>-0.128741173004155+0.125741868763702i</v>
      </c>
      <c r="AQ433" s="98">
        <f t="shared" si="271"/>
        <v>-14.896519791459955</v>
      </c>
      <c r="AR433" s="169">
        <f t="shared" si="272"/>
        <v>135.67524938792897</v>
      </c>
      <c r="AS433" s="168" t="str">
        <f t="shared" si="273"/>
        <v>0.0274784668930979-0.194213457914572i</v>
      </c>
      <c r="AT433" s="190">
        <f t="shared" si="274"/>
        <v>-14.148334113795292</v>
      </c>
      <c r="AU433" s="169">
        <f t="shared" si="275"/>
        <v>-81.946907191677511</v>
      </c>
      <c r="AV433" s="225"/>
      <c r="AX433">
        <f t="shared" si="276"/>
        <v>0</v>
      </c>
      <c r="AY433">
        <f t="shared" si="277"/>
        <v>0</v>
      </c>
    </row>
    <row r="434" spans="14:51" x14ac:dyDescent="0.2">
      <c r="N434" s="170">
        <v>16</v>
      </c>
      <c r="O434" s="199">
        <f t="shared" si="278"/>
        <v>144543.97707459307</v>
      </c>
      <c r="P434" s="189" t="str">
        <f t="shared" si="244"/>
        <v>1757.57575757576</v>
      </c>
      <c r="Q434" s="160" t="str">
        <f t="shared" si="245"/>
        <v>1+52372.6701961251i</v>
      </c>
      <c r="R434" s="160">
        <f t="shared" si="253"/>
        <v>52372.670205672068</v>
      </c>
      <c r="S434" s="160">
        <f t="shared" si="254"/>
        <v>1.5707772328667824</v>
      </c>
      <c r="T434" s="160" t="str">
        <f t="shared" si="246"/>
        <v>1+254.295046038988i</v>
      </c>
      <c r="U434" s="160">
        <f t="shared" si="255"/>
        <v>254.29701225136529</v>
      </c>
      <c r="V434" s="160">
        <f t="shared" si="256"/>
        <v>1.5668639071078854</v>
      </c>
      <c r="W434" s="98" t="str">
        <f t="shared" si="247"/>
        <v>1-0.16366459436289i</v>
      </c>
      <c r="X434" s="160">
        <f t="shared" si="257"/>
        <v>1.0133045442748045</v>
      </c>
      <c r="Y434" s="160">
        <f t="shared" si="258"/>
        <v>-0.16222632784957311</v>
      </c>
      <c r="Z434" s="98" t="str">
        <f t="shared" si="248"/>
        <v>-7.35718452341621-3.84740329677298i</v>
      </c>
      <c r="AA434" s="160">
        <f t="shared" si="259"/>
        <v>8.3024500142797972</v>
      </c>
      <c r="AB434" s="160">
        <f t="shared" si="260"/>
        <v>-2.6597579427379459</v>
      </c>
      <c r="AC434" s="171" t="str">
        <f t="shared" si="261"/>
        <v>-0.830444216820007+0.628657098706844i</v>
      </c>
      <c r="AD434" s="190">
        <f t="shared" si="262"/>
        <v>0.35368630454984784</v>
      </c>
      <c r="AE434" s="169">
        <f t="shared" si="263"/>
        <v>142.87380368375207</v>
      </c>
      <c r="AF434" s="98" t="str">
        <f t="shared" si="249"/>
        <v>-0.0000114342530449913</v>
      </c>
      <c r="AG434" s="98" t="str">
        <f t="shared" si="250"/>
        <v>0.109029000989216i</v>
      </c>
      <c r="AH434" s="98">
        <f t="shared" si="264"/>
        <v>0.109029000989216</v>
      </c>
      <c r="AI434" s="98">
        <f t="shared" si="265"/>
        <v>1.5707963267948966</v>
      </c>
      <c r="AJ434" s="98" t="str">
        <f t="shared" si="251"/>
        <v>1+0.998600168892319i</v>
      </c>
      <c r="AK434" s="98">
        <f t="shared" si="266"/>
        <v>1.4132240789456454</v>
      </c>
      <c r="AL434" s="98">
        <f t="shared" si="267"/>
        <v>0.78469775773324146</v>
      </c>
      <c r="AM434" s="98" t="str">
        <f t="shared" si="252"/>
        <v>1+2397.63900551046i</v>
      </c>
      <c r="AN434" s="98">
        <f t="shared" si="268"/>
        <v>2397.6392140489334</v>
      </c>
      <c r="AO434" s="98">
        <f t="shared" si="269"/>
        <v>1.5703792498539071</v>
      </c>
      <c r="AP434" s="168" t="str">
        <f t="shared" si="270"/>
        <v>-0.125848077733717+0.125776785180671i</v>
      </c>
      <c r="AQ434" s="98">
        <f t="shared" si="271"/>
        <v>-14.995228582159708</v>
      </c>
      <c r="AR434" s="169">
        <f t="shared" si="272"/>
        <v>135.01623354005497</v>
      </c>
      <c r="AS434" s="168" t="str">
        <f t="shared" si="273"/>
        <v>0.0254393394955254-0.183565891289413i</v>
      </c>
      <c r="AT434" s="190">
        <f t="shared" si="274"/>
        <v>-14.641542277609837</v>
      </c>
      <c r="AU434" s="169">
        <f t="shared" si="275"/>
        <v>-82.109962776192987</v>
      </c>
      <c r="AV434" s="225"/>
      <c r="AX434">
        <f t="shared" si="276"/>
        <v>0</v>
      </c>
      <c r="AY434">
        <f t="shared" si="277"/>
        <v>0</v>
      </c>
    </row>
    <row r="435" spans="14:51" x14ac:dyDescent="0.2">
      <c r="N435" s="170">
        <v>17</v>
      </c>
      <c r="O435" s="199">
        <f t="shared" si="278"/>
        <v>147910.83881682079</v>
      </c>
      <c r="P435" s="189" t="str">
        <f t="shared" si="244"/>
        <v>1757.57575757576</v>
      </c>
      <c r="Q435" s="160" t="str">
        <f t="shared" si="245"/>
        <v>1+53592.5863987258i</v>
      </c>
      <c r="R435" s="160">
        <f t="shared" si="253"/>
        <v>53592.586408055438</v>
      </c>
      <c r="S435" s="160">
        <f t="shared" si="254"/>
        <v>1.570777667497649</v>
      </c>
      <c r="T435" s="160" t="str">
        <f t="shared" si="246"/>
        <v>1+260.218338583408i</v>
      </c>
      <c r="U435" s="160">
        <f t="shared" si="255"/>
        <v>260.22026003966175</v>
      </c>
      <c r="V435" s="160">
        <f t="shared" si="256"/>
        <v>1.5669534190167891</v>
      </c>
      <c r="W435" s="98" t="str">
        <f t="shared" si="247"/>
        <v>1-0.167476832496018i</v>
      </c>
      <c r="X435" s="160">
        <f t="shared" si="257"/>
        <v>1.0139272604200458</v>
      </c>
      <c r="Y435" s="160">
        <f t="shared" si="258"/>
        <v>-0.1659368431591558</v>
      </c>
      <c r="Z435" s="98" t="str">
        <f t="shared" si="248"/>
        <v>-7.75104649579822-3.93702083206565i</v>
      </c>
      <c r="AA435" s="160">
        <f t="shared" si="259"/>
        <v>8.6936099988523043</v>
      </c>
      <c r="AB435" s="160">
        <f t="shared" si="260"/>
        <v>-2.6716179286422088</v>
      </c>
      <c r="AC435" s="171" t="str">
        <f t="shared" si="261"/>
        <v>-0.798488580313285+0.594181918858158i</v>
      </c>
      <c r="AD435" s="190">
        <f t="shared" si="262"/>
        <v>-4.0858210851435352E-2</v>
      </c>
      <c r="AE435" s="169">
        <f t="shared" si="263"/>
        <v>143.34583770617519</v>
      </c>
      <c r="AF435" s="98" t="str">
        <f t="shared" si="249"/>
        <v>-0.0000114342530449913</v>
      </c>
      <c r="AG435" s="98" t="str">
        <f t="shared" si="250"/>
        <v>0.111568612667636i</v>
      </c>
      <c r="AH435" s="98">
        <f t="shared" si="264"/>
        <v>0.111568612667636</v>
      </c>
      <c r="AI435" s="98">
        <f t="shared" si="265"/>
        <v>1.5707963267948966</v>
      </c>
      <c r="AJ435" s="98" t="str">
        <f t="shared" si="251"/>
        <v>1+1.02186055491789i</v>
      </c>
      <c r="AK435" s="98">
        <f t="shared" si="266"/>
        <v>1.4297548718913666</v>
      </c>
      <c r="AL435" s="98">
        <f t="shared" si="267"/>
        <v>0.79620984033570674</v>
      </c>
      <c r="AM435" s="98" t="str">
        <f t="shared" si="252"/>
        <v>1+2453.48719235784i</v>
      </c>
      <c r="AN435" s="98">
        <f t="shared" si="268"/>
        <v>2453.4873961493981</v>
      </c>
      <c r="AO435" s="98">
        <f t="shared" si="269"/>
        <v>1.5703887436830954</v>
      </c>
      <c r="AP435" s="168" t="str">
        <f t="shared" si="270"/>
        <v>-0.122954795857459+0.125745142213395i</v>
      </c>
      <c r="AQ435" s="98">
        <f t="shared" si="271"/>
        <v>-15.096239748394225</v>
      </c>
      <c r="AR435" s="169">
        <f t="shared" si="272"/>
        <v>134.35718374987175</v>
      </c>
      <c r="AS435" s="168" t="str">
        <f t="shared" si="273"/>
        <v>0.0234625104994852-0.173463576622664i</v>
      </c>
      <c r="AT435" s="190">
        <f t="shared" si="274"/>
        <v>-15.137097959245658</v>
      </c>
      <c r="AU435" s="169">
        <f t="shared" si="275"/>
        <v>-82.296978543953074</v>
      </c>
      <c r="AV435" s="225"/>
      <c r="AX435">
        <f t="shared" si="276"/>
        <v>0</v>
      </c>
      <c r="AY435">
        <f t="shared" si="277"/>
        <v>0</v>
      </c>
    </row>
    <row r="436" spans="14:51" x14ac:dyDescent="0.2">
      <c r="N436" s="170">
        <v>18</v>
      </c>
      <c r="O436" s="199">
        <f t="shared" si="278"/>
        <v>151356.12484362084</v>
      </c>
      <c r="P436" s="189" t="str">
        <f t="shared" si="244"/>
        <v>1757.57575757576</v>
      </c>
      <c r="Q436" s="160" t="str">
        <f t="shared" si="245"/>
        <v>1+54840.918100017i</v>
      </c>
      <c r="R436" s="160">
        <f t="shared" si="253"/>
        <v>54840.918109134269</v>
      </c>
      <c r="S436" s="160">
        <f t="shared" si="254"/>
        <v>1.5707780922351093</v>
      </c>
      <c r="T436" s="160" t="str">
        <f t="shared" si="246"/>
        <v>1+266.279602335342i</v>
      </c>
      <c r="U436" s="160">
        <f t="shared" si="255"/>
        <v>266.28148005422361</v>
      </c>
      <c r="V436" s="160">
        <f t="shared" si="256"/>
        <v>1.5670408934453943</v>
      </c>
      <c r="W436" s="98" t="str">
        <f t="shared" si="247"/>
        <v>1-0.171377869062553i</v>
      </c>
      <c r="X436" s="160">
        <f t="shared" si="257"/>
        <v>1.0145789146263693</v>
      </c>
      <c r="Y436" s="160">
        <f t="shared" si="258"/>
        <v>-0.16972901867669063</v>
      </c>
      <c r="Z436" s="98" t="str">
        <f t="shared" si="248"/>
        <v>-8.16347061107111-4.02872582791612i</v>
      </c>
      <c r="AA436" s="160">
        <f t="shared" si="259"/>
        <v>9.1034545209134841</v>
      </c>
      <c r="AB436" s="160">
        <f t="shared" si="260"/>
        <v>-2.6831533237550271</v>
      </c>
      <c r="AC436" s="171" t="str">
        <f t="shared" si="261"/>
        <v>-0.767452401306452+0.561803818567406i</v>
      </c>
      <c r="AD436" s="190">
        <f t="shared" si="262"/>
        <v>-0.43540190922323496</v>
      </c>
      <c r="AE436" s="169">
        <f t="shared" si="263"/>
        <v>143.79447908873848</v>
      </c>
      <c r="AF436" s="98" t="str">
        <f t="shared" si="249"/>
        <v>-0.0000114342530449913</v>
      </c>
      <c r="AG436" s="98" t="str">
        <f t="shared" si="250"/>
        <v>0.114167379501278i</v>
      </c>
      <c r="AH436" s="98">
        <f t="shared" si="264"/>
        <v>0.114167379501278</v>
      </c>
      <c r="AI436" s="98">
        <f t="shared" si="265"/>
        <v>1.5707963267948966</v>
      </c>
      <c r="AJ436" s="98" t="str">
        <f t="shared" si="251"/>
        <v>1+1.0456627449356i</v>
      </c>
      <c r="AK436" s="98">
        <f t="shared" si="266"/>
        <v>1.4468623210749023</v>
      </c>
      <c r="AL436" s="98">
        <f t="shared" si="267"/>
        <v>0.80771619374881043</v>
      </c>
      <c r="AM436" s="98" t="str">
        <f t="shared" si="252"/>
        <v>1+2510.63625059036i</v>
      </c>
      <c r="AN436" s="98">
        <f t="shared" si="268"/>
        <v>2510.6364497430568</v>
      </c>
      <c r="AO436" s="98">
        <f t="shared" si="269"/>
        <v>1.5703980214064188</v>
      </c>
      <c r="AP436" s="168" t="str">
        <f t="shared" si="270"/>
        <v>-0.120064392922265+0.125647016088053i</v>
      </c>
      <c r="AQ436" s="98">
        <f t="shared" si="271"/>
        <v>-15.199552218681976</v>
      </c>
      <c r="AR436" s="169">
        <f t="shared" si="272"/>
        <v>133.69844983610508</v>
      </c>
      <c r="AS436" s="168" t="str">
        <f t="shared" si="273"/>
        <v>0.0215547332297252-0.163880738631473i</v>
      </c>
      <c r="AT436" s="190">
        <f t="shared" si="274"/>
        <v>-15.634954127905187</v>
      </c>
      <c r="AU436" s="169">
        <f t="shared" si="275"/>
        <v>-82.507071075156446</v>
      </c>
      <c r="AV436" s="225"/>
      <c r="AX436">
        <f t="shared" si="276"/>
        <v>0</v>
      </c>
      <c r="AY436">
        <f t="shared" si="277"/>
        <v>0</v>
      </c>
    </row>
    <row r="437" spans="14:51" x14ac:dyDescent="0.2">
      <c r="N437" s="170">
        <v>19</v>
      </c>
      <c r="O437" s="199">
        <f t="shared" si="278"/>
        <v>154881.66189124843</v>
      </c>
      <c r="P437" s="189" t="str">
        <f t="shared" si="244"/>
        <v>1757.57575757576</v>
      </c>
      <c r="Q437" s="160" t="str">
        <f t="shared" si="245"/>
        <v>1+56118.3271819902i</v>
      </c>
      <c r="R437" s="160">
        <f t="shared" si="253"/>
        <v>56118.327190899938</v>
      </c>
      <c r="S437" s="160">
        <f t="shared" si="254"/>
        <v>1.5707785073043645</v>
      </c>
      <c r="T437" s="160" t="str">
        <f t="shared" si="246"/>
        <v>1+272.482051057062i</v>
      </c>
      <c r="U437" s="160">
        <f t="shared" si="255"/>
        <v>272.48388603413474</v>
      </c>
      <c r="V437" s="160">
        <f t="shared" si="256"/>
        <v>1.5671263767684434</v>
      </c>
      <c r="W437" s="98" t="str">
        <f t="shared" si="247"/>
        <v>1-0.175369772443719i</v>
      </c>
      <c r="X437" s="160">
        <f t="shared" si="257"/>
        <v>1.0152608320461112</v>
      </c>
      <c r="Y437" s="160">
        <f t="shared" si="258"/>
        <v>-0.17360442857466341</v>
      </c>
      <c r="Z437" s="98" t="str">
        <f t="shared" si="248"/>
        <v>-8.59533167607802-4.12256690752706i</v>
      </c>
      <c r="AA437" s="160">
        <f t="shared" si="259"/>
        <v>9.5328529060731562</v>
      </c>
      <c r="AB437" s="160">
        <f t="shared" si="260"/>
        <v>-2.6943745743514205</v>
      </c>
      <c r="AC437" s="171" t="str">
        <f t="shared" si="261"/>
        <v>-0.737344642812047+0.53139389510515i</v>
      </c>
      <c r="AD437" s="190">
        <f t="shared" si="262"/>
        <v>-0.82990197671475963</v>
      </c>
      <c r="AE437" s="169">
        <f t="shared" si="263"/>
        <v>144.2202388096463</v>
      </c>
      <c r="AF437" s="98" t="str">
        <f t="shared" si="249"/>
        <v>-0.0000114342530449913</v>
      </c>
      <c r="AG437" s="98" t="str">
        <f t="shared" si="250"/>
        <v>0.116826679390715i</v>
      </c>
      <c r="AH437" s="98">
        <f t="shared" si="264"/>
        <v>0.116826679390715</v>
      </c>
      <c r="AI437" s="98">
        <f t="shared" si="265"/>
        <v>1.5707963267948966</v>
      </c>
      <c r="AJ437" s="98" t="str">
        <f t="shared" si="251"/>
        <v>1+1.07001935918165i</v>
      </c>
      <c r="AK437" s="98">
        <f t="shared" si="266"/>
        <v>1.4645618556495008</v>
      </c>
      <c r="AL437" s="98">
        <f t="shared" si="267"/>
        <v>0.81921073268402689</v>
      </c>
      <c r="AM437" s="98" t="str">
        <f t="shared" si="252"/>
        <v>1+2569.11648139515i</v>
      </c>
      <c r="AN437" s="98">
        <f t="shared" si="268"/>
        <v>2569.1166760145784</v>
      </c>
      <c r="AO437" s="98">
        <f t="shared" si="269"/>
        <v>1.5704070879430425</v>
      </c>
      <c r="AP437" s="168" t="str">
        <f t="shared" si="270"/>
        <v>-0.117179922286491+0.125482658999801i</v>
      </c>
      <c r="AQ437" s="98">
        <f t="shared" si="271"/>
        <v>-15.305162486205839</v>
      </c>
      <c r="AR437" s="169">
        <f t="shared" si="272"/>
        <v>133.04038074195154</v>
      </c>
      <c r="AS437" s="168" t="str">
        <f t="shared" si="273"/>
        <v>0.0197212690090206-0.154792661711251i</v>
      </c>
      <c r="AT437" s="190">
        <f t="shared" si="274"/>
        <v>-16.135064462920621</v>
      </c>
      <c r="AU437" s="169">
        <f t="shared" si="275"/>
        <v>-82.739380448402116</v>
      </c>
      <c r="AV437" s="225"/>
      <c r="AX437">
        <f t="shared" si="276"/>
        <v>0</v>
      </c>
      <c r="AY437">
        <f t="shared" si="277"/>
        <v>0</v>
      </c>
    </row>
    <row r="438" spans="14:51" x14ac:dyDescent="0.2">
      <c r="N438" s="170">
        <v>20</v>
      </c>
      <c r="O438" s="199">
        <f t="shared" si="278"/>
        <v>158489.31924611164</v>
      </c>
      <c r="P438" s="189" t="str">
        <f t="shared" si="244"/>
        <v>1757.57575757576</v>
      </c>
      <c r="Q438" s="160" t="str">
        <f t="shared" si="245"/>
        <v>1+57425.4909438491i</v>
      </c>
      <c r="R438" s="160">
        <f t="shared" si="253"/>
        <v>57425.490952556036</v>
      </c>
      <c r="S438" s="160">
        <f t="shared" si="254"/>
        <v>1.5707789129254901</v>
      </c>
      <c r="T438" s="160" t="str">
        <f t="shared" si="246"/>
        <v>1+278.828973368978i</v>
      </c>
      <c r="U438" s="160">
        <f t="shared" si="255"/>
        <v>278.83076657714486</v>
      </c>
      <c r="V438" s="160">
        <f t="shared" si="256"/>
        <v>1.5672099143053255</v>
      </c>
      <c r="W438" s="98" t="str">
        <f t="shared" si="247"/>
        <v>1-0.179454659199528i</v>
      </c>
      <c r="X438" s="160">
        <f t="shared" si="257"/>
        <v>1.0159743966795713</v>
      </c>
      <c r="Y438" s="160">
        <f t="shared" si="258"/>
        <v>-0.17756466178208113</v>
      </c>
      <c r="Z438" s="98" t="str">
        <f t="shared" si="248"/>
        <v>-9.0475457260384-4.21859382668097i</v>
      </c>
      <c r="AA438" s="160">
        <f t="shared" si="259"/>
        <v>9.9827159400268695</v>
      </c>
      <c r="AB438" s="160">
        <f t="shared" si="260"/>
        <v>-2.7052917561192169</v>
      </c>
      <c r="AC438" s="171" t="str">
        <f t="shared" si="261"/>
        <v>-0.70816895602537+0.502830493317101i</v>
      </c>
      <c r="AD438" s="190">
        <f t="shared" si="262"/>
        <v>-1.2243184048172844</v>
      </c>
      <c r="AE438" s="169">
        <f t="shared" si="263"/>
        <v>144.62360570836131</v>
      </c>
      <c r="AF438" s="98" t="str">
        <f t="shared" si="249"/>
        <v>-0.0000114342530449913</v>
      </c>
      <c r="AG438" s="98" t="str">
        <f t="shared" si="250"/>
        <v>0.119547922331949i</v>
      </c>
      <c r="AH438" s="98">
        <f t="shared" si="264"/>
        <v>0.119547922331949</v>
      </c>
      <c r="AI438" s="98">
        <f t="shared" si="265"/>
        <v>1.5707963267948966</v>
      </c>
      <c r="AJ438" s="98" t="str">
        <f t="shared" si="251"/>
        <v>1+1.09494331185533i</v>
      </c>
      <c r="AK438" s="98">
        <f t="shared" si="266"/>
        <v>1.482869129821212</v>
      </c>
      <c r="AL438" s="98">
        <f t="shared" si="267"/>
        <v>0.83068740307093214</v>
      </c>
      <c r="AM438" s="98" t="str">
        <f t="shared" si="252"/>
        <v>1+2628.95889176464i</v>
      </c>
      <c r="AN438" s="98">
        <f t="shared" si="268"/>
        <v>2628.9590819539899</v>
      </c>
      <c r="AO438" s="98">
        <f t="shared" si="269"/>
        <v>1.5704159481001581</v>
      </c>
      <c r="AP438" s="168" t="str">
        <f t="shared" si="270"/>
        <v>-0.11430441225034+0.125252497478743i</v>
      </c>
      <c r="AQ438" s="98">
        <f t="shared" si="271"/>
        <v>-15.413064623644086</v>
      </c>
      <c r="AR438" s="169">
        <f t="shared" si="272"/>
        <v>132.38332361552781</v>
      </c>
      <c r="AS438" s="168" t="str">
        <f t="shared" si="273"/>
        <v>0.0179660611959815-0.146175674379251i</v>
      </c>
      <c r="AT438" s="190">
        <f t="shared" si="274"/>
        <v>-16.6373830284614</v>
      </c>
      <c r="AU438" s="169">
        <f t="shared" si="275"/>
        <v>-82.993070676110847</v>
      </c>
      <c r="AV438" s="225"/>
      <c r="AX438">
        <f t="shared" si="276"/>
        <v>0</v>
      </c>
      <c r="AY438">
        <f t="shared" si="277"/>
        <v>0</v>
      </c>
    </row>
    <row r="439" spans="14:51" x14ac:dyDescent="0.2">
      <c r="N439" s="170">
        <v>21</v>
      </c>
      <c r="O439" s="199">
        <f t="shared" si="278"/>
        <v>162181.00973589328</v>
      </c>
      <c r="P439" s="189" t="str">
        <f t="shared" si="244"/>
        <v>1757.57575757576</v>
      </c>
      <c r="Q439" s="160" t="str">
        <f t="shared" si="245"/>
        <v>1+58763.1024611225i</v>
      </c>
      <c r="R439" s="160">
        <f t="shared" si="253"/>
        <v>58763.102469631238</v>
      </c>
      <c r="S439" s="160">
        <f t="shared" si="254"/>
        <v>1.5707793093135516</v>
      </c>
      <c r="T439" s="160" t="str">
        <f t="shared" si="246"/>
        <v>1+285.323734493311i</v>
      </c>
      <c r="U439" s="160">
        <f t="shared" si="255"/>
        <v>285.3254868833302</v>
      </c>
      <c r="V439" s="160">
        <f t="shared" si="256"/>
        <v>1.5672915503440819</v>
      </c>
      <c r="W439" s="98" t="str">
        <f t="shared" si="247"/>
        <v>1-0.183634695191007i</v>
      </c>
      <c r="X439" s="160">
        <f t="shared" si="257"/>
        <v>1.0167210538185456</v>
      </c>
      <c r="Y439" s="160">
        <f t="shared" si="258"/>
        <v>-0.18161132093968488</v>
      </c>
      <c r="Z439" s="98" t="str">
        <f t="shared" si="248"/>
        <v>-9.5210719675815-4.31685750012147i</v>
      </c>
      <c r="AA439" s="160">
        <f t="shared" si="259"/>
        <v>10.453997804104478</v>
      </c>
      <c r="AB439" s="160">
        <f t="shared" si="260"/>
        <v>-2.7159145827482645</v>
      </c>
      <c r="AC439" s="171" t="str">
        <f t="shared" si="261"/>
        <v>-0.679924389758811+0.47599893094414i</v>
      </c>
      <c r="AD439" s="190">
        <f t="shared" si="262"/>
        <v>-1.618613676503716</v>
      </c>
      <c r="AE439" s="169">
        <f t="shared" si="263"/>
        <v>145.0050470389603</v>
      </c>
      <c r="AF439" s="98" t="str">
        <f t="shared" si="249"/>
        <v>-0.0000114342530449913</v>
      </c>
      <c r="AG439" s="98" t="str">
        <f t="shared" si="250"/>
        <v>0.122332551164008i</v>
      </c>
      <c r="AH439" s="98">
        <f t="shared" si="264"/>
        <v>0.122332551164008</v>
      </c>
      <c r="AI439" s="98">
        <f t="shared" si="265"/>
        <v>1.5707963267948966</v>
      </c>
      <c r="AJ439" s="98" t="str">
        <f t="shared" si="251"/>
        <v>1+1.12044781796623i</v>
      </c>
      <c r="AK439" s="98">
        <f t="shared" si="266"/>
        <v>1.5018000242326826</v>
      </c>
      <c r="AL439" s="98">
        <f t="shared" si="267"/>
        <v>0.84214019790814465</v>
      </c>
      <c r="AM439" s="98" t="str">
        <f t="shared" si="252"/>
        <v>1+2690.19521093693i</v>
      </c>
      <c r="AN439" s="98">
        <f t="shared" si="268"/>
        <v>2690.1953967970417</v>
      </c>
      <c r="AO439" s="98">
        <f t="shared" si="269"/>
        <v>1.5704246065755327</v>
      </c>
      <c r="AP439" s="168" t="str">
        <f t="shared" si="270"/>
        <v>-0.111440853410672+0.124957129642439i</v>
      </c>
      <c r="AQ439" s="98">
        <f t="shared" si="271"/>
        <v>-15.523250308158445</v>
      </c>
      <c r="AR439" s="169">
        <f t="shared" si="272"/>
        <v>131.72762290182229</v>
      </c>
      <c r="AS439" s="168" t="str">
        <f t="shared" si="273"/>
        <v>0.016291894125803-0.13800712720513i</v>
      </c>
      <c r="AT439" s="190">
        <f t="shared" si="274"/>
        <v>-17.141863984662191</v>
      </c>
      <c r="AU439" s="169">
        <f t="shared" si="275"/>
        <v>-83.2673300592174</v>
      </c>
      <c r="AV439" s="225"/>
      <c r="AX439">
        <f t="shared" si="276"/>
        <v>0</v>
      </c>
      <c r="AY439">
        <f t="shared" si="277"/>
        <v>0</v>
      </c>
    </row>
    <row r="440" spans="14:51" x14ac:dyDescent="0.2">
      <c r="N440" s="170">
        <v>22</v>
      </c>
      <c r="O440" s="199">
        <f t="shared" si="278"/>
        <v>165958.69074375604</v>
      </c>
      <c r="P440" s="189" t="str">
        <f t="shared" si="244"/>
        <v>1757.57575757576</v>
      </c>
      <c r="Q440" s="160" t="str">
        <f t="shared" si="245"/>
        <v>1+60131.8709531428i</v>
      </c>
      <c r="R440" s="160">
        <f t="shared" si="253"/>
        <v>60131.870961457855</v>
      </c>
      <c r="S440" s="160">
        <f t="shared" si="254"/>
        <v>1.5707796966787193</v>
      </c>
      <c r="T440" s="160" t="str">
        <f t="shared" si="246"/>
        <v>1+291.969778038381i</v>
      </c>
      <c r="U440" s="160">
        <f t="shared" si="255"/>
        <v>291.97149053937011</v>
      </c>
      <c r="V440" s="160">
        <f t="shared" si="256"/>
        <v>1.5673713281648662</v>
      </c>
      <c r="W440" s="98" t="str">
        <f t="shared" si="247"/>
        <v>1-0.187912096728571i</v>
      </c>
      <c r="X440" s="160">
        <f t="shared" si="257"/>
        <v>1.017502312575715</v>
      </c>
      <c r="Y440" s="160">
        <f t="shared" si="258"/>
        <v>-0.18574602125168127</v>
      </c>
      <c r="Z440" s="98" t="str">
        <f t="shared" si="248"/>
        <v>-10.0169148133527-4.41741002854893i</v>
      </c>
      <c r="AA440" s="160">
        <f t="shared" si="259"/>
        <v>10.947698102262841</v>
      </c>
      <c r="AB440" s="160">
        <f t="shared" si="260"/>
        <v>-2.7262524153767527</v>
      </c>
      <c r="AC440" s="171" t="str">
        <f t="shared" si="261"/>
        <v>-0.652606025821587+0.450791210121217i</v>
      </c>
      <c r="AD440" s="190">
        <f t="shared" si="262"/>
        <v>-2.0127524768818041</v>
      </c>
      <c r="AE440" s="169">
        <f t="shared" si="263"/>
        <v>145.36500907849688</v>
      </c>
      <c r="AF440" s="98" t="str">
        <f t="shared" si="249"/>
        <v>-0.0000114342530449913</v>
      </c>
      <c r="AG440" s="98" t="str">
        <f t="shared" si="250"/>
        <v>0.125182042333955i</v>
      </c>
      <c r="AH440" s="98">
        <f t="shared" si="264"/>
        <v>0.125182042333955</v>
      </c>
      <c r="AI440" s="98">
        <f t="shared" si="265"/>
        <v>1.5707963267948966</v>
      </c>
      <c r="AJ440" s="98" t="str">
        <f t="shared" si="251"/>
        <v>1+1.14654640034111i</v>
      </c>
      <c r="AK440" s="98">
        <f t="shared" si="266"/>
        <v>1.5213706478485631</v>
      </c>
      <c r="AL440" s="98">
        <f t="shared" si="267"/>
        <v>0.85356317281289296</v>
      </c>
      <c r="AM440" s="98" t="str">
        <f t="shared" si="252"/>
        <v>1+2752.85790721901i</v>
      </c>
      <c r="AN440" s="98">
        <f t="shared" si="268"/>
        <v>2752.8580888484294</v>
      </c>
      <c r="AO440" s="98">
        <f t="shared" si="269"/>
        <v>1.5704330679599994</v>
      </c>
      <c r="AP440" s="168" t="str">
        <f t="shared" si="270"/>
        <v>-0.108592186351681+0.124597321367619i</v>
      </c>
      <c r="AQ440" s="98">
        <f t="shared" si="271"/>
        <v>-15.63570885631975</v>
      </c>
      <c r="AR440" s="169">
        <f t="shared" si="272"/>
        <v>131.07361945191502</v>
      </c>
      <c r="AS440" s="168" t="str">
        <f t="shared" si="273"/>
        <v>0.0147005378930766-0.13026536582092i</v>
      </c>
      <c r="AT440" s="190">
        <f t="shared" si="274"/>
        <v>-17.648461333201549</v>
      </c>
      <c r="AU440" s="169">
        <f t="shared" si="275"/>
        <v>-83.561371469588124</v>
      </c>
      <c r="AV440" s="225"/>
      <c r="AX440">
        <f t="shared" si="276"/>
        <v>0</v>
      </c>
      <c r="AY440">
        <f t="shared" si="277"/>
        <v>0</v>
      </c>
    </row>
    <row r="441" spans="14:51" x14ac:dyDescent="0.2">
      <c r="N441" s="170">
        <v>23</v>
      </c>
      <c r="O441" s="199">
        <f t="shared" si="278"/>
        <v>169824.36524617471</v>
      </c>
      <c r="P441" s="189" t="str">
        <f t="shared" si="244"/>
        <v>1757.57575757576</v>
      </c>
      <c r="Q441" s="160" t="str">
        <f t="shared" si="245"/>
        <v>1+61532.5221590814i</v>
      </c>
      <c r="R441" s="160">
        <f t="shared" si="253"/>
        <v>61532.522167207178</v>
      </c>
      <c r="S441" s="160">
        <f t="shared" si="254"/>
        <v>1.5707800752263792</v>
      </c>
      <c r="T441" s="160" t="str">
        <f t="shared" si="246"/>
        <v>1+298.770627824441i</v>
      </c>
      <c r="U441" s="160">
        <f t="shared" si="255"/>
        <v>298.77230134436934</v>
      </c>
      <c r="V441" s="160">
        <f t="shared" si="256"/>
        <v>1.5674492900628705</v>
      </c>
      <c r="W441" s="98" t="str">
        <f t="shared" si="247"/>
        <v>1-0.192289131747129i</v>
      </c>
      <c r="X441" s="160">
        <f t="shared" si="257"/>
        <v>1.0183197485014541</v>
      </c>
      <c r="Y441" s="160">
        <f t="shared" si="258"/>
        <v>-0.18997038922809273</v>
      </c>
      <c r="Z441" s="98" t="str">
        <f t="shared" si="248"/>
        <v>-10.5361260125064-4.52030472624483i</v>
      </c>
      <c r="AA441" s="160">
        <f t="shared" si="259"/>
        <v>11.464863983908636</v>
      </c>
      <c r="AB441" s="160">
        <f t="shared" si="260"/>
        <v>-2.7363142726775553</v>
      </c>
      <c r="AC441" s="171" t="str">
        <f t="shared" si="261"/>
        <v>-0.626205546720016+0.427105720716989i</v>
      </c>
      <c r="AD441" s="190">
        <f t="shared" si="262"/>
        <v>-2.4067014266562556</v>
      </c>
      <c r="AE441" s="169">
        <f t="shared" si="263"/>
        <v>145.70391777827234</v>
      </c>
      <c r="AF441" s="98" t="str">
        <f t="shared" si="249"/>
        <v>-0.0000114342530449913</v>
      </c>
      <c r="AG441" s="98" t="str">
        <f t="shared" si="250"/>
        <v>0.12809790667973i</v>
      </c>
      <c r="AH441" s="98">
        <f t="shared" si="264"/>
        <v>0.12809790667973001</v>
      </c>
      <c r="AI441" s="98">
        <f t="shared" si="265"/>
        <v>1.5707963267948966</v>
      </c>
      <c r="AJ441" s="98" t="str">
        <f t="shared" si="251"/>
        <v>1+1.17325289679378i</v>
      </c>
      <c r="AK441" s="98">
        <f t="shared" si="266"/>
        <v>1.5415973403697207</v>
      </c>
      <c r="AL441" s="98">
        <f t="shared" si="267"/>
        <v>0.8649504611720169</v>
      </c>
      <c r="AM441" s="98" t="str">
        <f t="shared" si="252"/>
        <v>1+2816.98020520187i</v>
      </c>
      <c r="AN441" s="98">
        <f t="shared" si="268"/>
        <v>2816.9803826968996</v>
      </c>
      <c r="AO441" s="98">
        <f t="shared" si="269"/>
        <v>1.5704413367398911</v>
      </c>
      <c r="AP441" s="168" t="str">
        <f t="shared" si="270"/>
        <v>-0.105761289777849+0.124174001426414i</v>
      </c>
      <c r="AQ441" s="98">
        <f t="shared" si="271"/>
        <v>-15.750427268658306</v>
      </c>
      <c r="AR441" s="169">
        <f t="shared" si="272"/>
        <v>130.42164965502829</v>
      </c>
      <c r="AS441" s="168" t="str">
        <f t="shared" si="273"/>
        <v>0.013192879913611-0.122929700346166i</v>
      </c>
      <c r="AT441" s="190">
        <f t="shared" si="274"/>
        <v>-18.157128695314569</v>
      </c>
      <c r="AU441" s="169">
        <f t="shared" si="275"/>
        <v>-83.87443256669934</v>
      </c>
      <c r="AV441" s="225"/>
      <c r="AX441">
        <f t="shared" si="276"/>
        <v>0</v>
      </c>
      <c r="AY441">
        <f t="shared" si="277"/>
        <v>0</v>
      </c>
    </row>
    <row r="442" spans="14:51" x14ac:dyDescent="0.2">
      <c r="N442" s="170">
        <v>24</v>
      </c>
      <c r="O442" s="199">
        <f t="shared" si="278"/>
        <v>173780.0828749378</v>
      </c>
      <c r="P442" s="189" t="str">
        <f t="shared" si="244"/>
        <v>1757.57575757576</v>
      </c>
      <c r="Q442" s="160" t="str">
        <f t="shared" si="245"/>
        <v>1+62965.7987227485i</v>
      </c>
      <c r="R442" s="160">
        <f t="shared" si="253"/>
        <v>62965.798730689312</v>
      </c>
      <c r="S442" s="160">
        <f t="shared" si="254"/>
        <v>1.5707804451572425</v>
      </c>
      <c r="T442" s="160" t="str">
        <f t="shared" si="246"/>
        <v>1+305.729889752073i</v>
      </c>
      <c r="U442" s="160">
        <f t="shared" si="255"/>
        <v>305.73152517824315</v>
      </c>
      <c r="V442" s="160">
        <f t="shared" si="256"/>
        <v>1.5675254773707321</v>
      </c>
      <c r="W442" s="98" t="str">
        <f t="shared" si="247"/>
        <v>1-0.196768121008588i</v>
      </c>
      <c r="X442" s="160">
        <f t="shared" si="257"/>
        <v>1.0191750062895235</v>
      </c>
      <c r="Y442" s="160">
        <f t="shared" si="258"/>
        <v>-0.19428606131172746</v>
      </c>
      <c r="Z442" s="98" t="str">
        <f t="shared" si="248"/>
        <v>-11.0798068816081-4.62559614933993i</v>
      </c>
      <c r="AA442" s="160">
        <f t="shared" si="259"/>
        <v>12.006592367133925</v>
      </c>
      <c r="AB442" s="160">
        <f t="shared" si="260"/>
        <v>-2.7461088414002663</v>
      </c>
      <c r="AC442" s="171" t="str">
        <f t="shared" si="261"/>
        <v>-0.600711741718127+0.404846940142118i</v>
      </c>
      <c r="AD442" s="190">
        <f t="shared" si="262"/>
        <v>-2.8004288367630386</v>
      </c>
      <c r="AE442" s="169">
        <f t="shared" si="263"/>
        <v>146.02217944779562</v>
      </c>
      <c r="AF442" s="98" t="str">
        <f t="shared" si="249"/>
        <v>-0.0000114342530449913</v>
      </c>
      <c r="AG442" s="98" t="str">
        <f t="shared" si="250"/>
        <v>0.131081690231201i</v>
      </c>
      <c r="AH442" s="98">
        <f t="shared" si="264"/>
        <v>0.131081690231201</v>
      </c>
      <c r="AI442" s="98">
        <f t="shared" si="265"/>
        <v>1.5707963267948966</v>
      </c>
      <c r="AJ442" s="98" t="str">
        <f t="shared" si="251"/>
        <v>1+1.20058146746218i</v>
      </c>
      <c r="AK442" s="98">
        <f t="shared" si="266"/>
        <v>1.5624966752008278</v>
      </c>
      <c r="AL442" s="98">
        <f t="shared" si="267"/>
        <v>0.87629628880223542</v>
      </c>
      <c r="AM442" s="98" t="str">
        <f t="shared" si="252"/>
        <v>1+2882.59610337669i</v>
      </c>
      <c r="AN442" s="98">
        <f t="shared" si="268"/>
        <v>2882.5962768314394</v>
      </c>
      <c r="AO442" s="98">
        <f t="shared" si="269"/>
        <v>1.5704494172994203</v>
      </c>
      <c r="AP442" s="168" t="str">
        <f t="shared" si="270"/>
        <v>-0.10295096918885+0.123688255644089i</v>
      </c>
      <c r="AQ442" s="98">
        <f t="shared" si="271"/>
        <v>-15.867390283446985</v>
      </c>
      <c r="AR442" s="169">
        <f t="shared" si="272"/>
        <v>129.77204459869102</v>
      </c>
      <c r="AS442" s="168" t="str">
        <f t="shared" si="273"/>
        <v>0.0117690441839778-0.115980372338809i</v>
      </c>
      <c r="AT442" s="190">
        <f t="shared" si="274"/>
        <v>-18.667819120210027</v>
      </c>
      <c r="AU442" s="169">
        <f t="shared" si="275"/>
        <v>-84.205775953513339</v>
      </c>
      <c r="AV442" s="225"/>
      <c r="AX442">
        <f t="shared" si="276"/>
        <v>0</v>
      </c>
      <c r="AY442">
        <f t="shared" si="277"/>
        <v>0</v>
      </c>
    </row>
    <row r="443" spans="14:51" x14ac:dyDescent="0.2">
      <c r="N443" s="170">
        <v>25</v>
      </c>
      <c r="O443" s="199">
        <f t="shared" si="278"/>
        <v>177827.94100389251</v>
      </c>
      <c r="P443" s="189" t="str">
        <f t="shared" si="244"/>
        <v>1757.57575757576</v>
      </c>
      <c r="Q443" s="160" t="str">
        <f t="shared" si="245"/>
        <v>1+64432.4605863492i</v>
      </c>
      <c r="R443" s="160">
        <f t="shared" si="253"/>
        <v>64432.460594109267</v>
      </c>
      <c r="S443" s="160">
        <f t="shared" si="254"/>
        <v>1.5707808066674513</v>
      </c>
      <c r="T443" s="160" t="str">
        <f t="shared" si="246"/>
        <v>1+312.851253714065i</v>
      </c>
      <c r="U443" s="160">
        <f t="shared" si="255"/>
        <v>312.85285191358298</v>
      </c>
      <c r="V443" s="160">
        <f t="shared" si="256"/>
        <v>1.56759993048043</v>
      </c>
      <c r="W443" s="98" t="str">
        <f t="shared" si="247"/>
        <v>1-0.201351439332341i</v>
      </c>
      <c r="X443" s="160">
        <f t="shared" si="257"/>
        <v>1.0200698025729442</v>
      </c>
      <c r="Y443" s="160">
        <f t="shared" si="258"/>
        <v>-0.19869468238353419</v>
      </c>
      <c r="Z443" s="98" t="str">
        <f t="shared" si="248"/>
        <v>-11.6491106406737-4.73334012474041i</v>
      </c>
      <c r="AA443" s="160">
        <f t="shared" si="259"/>
        <v>12.574032267142261</v>
      </c>
      <c r="AB443" s="160">
        <f t="shared" si="260"/>
        <v>-2.7556444872129253</v>
      </c>
      <c r="AC443" s="171" t="str">
        <f t="shared" si="261"/>
        <v>-0.576110956932102+0.383925133371364i</v>
      </c>
      <c r="AD443" s="190">
        <f t="shared" si="262"/>
        <v>-3.1939044826076501</v>
      </c>
      <c r="AE443" s="169">
        <f t="shared" si="263"/>
        <v>146.32018146285375</v>
      </c>
      <c r="AF443" s="98" t="str">
        <f t="shared" si="249"/>
        <v>-0.0000114342530449913</v>
      </c>
      <c r="AG443" s="98" t="str">
        <f t="shared" si="250"/>
        <v>0.134134975029905i</v>
      </c>
      <c r="AH443" s="98">
        <f t="shared" si="264"/>
        <v>0.13413497502990501</v>
      </c>
      <c r="AI443" s="98">
        <f t="shared" si="265"/>
        <v>1.5707963267948966</v>
      </c>
      <c r="AJ443" s="98" t="str">
        <f t="shared" si="251"/>
        <v>1+1.22854660231619i</v>
      </c>
      <c r="AK443" s="98">
        <f t="shared" si="266"/>
        <v>1.5840854629920238</v>
      </c>
      <c r="AL443" s="98">
        <f t="shared" si="267"/>
        <v>0.88759498803289927</v>
      </c>
      <c r="AM443" s="98" t="str">
        <f t="shared" si="252"/>
        <v>1+2949.74039216118i</v>
      </c>
      <c r="AN443" s="98">
        <f t="shared" si="268"/>
        <v>2949.7405616676174</v>
      </c>
      <c r="AO443" s="98">
        <f t="shared" si="269"/>
        <v>1.570457313923002</v>
      </c>
      <c r="AP443" s="168" t="str">
        <f t="shared" si="270"/>
        <v>-0.100163946188004+0.123141320145809i</v>
      </c>
      <c r="AQ443" s="98">
        <f t="shared" si="271"/>
        <v>-15.98658043925214</v>
      </c>
      <c r="AR443" s="169">
        <f t="shared" si="272"/>
        <v>129.12512926198994</v>
      </c>
      <c r="AS443" s="168" t="str">
        <f t="shared" si="273"/>
        <v>0.010428499127961-0.109398520186316i</v>
      </c>
      <c r="AT443" s="190">
        <f t="shared" si="274"/>
        <v>-19.180484921859787</v>
      </c>
      <c r="AU443" s="169">
        <f t="shared" si="275"/>
        <v>-84.554689275156321</v>
      </c>
      <c r="AV443" s="225"/>
      <c r="AX443">
        <f t="shared" si="276"/>
        <v>0</v>
      </c>
      <c r="AY443">
        <f t="shared" si="277"/>
        <v>0</v>
      </c>
    </row>
    <row r="444" spans="14:51" x14ac:dyDescent="0.2">
      <c r="N444" s="170">
        <v>26</v>
      </c>
      <c r="O444" s="199">
        <f t="shared" si="278"/>
        <v>181970.08586099857</v>
      </c>
      <c r="P444" s="189" t="str">
        <f t="shared" si="244"/>
        <v>1757.57575757576</v>
      </c>
      <c r="Q444" s="160" t="str">
        <f t="shared" si="245"/>
        <v>1+65933.2853934166i</v>
      </c>
      <c r="R444" s="160">
        <f t="shared" si="253"/>
        <v>65933.28540100003</v>
      </c>
      <c r="S444" s="160">
        <f t="shared" si="254"/>
        <v>1.5707811599486829</v>
      </c>
      <c r="T444" s="160" t="str">
        <f t="shared" si="246"/>
        <v>1+320.138495551849i</v>
      </c>
      <c r="U444" s="160">
        <f t="shared" si="255"/>
        <v>320.14005737208402</v>
      </c>
      <c r="V444" s="160">
        <f t="shared" si="256"/>
        <v>1.5676726888646852</v>
      </c>
      <c r="W444" s="98" t="str">
        <f t="shared" si="247"/>
        <v>1-0.206041516854426i</v>
      </c>
      <c r="X444" s="160">
        <f t="shared" si="257"/>
        <v>1.0210059288112252</v>
      </c>
      <c r="Y444" s="160">
        <f t="shared" si="258"/>
        <v>-0.20319790414006508</v>
      </c>
      <c r="Z444" s="98" t="str">
        <f t="shared" si="248"/>
        <v>-12.2452448593036-4.84359377972813i</v>
      </c>
      <c r="AA444" s="160">
        <f t="shared" si="259"/>
        <v>13.168387234863738</v>
      </c>
      <c r="AB444" s="160">
        <f t="shared" si="260"/>
        <v>-2.7649292657124986</v>
      </c>
      <c r="AC444" s="171" t="str">
        <f t="shared" si="261"/>
        <v>-0.552387494748859+0.364256056173597i</v>
      </c>
      <c r="AD444" s="190">
        <f t="shared" si="262"/>
        <v>-3.5870993964276328</v>
      </c>
      <c r="AE444" s="169">
        <f t="shared" si="263"/>
        <v>146.59829299055079</v>
      </c>
      <c r="AF444" s="98" t="str">
        <f t="shared" si="249"/>
        <v>-0.0000114342530449913</v>
      </c>
      <c r="AG444" s="98" t="str">
        <f t="shared" si="250"/>
        <v>0.137259379967856i</v>
      </c>
      <c r="AH444" s="98">
        <f t="shared" si="264"/>
        <v>0.137259379967856</v>
      </c>
      <c r="AI444" s="98">
        <f t="shared" si="265"/>
        <v>1.5707963267948966</v>
      </c>
      <c r="AJ444" s="98" t="str">
        <f t="shared" si="251"/>
        <v>1+1.25716312884048i</v>
      </c>
      <c r="AK444" s="98">
        <f t="shared" si="266"/>
        <v>1.6063807557724243</v>
      </c>
      <c r="AL444" s="98">
        <f t="shared" si="267"/>
        <v>0.89884101113137704</v>
      </c>
      <c r="AM444" s="98" t="str">
        <f t="shared" si="252"/>
        <v>1+3018.448672346i</v>
      </c>
      <c r="AN444" s="98">
        <f t="shared" si="268"/>
        <v>3018.4488379940003</v>
      </c>
      <c r="AO444" s="98">
        <f t="shared" si="269"/>
        <v>1.5704650307975268</v>
      </c>
      <c r="AP444" s="168" t="str">
        <f t="shared" si="270"/>
        <v>-0.0974028485066472+0.122534573769515i</v>
      </c>
      <c r="AQ444" s="98">
        <f t="shared" si="271"/>
        <v>-16.107978145709755</v>
      </c>
      <c r="AR444" s="169">
        <f t="shared" si="272"/>
        <v>128.48122174648196</v>
      </c>
      <c r="AS444" s="168" t="str">
        <f t="shared" si="273"/>
        <v>0.00917015488179326-0.103166143681767i</v>
      </c>
      <c r="AT444" s="190">
        <f t="shared" si="274"/>
        <v>-19.695077542137412</v>
      </c>
      <c r="AU444" s="169">
        <f t="shared" si="275"/>
        <v>-84.920485262967219</v>
      </c>
      <c r="AV444" s="225"/>
      <c r="AX444">
        <f t="shared" si="276"/>
        <v>0</v>
      </c>
      <c r="AY444">
        <f t="shared" si="277"/>
        <v>0</v>
      </c>
    </row>
    <row r="445" spans="14:51" x14ac:dyDescent="0.2">
      <c r="N445" s="170">
        <v>27</v>
      </c>
      <c r="O445" s="199">
        <f t="shared" si="278"/>
        <v>186208.71366628664</v>
      </c>
      <c r="P445" s="189" t="str">
        <f t="shared" si="244"/>
        <v>1757.57575757576</v>
      </c>
      <c r="Q445" s="160" t="str">
        <f t="shared" si="245"/>
        <v>1+67469.0689011301i</v>
      </c>
      <c r="R445" s="160">
        <f t="shared" si="253"/>
        <v>67469.068908540896</v>
      </c>
      <c r="S445" s="160">
        <f t="shared" si="254"/>
        <v>1.5707815051882521</v>
      </c>
      <c r="T445" s="160" t="str">
        <f t="shared" si="246"/>
        <v>1+327.59547905751i</v>
      </c>
      <c r="U445" s="160">
        <f t="shared" si="255"/>
        <v>327.59700532654364</v>
      </c>
      <c r="V445" s="160">
        <f t="shared" si="256"/>
        <v>1.5677437910978729</v>
      </c>
      <c r="W445" s="98" t="str">
        <f t="shared" si="247"/>
        <v>1-0.210840840316031i</v>
      </c>
      <c r="X445" s="160">
        <f t="shared" si="257"/>
        <v>1.0219852542699284</v>
      </c>
      <c r="Y445" s="160">
        <f t="shared" si="258"/>
        <v>-0.20779738333663755</v>
      </c>
      <c r="Z445" s="98" t="str">
        <f t="shared" si="248"/>
        <v>-12.8694740181012-4.95641557225045i</v>
      </c>
      <c r="AA445" s="160">
        <f t="shared" si="259"/>
        <v>13.790917910981438</v>
      </c>
      <c r="AB445" s="160">
        <f t="shared" si="260"/>
        <v>-2.7739709334948675</v>
      </c>
      <c r="AC445" s="171" t="str">
        <f t="shared" si="261"/>
        <v>-0.529523967472437+0.345760663909189i</v>
      </c>
      <c r="AD445" s="190">
        <f t="shared" si="262"/>
        <v>-3.9799856763857742</v>
      </c>
      <c r="AE445" s="169">
        <f t="shared" si="263"/>
        <v>146.85686572542352</v>
      </c>
      <c r="AF445" s="98" t="str">
        <f t="shared" si="249"/>
        <v>-0.0000114342530449913</v>
      </c>
      <c r="AG445" s="98" t="str">
        <f t="shared" si="250"/>
        <v>0.140456561645908i</v>
      </c>
      <c r="AH445" s="98">
        <f t="shared" si="264"/>
        <v>0.140456561645908</v>
      </c>
      <c r="AI445" s="98">
        <f t="shared" si="265"/>
        <v>1.5707963267948966</v>
      </c>
      <c r="AJ445" s="98" t="str">
        <f t="shared" si="251"/>
        <v>1+1.28644621989621i</v>
      </c>
      <c r="AK445" s="98">
        <f t="shared" si="266"/>
        <v>1.6293998516893415</v>
      </c>
      <c r="AL445" s="98">
        <f t="shared" si="267"/>
        <v>0.91002894299840231</v>
      </c>
      <c r="AM445" s="98" t="str">
        <f t="shared" si="252"/>
        <v>1+3088.7573739708i</v>
      </c>
      <c r="AN445" s="98">
        <f t="shared" si="268"/>
        <v>3088.7575358481918</v>
      </c>
      <c r="AO445" s="98">
        <f t="shared" si="269"/>
        <v>1.57047257201458</v>
      </c>
      <c r="AP445" s="168" t="str">
        <f t="shared" si="270"/>
        <v>-0.0946702008163944+0.121869529729833i</v>
      </c>
      <c r="AQ445" s="98">
        <f t="shared" si="271"/>
        <v>-16.231561761931474</v>
      </c>
      <c r="AR445" s="169">
        <f t="shared" si="272"/>
        <v>127.8406325489308</v>
      </c>
      <c r="AS445" s="168" t="str">
        <f t="shared" si="273"/>
        <v>0.0079924508280218-0.0972660683832341i</v>
      </c>
      <c r="AT445" s="190">
        <f t="shared" si="274"/>
        <v>-20.211547438317247</v>
      </c>
      <c r="AU445" s="169">
        <f t="shared" si="275"/>
        <v>-85.302501725645655</v>
      </c>
      <c r="AV445" s="225"/>
      <c r="AX445">
        <f t="shared" si="276"/>
        <v>0</v>
      </c>
      <c r="AY445">
        <f t="shared" si="277"/>
        <v>0</v>
      </c>
    </row>
    <row r="446" spans="14:51" x14ac:dyDescent="0.2">
      <c r="N446" s="170">
        <v>28</v>
      </c>
      <c r="O446" s="199">
        <f t="shared" si="278"/>
        <v>190546.07179632492</v>
      </c>
      <c r="P446" s="189" t="str">
        <f t="shared" si="244"/>
        <v>1757.57575757576</v>
      </c>
      <c r="Q446" s="160" t="str">
        <f t="shared" si="245"/>
        <v>1+69040.6254022344i</v>
      </c>
      <c r="R446" s="160">
        <f t="shared" si="253"/>
        <v>69040.625409476503</v>
      </c>
      <c r="S446" s="160">
        <f t="shared" si="254"/>
        <v>1.5707818425692091</v>
      </c>
      <c r="T446" s="160" t="str">
        <f t="shared" si="246"/>
        <v>1+335.226158022409i</v>
      </c>
      <c r="U446" s="160">
        <f t="shared" si="255"/>
        <v>335.22764954947417</v>
      </c>
      <c r="V446" s="160">
        <f t="shared" si="256"/>
        <v>1.5678132748764606</v>
      </c>
      <c r="W446" s="98" t="str">
        <f t="shared" si="247"/>
        <v>1-0.215751954381982i</v>
      </c>
      <c r="X446" s="160">
        <f t="shared" si="257"/>
        <v>1.0230097290933478</v>
      </c>
      <c r="Y446" s="160">
        <f t="shared" si="258"/>
        <v>-0.21249477988965806</v>
      </c>
      <c r="Z446" s="98" t="str">
        <f t="shared" si="248"/>
        <v>-13.5231221908043-5.07186532191513i</v>
      </c>
      <c r="AA446" s="160">
        <f t="shared" si="259"/>
        <v>14.442944700824306</v>
      </c>
      <c r="AB446" s="160">
        <f t="shared" si="260"/>
        <v>-2.7827769591937477</v>
      </c>
      <c r="AC446" s="171" t="str">
        <f t="shared" si="261"/>
        <v>-0.507501609720042+0.328364827720514i</v>
      </c>
      <c r="AD446" s="190">
        <f t="shared" si="262"/>
        <v>-4.3725363110879067</v>
      </c>
      <c r="AE446" s="169">
        <f t="shared" si="263"/>
        <v>147.09623463181848</v>
      </c>
      <c r="AF446" s="98" t="str">
        <f t="shared" si="249"/>
        <v>-0.0000114342530449913</v>
      </c>
      <c r="AG446" s="98" t="str">
        <f t="shared" si="250"/>
        <v>0.143728215252107i</v>
      </c>
      <c r="AH446" s="98">
        <f t="shared" si="264"/>
        <v>0.14372821525210699</v>
      </c>
      <c r="AI446" s="98">
        <f t="shared" si="265"/>
        <v>1.5707963267948966</v>
      </c>
      <c r="AJ446" s="98" t="str">
        <f t="shared" si="251"/>
        <v>1+1.31641140176587i</v>
      </c>
      <c r="AK446" s="98">
        <f t="shared" si="266"/>
        <v>1.6531603003638766</v>
      </c>
      <c r="AL446" s="98">
        <f t="shared" si="267"/>
        <v>0.9211535130689672</v>
      </c>
      <c r="AM446" s="98" t="str">
        <f t="shared" si="252"/>
        <v>1+3160.70377563985i</v>
      </c>
      <c r="AN446" s="98">
        <f t="shared" si="268"/>
        <v>3160.7039338324626</v>
      </c>
      <c r="AO446" s="98">
        <f t="shared" si="269"/>
        <v>1.5704799415726114</v>
      </c>
      <c r="AP446" s="168" t="str">
        <f t="shared" si="270"/>
        <v>-0.0919684163902134+0.121147826624507i</v>
      </c>
      <c r="AQ446" s="98">
        <f t="shared" si="271"/>
        <v>-16.357307681887882</v>
      </c>
      <c r="AR446" s="169">
        <f t="shared" si="272"/>
        <v>127.20366387956187</v>
      </c>
      <c r="AS446" s="168" t="str">
        <f t="shared" si="273"/>
        <v>0.00689343414316546-0.0916819102297228i</v>
      </c>
      <c r="AT446" s="190">
        <f t="shared" si="274"/>
        <v>-20.729843992975784</v>
      </c>
      <c r="AU446" s="169">
        <f t="shared" si="275"/>
        <v>-85.700101488619637</v>
      </c>
      <c r="AV446" s="225"/>
      <c r="AX446">
        <f t="shared" si="276"/>
        <v>0</v>
      </c>
      <c r="AY446">
        <f t="shared" si="277"/>
        <v>0</v>
      </c>
    </row>
    <row r="447" spans="14:51" x14ac:dyDescent="0.2">
      <c r="N447" s="170">
        <v>29</v>
      </c>
      <c r="O447" s="199">
        <f t="shared" si="278"/>
        <v>194984.45997580473</v>
      </c>
      <c r="P447" s="189" t="str">
        <f t="shared" si="244"/>
        <v>1757.57575757576</v>
      </c>
      <c r="Q447" s="160" t="str">
        <f t="shared" si="245"/>
        <v>1+70648.7881567866i</v>
      </c>
      <c r="R447" s="160">
        <f t="shared" si="253"/>
        <v>70648.78816386385</v>
      </c>
      <c r="S447" s="160">
        <f t="shared" si="254"/>
        <v>1.570782172270438</v>
      </c>
      <c r="T447" s="160" t="str">
        <f t="shared" si="246"/>
        <v>1+343.03457833353i</v>
      </c>
      <c r="U447" s="160">
        <f t="shared" si="255"/>
        <v>343.03603590944016</v>
      </c>
      <c r="V447" s="160">
        <f t="shared" si="256"/>
        <v>1.5678811770389827</v>
      </c>
      <c r="W447" s="98" t="str">
        <f t="shared" si="247"/>
        <v>1-0.220777462989958i</v>
      </c>
      <c r="X447" s="160">
        <f t="shared" si="257"/>
        <v>1.0240813874708798</v>
      </c>
      <c r="Y447" s="160">
        <f t="shared" si="258"/>
        <v>-0.21729175483160978</v>
      </c>
      <c r="Z447" s="98" t="str">
        <f t="shared" si="248"/>
        <v>-14.2075758528224-5.19000424170749i</v>
      </c>
      <c r="AA447" s="160">
        <f t="shared" si="259"/>
        <v>15.125850575840154</v>
      </c>
      <c r="AB447" s="160">
        <f t="shared" si="260"/>
        <v>-2.7913545344143902</v>
      </c>
      <c r="AC447" s="171" t="str">
        <f t="shared" si="261"/>
        <v>-0.486300553718652+0.311999059494289i</v>
      </c>
      <c r="AD447" s="190">
        <f t="shared" si="262"/>
        <v>-4.7647250183158043</v>
      </c>
      <c r="AE447" s="169">
        <f t="shared" si="263"/>
        <v>147.31671868865686</v>
      </c>
      <c r="AF447" s="98" t="str">
        <f t="shared" si="249"/>
        <v>-0.0000114342530449913</v>
      </c>
      <c r="AG447" s="98" t="str">
        <f t="shared" si="250"/>
        <v>0.147076075460501i</v>
      </c>
      <c r="AH447" s="98">
        <f t="shared" si="264"/>
        <v>0.147076075460501</v>
      </c>
      <c r="AI447" s="98">
        <f t="shared" si="265"/>
        <v>1.5707963267948966</v>
      </c>
      <c r="AJ447" s="98" t="str">
        <f t="shared" si="251"/>
        <v>1+1.34707456238549i</v>
      </c>
      <c r="AK447" s="98">
        <f t="shared" si="266"/>
        <v>1.6776799088700025</v>
      </c>
      <c r="AL447" s="98">
        <f t="shared" si="267"/>
        <v>0.93220960636290318</v>
      </c>
      <c r="AM447" s="98" t="str">
        <f t="shared" si="252"/>
        <v>1+3234.32602428756i</v>
      </c>
      <c r="AN447" s="98">
        <f t="shared" si="268"/>
        <v>3234.3261788792688</v>
      </c>
      <c r="AO447" s="98">
        <f t="shared" si="269"/>
        <v>1.5704871433790548</v>
      </c>
      <c r="AP447" s="168" t="str">
        <f t="shared" si="270"/>
        <v>-0.0892997896615574+0.120371218879796i</v>
      </c>
      <c r="AQ447" s="98">
        <f t="shared" si="271"/>
        <v>-16.485190426071956</v>
      </c>
      <c r="AR447" s="169">
        <f t="shared" si="272"/>
        <v>126.57060902903066</v>
      </c>
      <c r="AS447" s="168" t="str">
        <f t="shared" si="273"/>
        <v>0.00587083007869696-0.0863980407804776i</v>
      </c>
      <c r="AT447" s="190">
        <f t="shared" si="274"/>
        <v>-21.24991544438776</v>
      </c>
      <c r="AU447" s="169">
        <f t="shared" si="275"/>
        <v>-86.112672282312488</v>
      </c>
      <c r="AV447" s="225"/>
      <c r="AX447">
        <f t="shared" si="276"/>
        <v>0</v>
      </c>
      <c r="AY447">
        <f t="shared" si="277"/>
        <v>0</v>
      </c>
    </row>
    <row r="448" spans="14:51" x14ac:dyDescent="0.2">
      <c r="N448" s="170">
        <v>30</v>
      </c>
      <c r="O448" s="199">
        <f t="shared" si="278"/>
        <v>199526.23149688813</v>
      </c>
      <c r="P448" s="189" t="str">
        <f t="shared" si="244"/>
        <v>1757.57575757576</v>
      </c>
      <c r="Q448" s="160" t="str">
        <f t="shared" si="245"/>
        <v>1+72294.4098339674i</v>
      </c>
      <c r="R448" s="160">
        <f t="shared" si="253"/>
        <v>72294.409840883556</v>
      </c>
      <c r="S448" s="160">
        <f t="shared" si="254"/>
        <v>1.5707824944667508</v>
      </c>
      <c r="T448" s="160" t="str">
        <f t="shared" si="246"/>
        <v>1+351.024880118685i</v>
      </c>
      <c r="U448" s="160">
        <f t="shared" si="255"/>
        <v>351.02630451625299</v>
      </c>
      <c r="V448" s="160">
        <f t="shared" si="256"/>
        <v>1.5679475335855582</v>
      </c>
      <c r="W448" s="98" t="str">
        <f t="shared" si="247"/>
        <v>1-0.225920030731148i</v>
      </c>
      <c r="X448" s="160">
        <f t="shared" si="257"/>
        <v>1.0252023508974035</v>
      </c>
      <c r="Y448" s="160">
        <f t="shared" si="258"/>
        <v>-0.2221899681121498</v>
      </c>
      <c r="Z448" s="98" t="str">
        <f t="shared" si="248"/>
        <v>-14.9242868221399-5.31089497044667i</v>
      </c>
      <c r="AA448" s="160">
        <f t="shared" si="259"/>
        <v>15.841084007624428</v>
      </c>
      <c r="AB448" s="160">
        <f t="shared" si="260"/>
        <v>-2.7997105845018768</v>
      </c>
      <c r="AC448" s="171" t="str">
        <f t="shared" si="261"/>
        <v>-0.465900071298363+0.296598246603078i</v>
      </c>
      <c r="AD448" s="190">
        <f t="shared" si="262"/>
        <v>-5.1565260968547548</v>
      </c>
      <c r="AE448" s="169">
        <f t="shared" si="263"/>
        <v>147.51862163351277</v>
      </c>
      <c r="AF448" s="98" t="str">
        <f t="shared" si="249"/>
        <v>-0.0000114342530449913</v>
      </c>
      <c r="AG448" s="98" t="str">
        <f t="shared" si="250"/>
        <v>0.150501917350886i</v>
      </c>
      <c r="AH448" s="98">
        <f t="shared" si="264"/>
        <v>0.150501917350886</v>
      </c>
      <c r="AI448" s="98">
        <f t="shared" si="265"/>
        <v>1.5707963267948966</v>
      </c>
      <c r="AJ448" s="98" t="str">
        <f t="shared" si="251"/>
        <v>1+1.37845195976874i</v>
      </c>
      <c r="AK448" s="98">
        <f t="shared" si="266"/>
        <v>1.7029767483410572</v>
      </c>
      <c r="AL448" s="98">
        <f t="shared" si="267"/>
        <v>0.94319227363834945</v>
      </c>
      <c r="AM448" s="98" t="str">
        <f t="shared" si="252"/>
        <v>1+3309.66315540474i</v>
      </c>
      <c r="AN448" s="98">
        <f t="shared" si="268"/>
        <v>3309.6633064775119</v>
      </c>
      <c r="AO448" s="98">
        <f t="shared" si="269"/>
        <v>1.5704941812524005</v>
      </c>
      <c r="AP448" s="168" t="str">
        <f t="shared" si="270"/>
        <v>-0.0866664897188027+0.119541566734549i</v>
      </c>
      <c r="AQ448" s="98">
        <f t="shared" si="271"/>
        <v>-16.615182738713528</v>
      </c>
      <c r="AR448" s="169">
        <f t="shared" si="272"/>
        <v>125.9417517867906</v>
      </c>
      <c r="AS448" s="168" t="str">
        <f t="shared" si="273"/>
        <v>0.00492210464951695-0.081399553354585i</v>
      </c>
      <c r="AT448" s="190">
        <f t="shared" si="274"/>
        <v>-21.77170883556828</v>
      </c>
      <c r="AU448" s="169">
        <f t="shared" si="275"/>
        <v>-86.53962657969663</v>
      </c>
      <c r="AV448" s="225"/>
      <c r="AX448">
        <f t="shared" si="276"/>
        <v>0</v>
      </c>
      <c r="AY448">
        <f t="shared" si="277"/>
        <v>0</v>
      </c>
    </row>
    <row r="449" spans="14:51" x14ac:dyDescent="0.2">
      <c r="N449" s="170">
        <v>31</v>
      </c>
      <c r="O449" s="199">
        <f t="shared" si="278"/>
        <v>204173.79446695308</v>
      </c>
      <c r="P449" s="189" t="str">
        <f t="shared" si="244"/>
        <v>1757.57575757576</v>
      </c>
      <c r="Q449" s="160" t="str">
        <f t="shared" si="245"/>
        <v>1+73978.3629641715i</v>
      </c>
      <c r="R449" s="160">
        <f t="shared" si="253"/>
        <v>73978.362970930219</v>
      </c>
      <c r="S449" s="160">
        <f t="shared" si="254"/>
        <v>1.57078280932898</v>
      </c>
      <c r="T449" s="160" t="str">
        <f t="shared" si="246"/>
        <v>1+359.201299941641i</v>
      </c>
      <c r="U449" s="160">
        <f t="shared" si="255"/>
        <v>359.20269191608901</v>
      </c>
      <c r="V449" s="160">
        <f t="shared" si="256"/>
        <v>1.5680123796969676</v>
      </c>
      <c r="W449" s="98" t="str">
        <f t="shared" si="247"/>
        <v>1-0.231182384263035i</v>
      </c>
      <c r="X449" s="160">
        <f t="shared" si="257"/>
        <v>1.0263748315277132</v>
      </c>
      <c r="Y449" s="160">
        <f t="shared" si="258"/>
        <v>-0.22719107623874527</v>
      </c>
      <c r="Z449" s="98" t="str">
        <f t="shared" si="248"/>
        <v>-15.6747753388133-5.43460160599717i</v>
      </c>
      <c r="AA449" s="160">
        <f t="shared" si="259"/>
        <v>16.59016204074501</v>
      </c>
      <c r="AB449" s="160">
        <f t="shared" si="260"/>
        <v>-2.8078517790956208</v>
      </c>
      <c r="AC449" s="171" t="str">
        <f t="shared" si="261"/>
        <v>-0.446278786042916+0.282101397126361i</v>
      </c>
      <c r="AD449" s="190">
        <f t="shared" si="262"/>
        <v>-5.5479142903775909</v>
      </c>
      <c r="AE449" s="169">
        <f t="shared" si="263"/>
        <v>147.70223270361137</v>
      </c>
      <c r="AF449" s="98" t="str">
        <f t="shared" si="249"/>
        <v>-0.0000114342530449913</v>
      </c>
      <c r="AG449" s="98" t="str">
        <f t="shared" si="250"/>
        <v>0.154007557349979i</v>
      </c>
      <c r="AH449" s="98">
        <f t="shared" si="264"/>
        <v>0.15400755734997901</v>
      </c>
      <c r="AI449" s="98">
        <f t="shared" si="265"/>
        <v>1.5707963267948966</v>
      </c>
      <c r="AJ449" s="98" t="str">
        <f t="shared" si="251"/>
        <v>1+1.41056023062702i</v>
      </c>
      <c r="AK449" s="98">
        <f t="shared" si="266"/>
        <v>1.7290691612039559</v>
      </c>
      <c r="AL449" s="98">
        <f t="shared" si="267"/>
        <v>0.95409674061035776</v>
      </c>
      <c r="AM449" s="98" t="str">
        <f t="shared" si="252"/>
        <v>1+3386.75511373547i</v>
      </c>
      <c r="AN449" s="98">
        <f t="shared" si="268"/>
        <v>3386.7552613694061</v>
      </c>
      <c r="AO449" s="98">
        <f t="shared" si="269"/>
        <v>1.570501058924219</v>
      </c>
      <c r="AP449" s="168" t="str">
        <f t="shared" si="270"/>
        <v>-0.084070554760186+0.1186608258644i</v>
      </c>
      <c r="AQ449" s="98">
        <f t="shared" si="271"/>
        <v>-16.747255689790077</v>
      </c>
      <c r="AR449" s="169">
        <f t="shared" si="272"/>
        <v>125.31736591302298</v>
      </c>
      <c r="AS449" s="168" t="str">
        <f t="shared" si="273"/>
        <v>0.00404452035981523-0.076672230272651i</v>
      </c>
      <c r="AT449" s="190">
        <f t="shared" si="274"/>
        <v>-22.295169980167667</v>
      </c>
      <c r="AU449" s="169">
        <f t="shared" si="275"/>
        <v>-86.980401383365688</v>
      </c>
      <c r="AV449" s="225"/>
      <c r="AX449">
        <f t="shared" si="276"/>
        <v>0</v>
      </c>
      <c r="AY449">
        <f t="shared" si="277"/>
        <v>0</v>
      </c>
    </row>
    <row r="450" spans="14:51" x14ac:dyDescent="0.2">
      <c r="N450" s="170">
        <v>32</v>
      </c>
      <c r="O450" s="199">
        <f t="shared" si="278"/>
        <v>208929.61308540447</v>
      </c>
      <c r="P450" s="189" t="str">
        <f t="shared" si="244"/>
        <v>1757.57575757576</v>
      </c>
      <c r="Q450" s="160" t="str">
        <f t="shared" si="245"/>
        <v>1+75701.5404016392i</v>
      </c>
      <c r="R450" s="160">
        <f t="shared" si="253"/>
        <v>75701.54040824408</v>
      </c>
      <c r="S450" s="160">
        <f t="shared" si="254"/>
        <v>1.5707831170240698</v>
      </c>
      <c r="T450" s="160" t="str">
        <f t="shared" si="246"/>
        <v>1+367.568173048421i</v>
      </c>
      <c r="U450" s="160">
        <f t="shared" si="255"/>
        <v>367.5695333377808</v>
      </c>
      <c r="V450" s="160">
        <f t="shared" si="256"/>
        <v>1.5680757497532951</v>
      </c>
      <c r="W450" s="98" t="str">
        <f t="shared" si="247"/>
        <v>1-0.236567313755122i</v>
      </c>
      <c r="X450" s="160">
        <f t="shared" si="257"/>
        <v>1.0276011356247687</v>
      </c>
      <c r="Y450" s="160">
        <f t="shared" si="258"/>
        <v>-0.23229672975045818</v>
      </c>
      <c r="Z450" s="98" t="str">
        <f t="shared" si="248"/>
        <v>-16.4606332896068-5.56118973925466i</v>
      </c>
      <c r="AA450" s="160">
        <f t="shared" si="259"/>
        <v>17.374673510915333</v>
      </c>
      <c r="AB450" s="160">
        <f t="shared" si="260"/>
        <v>-2.8157845424323091</v>
      </c>
      <c r="AC450" s="171" t="str">
        <f t="shared" si="261"/>
        <v>-0.427414858741747+0.268451395998801i</v>
      </c>
      <c r="AD450" s="190">
        <f t="shared" si="262"/>
        <v>-5.9388646624447885</v>
      </c>
      <c r="AE450" s="169">
        <f t="shared" si="263"/>
        <v>147.86782737194744</v>
      </c>
      <c r="AF450" s="98" t="str">
        <f t="shared" si="249"/>
        <v>-0.0000114342530449913</v>
      </c>
      <c r="AG450" s="98" t="str">
        <f t="shared" si="250"/>
        <v>0.15759485419451i</v>
      </c>
      <c r="AH450" s="98">
        <f t="shared" si="264"/>
        <v>0.15759485419451</v>
      </c>
      <c r="AI450" s="98">
        <f t="shared" si="265"/>
        <v>1.5707963267948966</v>
      </c>
      <c r="AJ450" s="98" t="str">
        <f t="shared" si="251"/>
        <v>1+1.44341639919056i</v>
      </c>
      <c r="AK450" s="98">
        <f t="shared" si="266"/>
        <v>1.7559757690390381</v>
      </c>
      <c r="AL450" s="98">
        <f t="shared" si="267"/>
        <v>0.96491841620648366</v>
      </c>
      <c r="AM450" s="98" t="str">
        <f t="shared" si="252"/>
        <v>1+3465.64277445653i</v>
      </c>
      <c r="AN450" s="98">
        <f t="shared" si="268"/>
        <v>3465.6429187299077</v>
      </c>
      <c r="AO450" s="98">
        <f t="shared" si="269"/>
        <v>1.5705077800411407</v>
      </c>
      <c r="AP450" s="168" t="str">
        <f t="shared" si="270"/>
        <v>-0.0815138875224743+0.117731036747739i</v>
      </c>
      <c r="AQ450" s="98">
        <f t="shared" si="271"/>
        <v>-16.881378781062175</v>
      </c>
      <c r="AR450" s="169">
        <f t="shared" si="272"/>
        <v>124.69771466573833</v>
      </c>
      <c r="AS450" s="168" t="str">
        <f t="shared" si="273"/>
        <v>0.00323518555359233-0.0722025113397518i</v>
      </c>
      <c r="AT450" s="190">
        <f t="shared" si="274"/>
        <v>-22.820243443506957</v>
      </c>
      <c r="AU450" s="169">
        <f t="shared" si="275"/>
        <v>-87.434457962314184</v>
      </c>
      <c r="AV450" s="225"/>
      <c r="AX450">
        <f t="shared" si="276"/>
        <v>0</v>
      </c>
      <c r="AY450">
        <f t="shared" si="277"/>
        <v>0</v>
      </c>
    </row>
    <row r="451" spans="14:51" x14ac:dyDescent="0.2">
      <c r="N451" s="170">
        <v>33</v>
      </c>
      <c r="O451" s="199">
        <f t="shared" si="278"/>
        <v>213796.20895022334</v>
      </c>
      <c r="P451" s="189" t="str">
        <f t="shared" si="244"/>
        <v>1757.57575757576</v>
      </c>
      <c r="Q451" s="160" t="str">
        <f t="shared" si="245"/>
        <v>1+77464.8557978555i</v>
      </c>
      <c r="R451" s="160">
        <f t="shared" si="253"/>
        <v>77464.855804310035</v>
      </c>
      <c r="S451" s="160">
        <f t="shared" si="254"/>
        <v>1.5707834177151643</v>
      </c>
      <c r="T451" s="160" t="str">
        <f t="shared" si="246"/>
        <v>1+376.129935665887i</v>
      </c>
      <c r="U451" s="160">
        <f t="shared" si="255"/>
        <v>376.13126499139133</v>
      </c>
      <c r="V451" s="160">
        <f t="shared" si="256"/>
        <v>1.568137677352146</v>
      </c>
      <c r="W451" s="98" t="str">
        <f t="shared" si="247"/>
        <v>1-0.242077674368298i</v>
      </c>
      <c r="X451" s="160">
        <f t="shared" si="257"/>
        <v>1.0288836671011761</v>
      </c>
      <c r="Y451" s="160">
        <f t="shared" si="258"/>
        <v>-0.23750857051848556</v>
      </c>
      <c r="Z451" s="98" t="str">
        <f t="shared" si="248"/>
        <v>-17.2835275845951-5.69072648892292i</v>
      </c>
      <c r="AA451" s="160">
        <f t="shared" si="259"/>
        <v>18.196282415350357</v>
      </c>
      <c r="AB451" s="160">
        <f t="shared" si="260"/>
        <v>-2.8235150633678985</v>
      </c>
      <c r="AC451" s="171" t="str">
        <f t="shared" si="261"/>
        <v>-0.40928614899448+0.255594772328284i</v>
      </c>
      <c r="AD451" s="190">
        <f t="shared" si="262"/>
        <v>-6.3293524817513314</v>
      </c>
      <c r="AE451" s="169">
        <f t="shared" si="263"/>
        <v>148.01566807721093</v>
      </c>
      <c r="AF451" s="98" t="str">
        <f t="shared" si="249"/>
        <v>-0.0000114342530449913</v>
      </c>
      <c r="AG451" s="98" t="str">
        <f t="shared" si="250"/>
        <v>0.161265709916749i</v>
      </c>
      <c r="AH451" s="98">
        <f t="shared" si="264"/>
        <v>0.16126570991674899</v>
      </c>
      <c r="AI451" s="98">
        <f t="shared" si="265"/>
        <v>1.5707963267948966</v>
      </c>
      <c r="AJ451" s="98" t="str">
        <f t="shared" si="251"/>
        <v>1+1.47703788623482i</v>
      </c>
      <c r="AK451" s="98">
        <f t="shared" si="266"/>
        <v>1.7837154810599767</v>
      </c>
      <c r="AL451" s="98">
        <f t="shared" si="267"/>
        <v>0.97565289984017944</v>
      </c>
      <c r="AM451" s="98" t="str">
        <f t="shared" si="252"/>
        <v>1+3546.36796484979i</v>
      </c>
      <c r="AN451" s="98">
        <f t="shared" si="268"/>
        <v>3546.3681058391053</v>
      </c>
      <c r="AO451" s="98">
        <f t="shared" si="269"/>
        <v>1.5705143481667883</v>
      </c>
      <c r="AP451" s="168" t="str">
        <f t="shared" si="270"/>
        <v>-0.0789982516850381+0.116754313873716i</v>
      </c>
      <c r="AQ451" s="98">
        <f t="shared" si="271"/>
        <v>-17.017520055358471</v>
      </c>
      <c r="AR451" s="169">
        <f t="shared" si="272"/>
        <v>124.08305038415402</v>
      </c>
      <c r="AS451" s="168" t="str">
        <f t="shared" si="273"/>
        <v>0.00249109793656848-0.0679774636576358i</v>
      </c>
      <c r="AT451" s="190">
        <f t="shared" si="274"/>
        <v>-23.3468725371098</v>
      </c>
      <c r="AU451" s="169">
        <f t="shared" si="275"/>
        <v>-87.901281538635047</v>
      </c>
      <c r="AV451" s="225"/>
      <c r="AX451">
        <f t="shared" si="276"/>
        <v>0</v>
      </c>
      <c r="AY451">
        <f t="shared" si="277"/>
        <v>0</v>
      </c>
    </row>
    <row r="452" spans="14:51" x14ac:dyDescent="0.2">
      <c r="N452" s="170">
        <v>34</v>
      </c>
      <c r="O452" s="199">
        <f t="shared" si="278"/>
        <v>218776.16239495538</v>
      </c>
      <c r="P452" s="189" t="str">
        <f t="shared" si="244"/>
        <v>1757.57575757576</v>
      </c>
      <c r="Q452" s="160" t="str">
        <f t="shared" si="245"/>
        <v>1+79269.2440859848i</v>
      </c>
      <c r="R452" s="160">
        <f t="shared" si="253"/>
        <v>79269.2440922924</v>
      </c>
      <c r="S452" s="160">
        <f t="shared" si="254"/>
        <v>1.5707837115616938</v>
      </c>
      <c r="T452" s="160" t="str">
        <f t="shared" si="246"/>
        <v>1+384.891127353914i</v>
      </c>
      <c r="U452" s="160">
        <f t="shared" si="255"/>
        <v>384.89242642037891</v>
      </c>
      <c r="V452" s="160">
        <f t="shared" si="256"/>
        <v>1.5681981953264521</v>
      </c>
      <c r="W452" s="98" t="str">
        <f t="shared" si="247"/>
        <v>1-0.247716387768702i</v>
      </c>
      <c r="X452" s="160">
        <f t="shared" si="257"/>
        <v>1.0302249311529856</v>
      </c>
      <c r="Y452" s="160">
        <f t="shared" si="258"/>
        <v>-0.24282822886737812</v>
      </c>
      <c r="Z452" s="98" t="str">
        <f t="shared" si="248"/>
        <v>-18.1452036929056-5.82328053710129i</v>
      </c>
      <c r="AA452" s="160">
        <f t="shared" si="259"/>
        <v>19.056731442480309</v>
      </c>
      <c r="AB452" s="160">
        <f t="shared" si="260"/>
        <v>-2.8310493050970003</v>
      </c>
      <c r="AC452" s="171" t="str">
        <f t="shared" si="261"/>
        <v>-0.391870355545864+0.243481477959865i</v>
      </c>
      <c r="AD452" s="190">
        <f t="shared" si="262"/>
        <v>-6.7193531168403533</v>
      </c>
      <c r="AE452" s="169">
        <f t="shared" si="263"/>
        <v>148.14600494662307</v>
      </c>
      <c r="AF452" s="98" t="str">
        <f t="shared" si="249"/>
        <v>-0.0000114342530449913</v>
      </c>
      <c r="AG452" s="98" t="str">
        <f t="shared" si="250"/>
        <v>0.16502207085299i</v>
      </c>
      <c r="AH452" s="98">
        <f t="shared" si="264"/>
        <v>0.16502207085299</v>
      </c>
      <c r="AI452" s="98">
        <f t="shared" si="265"/>
        <v>1.5707963267948966</v>
      </c>
      <c r="AJ452" s="98" t="str">
        <f t="shared" si="251"/>
        <v>1+1.51144251831727i</v>
      </c>
      <c r="AK452" s="98">
        <f t="shared" si="266"/>
        <v>1.812307503206134</v>
      </c>
      <c r="AL452" s="98">
        <f t="shared" si="267"/>
        <v>0.98629598769211202</v>
      </c>
      <c r="AM452" s="98" t="str">
        <f t="shared" si="252"/>
        <v>1+3628.97348647975i</v>
      </c>
      <c r="AN452" s="98">
        <f t="shared" si="268"/>
        <v>3628.9736242597569</v>
      </c>
      <c r="AO452" s="98">
        <f t="shared" si="269"/>
        <v>1.5705207667836663</v>
      </c>
      <c r="AP452" s="168" t="str">
        <f t="shared" si="270"/>
        <v>-0.0765252692399189+0.115732834889874i</v>
      </c>
      <c r="AQ452" s="98">
        <f t="shared" si="271"/>
        <v>-17.155646208336876</v>
      </c>
      <c r="AR452" s="169">
        <f t="shared" si="272"/>
        <v>123.47361412890909</v>
      </c>
      <c r="AS452" s="168" t="str">
        <f t="shared" si="273"/>
        <v>0.00180918277781844-0.0639847528124377i</v>
      </c>
      <c r="AT452" s="190">
        <f t="shared" si="274"/>
        <v>-23.874999325177235</v>
      </c>
      <c r="AU452" s="169">
        <f t="shared" si="275"/>
        <v>-88.380380924467815</v>
      </c>
      <c r="AV452" s="225"/>
      <c r="AX452">
        <f t="shared" si="276"/>
        <v>0</v>
      </c>
      <c r="AY452">
        <f t="shared" si="277"/>
        <v>0</v>
      </c>
    </row>
    <row r="453" spans="14:51" x14ac:dyDescent="0.2">
      <c r="N453" s="170">
        <v>35</v>
      </c>
      <c r="O453" s="199">
        <f t="shared" si="278"/>
        <v>223872.11385683404</v>
      </c>
      <c r="P453" s="189" t="str">
        <f t="shared" si="244"/>
        <v>1757.57575757576</v>
      </c>
      <c r="Q453" s="160" t="str">
        <f t="shared" si="245"/>
        <v>1+81115.661976581i</v>
      </c>
      <c r="R453" s="160">
        <f t="shared" si="253"/>
        <v>81115.661982745049</v>
      </c>
      <c r="S453" s="160">
        <f t="shared" si="254"/>
        <v>1.5707839987194598</v>
      </c>
      <c r="T453" s="160" t="str">
        <f t="shared" si="246"/>
        <v>1+393.8563934123i</v>
      </c>
      <c r="U453" s="160">
        <f t="shared" si="255"/>
        <v>393.85766290849853</v>
      </c>
      <c r="V453" s="160">
        <f t="shared" si="256"/>
        <v>1.5682573357618703</v>
      </c>
      <c r="W453" s="98" t="str">
        <f t="shared" si="247"/>
        <v>1-0.253486443676815i</v>
      </c>
      <c r="X453" s="160">
        <f t="shared" si="257"/>
        <v>1.0316275379844797</v>
      </c>
      <c r="Y453" s="160">
        <f t="shared" si="258"/>
        <v>-0.24825732051096905</v>
      </c>
      <c r="Z453" s="98" t="str">
        <f t="shared" si="248"/>
        <v>-19.0474893450911-5.95892216570067i</v>
      </c>
      <c r="AA453" s="160">
        <f t="shared" si="259"/>
        <v>19.95784566851437</v>
      </c>
      <c r="AB453" s="160">
        <f t="shared" si="260"/>
        <v>-2.8383930145539775</v>
      </c>
      <c r="AC453" s="171" t="str">
        <f t="shared" si="261"/>
        <v>-0.375145137678491+0.232064677229283i</v>
      </c>
      <c r="AD453" s="190">
        <f t="shared" si="262"/>
        <v>-7.108841939571187</v>
      </c>
      <c r="AE453" s="169">
        <f t="shared" si="263"/>
        <v>148.25907651113079</v>
      </c>
      <c r="AF453" s="98" t="str">
        <f t="shared" si="249"/>
        <v>-0.0000114342530449913</v>
      </c>
      <c r="AG453" s="98" t="str">
        <f t="shared" si="250"/>
        <v>0.168865928675523i</v>
      </c>
      <c r="AH453" s="98">
        <f t="shared" si="264"/>
        <v>0.168865928675523</v>
      </c>
      <c r="AI453" s="98">
        <f t="shared" si="265"/>
        <v>1.5707963267948966</v>
      </c>
      <c r="AJ453" s="98" t="str">
        <f t="shared" si="251"/>
        <v>1+1.54664853722924i</v>
      </c>
      <c r="AK453" s="98">
        <f t="shared" si="266"/>
        <v>1.8417713478370077</v>
      </c>
      <c r="AL453" s="98">
        <f t="shared" si="267"/>
        <v>0.9968436779981289</v>
      </c>
      <c r="AM453" s="98" t="str">
        <f t="shared" si="252"/>
        <v>1+3713.5031378874i</v>
      </c>
      <c r="AN453" s="98">
        <f t="shared" si="268"/>
        <v>3713.5032725311512</v>
      </c>
      <c r="AO453" s="98">
        <f t="shared" si="269"/>
        <v>1.5705270392950086</v>
      </c>
      <c r="AP453" s="168" t="str">
        <f t="shared" si="270"/>
        <v>-0.0740964188081707+0.114668829783021i</v>
      </c>
      <c r="AQ453" s="98">
        <f t="shared" si="271"/>
        <v>-17.295722701959598</v>
      </c>
      <c r="AR453" s="169">
        <f t="shared" si="272"/>
        <v>122.86963537918994</v>
      </c>
      <c r="AS453" s="168" t="str">
        <f t="shared" si="273"/>
        <v>0.00118632626341796-0.0602126154509468i</v>
      </c>
      <c r="AT453" s="190">
        <f t="shared" si="274"/>
        <v>-24.404564641530783</v>
      </c>
      <c r="AU453" s="169">
        <f t="shared" si="275"/>
        <v>-88.87128810967927</v>
      </c>
      <c r="AV453" s="225"/>
      <c r="AX453">
        <f t="shared" si="276"/>
        <v>0</v>
      </c>
      <c r="AY453">
        <f t="shared" si="277"/>
        <v>0</v>
      </c>
    </row>
    <row r="454" spans="14:51" x14ac:dyDescent="0.2">
      <c r="N454" s="170">
        <v>36</v>
      </c>
      <c r="O454" s="199">
        <f t="shared" si="278"/>
        <v>229086.76527677779</v>
      </c>
      <c r="P454" s="189" t="str">
        <f t="shared" si="244"/>
        <v>1757.57575757576</v>
      </c>
      <c r="Q454" s="160" t="str">
        <f t="shared" si="245"/>
        <v>1+83005.0884648497i</v>
      </c>
      <c r="R454" s="160">
        <f t="shared" si="253"/>
        <v>83005.088470873437</v>
      </c>
      <c r="S454" s="160">
        <f t="shared" si="254"/>
        <v>1.570784279340717</v>
      </c>
      <c r="T454" s="160" t="str">
        <f t="shared" si="246"/>
        <v>1+403.030487343778i</v>
      </c>
      <c r="U454" s="160">
        <f t="shared" si="255"/>
        <v>403.03172794280499</v>
      </c>
      <c r="V454" s="160">
        <f t="shared" si="256"/>
        <v>1.5683151300137863</v>
      </c>
      <c r="W454" s="98" t="str">
        <f t="shared" si="247"/>
        <v>1-0.259390901452655i</v>
      </c>
      <c r="X454" s="160">
        <f t="shared" si="257"/>
        <v>1.0330942066222328</v>
      </c>
      <c r="Y454" s="160">
        <f t="shared" si="258"/>
        <v>-0.25379744329747983</v>
      </c>
      <c r="Z454" s="98" t="str">
        <f t="shared" si="248"/>
        <v>-19.9922984099911-6.09772329370794i</v>
      </c>
      <c r="AA454" s="160">
        <f t="shared" si="259"/>
        <v>20.901536428711672</v>
      </c>
      <c r="AB454" s="160">
        <f t="shared" si="260"/>
        <v>-2.8455517314855374</v>
      </c>
      <c r="AC454" s="171" t="str">
        <f t="shared" si="261"/>
        <v>-0.359088219759985+0.221300547744742i</v>
      </c>
      <c r="AD454" s="190">
        <f t="shared" si="262"/>
        <v>-7.497794236705893</v>
      </c>
      <c r="AE454" s="169">
        <f t="shared" si="263"/>
        <v>148.35511041268794</v>
      </c>
      <c r="AF454" s="98" t="str">
        <f t="shared" si="249"/>
        <v>-0.0000114342530449913</v>
      </c>
      <c r="AG454" s="98" t="str">
        <f t="shared" si="250"/>
        <v>0.172799321448645i</v>
      </c>
      <c r="AH454" s="98">
        <f t="shared" si="264"/>
        <v>0.17279932144864499</v>
      </c>
      <c r="AI454" s="98">
        <f t="shared" si="265"/>
        <v>1.5707963267948966</v>
      </c>
      <c r="AJ454" s="98" t="str">
        <f t="shared" si="251"/>
        <v>1+1.58267460966796i</v>
      </c>
      <c r="AK454" s="98">
        <f t="shared" si="266"/>
        <v>1.8721268440166201</v>
      </c>
      <c r="AL454" s="98">
        <f t="shared" si="267"/>
        <v>1.007292175351046</v>
      </c>
      <c r="AM454" s="98" t="str">
        <f t="shared" si="252"/>
        <v>1+3800.00173781276i</v>
      </c>
      <c r="AN454" s="98">
        <f t="shared" si="268"/>
        <v>3800.001869391645</v>
      </c>
      <c r="AO454" s="98">
        <f t="shared" si="269"/>
        <v>1.5705331690265816</v>
      </c>
      <c r="AP454" s="168" t="str">
        <f t="shared" si="270"/>
        <v>-0.0717130348732453+0.11356457018182i</v>
      </c>
      <c r="AQ454" s="98">
        <f t="shared" si="271"/>
        <v>-17.437713878942084</v>
      </c>
      <c r="AR454" s="169">
        <f t="shared" si="272"/>
        <v>122.27133178636284</v>
      </c>
      <c r="AS454" s="168" t="str">
        <f t="shared" si="273"/>
        <v>0.000619404440586419-0.0566498332322846i</v>
      </c>
      <c r="AT454" s="190">
        <f t="shared" si="274"/>
        <v>-24.935508115647977</v>
      </c>
      <c r="AU454" s="169">
        <f t="shared" si="275"/>
        <v>-89.373557800949243</v>
      </c>
      <c r="AV454" s="225"/>
      <c r="AX454">
        <f t="shared" si="276"/>
        <v>0</v>
      </c>
      <c r="AY454">
        <f t="shared" si="277"/>
        <v>0</v>
      </c>
    </row>
    <row r="455" spans="14:51" x14ac:dyDescent="0.2">
      <c r="N455" s="170">
        <v>37</v>
      </c>
      <c r="O455" s="199">
        <f t="shared" si="278"/>
        <v>234422.88153199267</v>
      </c>
      <c r="P455" s="189" t="str">
        <f t="shared" si="244"/>
        <v>1757.57575757576</v>
      </c>
      <c r="Q455" s="160" t="str">
        <f t="shared" si="245"/>
        <v>1+84938.5253497249i</v>
      </c>
      <c r="R455" s="160">
        <f t="shared" si="253"/>
        <v>84938.52535561152</v>
      </c>
      <c r="S455" s="160">
        <f t="shared" si="254"/>
        <v>1.5707845535742546</v>
      </c>
      <c r="T455" s="160" t="str">
        <f t="shared" si="246"/>
        <v>1+412.418273374386i</v>
      </c>
      <c r="U455" s="160">
        <f t="shared" si="255"/>
        <v>412.41948573401544</v>
      </c>
      <c r="V455" s="160">
        <f t="shared" si="256"/>
        <v>1.5683716087239326</v>
      </c>
      <c r="W455" s="98" t="str">
        <f t="shared" si="247"/>
        <v>1-0.265432891717889i</v>
      </c>
      <c r="X455" s="160">
        <f t="shared" si="257"/>
        <v>1.0346277688162639</v>
      </c>
      <c r="Y455" s="160">
        <f t="shared" si="258"/>
        <v>-0.2594501737585907</v>
      </c>
      <c r="Z455" s="98" t="str">
        <f t="shared" si="248"/>
        <v>-20.9816349543052-6.23975751531846i</v>
      </c>
      <c r="AA455" s="160">
        <f t="shared" si="259"/>
        <v>21.88980537158097</v>
      </c>
      <c r="AB455" s="160">
        <f t="shared" si="260"/>
        <v>-2.8525307971888996</v>
      </c>
      <c r="AC455" s="171" t="str">
        <f t="shared" si="261"/>
        <v>-0.343677480830733+0.211148091954195i</v>
      </c>
      <c r="AD455" s="190">
        <f t="shared" si="262"/>
        <v>-7.8861851290465603</v>
      </c>
      <c r="AE455" s="169">
        <f t="shared" si="263"/>
        <v>148.43432410358767</v>
      </c>
      <c r="AF455" s="98" t="str">
        <f t="shared" si="249"/>
        <v>-0.0000114342530449913</v>
      </c>
      <c r="AG455" s="98" t="str">
        <f t="shared" si="250"/>
        <v>0.176824334709268i</v>
      </c>
      <c r="AH455" s="98">
        <f t="shared" si="264"/>
        <v>0.17682433470926801</v>
      </c>
      <c r="AI455" s="98">
        <f t="shared" si="265"/>
        <v>1.5707963267948966</v>
      </c>
      <c r="AJ455" s="98" t="str">
        <f t="shared" si="251"/>
        <v>1+1.6195398371339i</v>
      </c>
      <c r="AK455" s="98">
        <f t="shared" si="266"/>
        <v>1.9033941483738201</v>
      </c>
      <c r="AL455" s="98">
        <f t="shared" si="267"/>
        <v>1.0176378940312316</v>
      </c>
      <c r="AM455" s="98" t="str">
        <f t="shared" si="252"/>
        <v>1+3888.51514895849i</v>
      </c>
      <c r="AN455" s="98">
        <f t="shared" si="268"/>
        <v>3888.5152775422739</v>
      </c>
      <c r="AO455" s="98">
        <f t="shared" si="269"/>
        <v>1.5705391592284483</v>
      </c>
      <c r="AP455" s="168" t="str">
        <f t="shared" si="270"/>
        <v>-0.0693763078936731+0.112422358863619i</v>
      </c>
      <c r="AQ455" s="98">
        <f t="shared" si="271"/>
        <v>-17.581583077457719</v>
      </c>
      <c r="AR455" s="169">
        <f t="shared" si="272"/>
        <v>121.67890898324397</v>
      </c>
      <c r="AS455" s="168" t="str">
        <f t="shared" si="273"/>
        <v>0.000105308159191936-0.053285708121873i</v>
      </c>
      <c r="AT455" s="190">
        <f t="shared" si="274"/>
        <v>-25.467768206504285</v>
      </c>
      <c r="AU455" s="169">
        <f t="shared" si="275"/>
        <v>-89.886766913168344</v>
      </c>
      <c r="AV455" s="225"/>
      <c r="AX455">
        <f t="shared" si="276"/>
        <v>0</v>
      </c>
      <c r="AY455">
        <f t="shared" si="277"/>
        <v>0</v>
      </c>
    </row>
    <row r="456" spans="14:51" x14ac:dyDescent="0.2">
      <c r="N456" s="170">
        <v>38</v>
      </c>
      <c r="O456" s="199">
        <f t="shared" si="278"/>
        <v>239883.29190194907</v>
      </c>
      <c r="P456" s="189" t="str">
        <f t="shared" si="244"/>
        <v>1757.57575757576</v>
      </c>
      <c r="Q456" s="160" t="str">
        <f t="shared" si="245"/>
        <v>1+86916.9977650344i</v>
      </c>
      <c r="R456" s="160">
        <f t="shared" si="253"/>
        <v>86916.997770786998</v>
      </c>
      <c r="S456" s="160">
        <f t="shared" si="254"/>
        <v>1.5707848215654747</v>
      </c>
      <c r="T456" s="160" t="str">
        <f t="shared" si="246"/>
        <v>1+422.024729032536i</v>
      </c>
      <c r="U456" s="160">
        <f t="shared" si="255"/>
        <v>422.02591379556952</v>
      </c>
      <c r="V456" s="160">
        <f t="shared" si="256"/>
        <v>1.5684268018366265</v>
      </c>
      <c r="W456" s="98" t="str">
        <f t="shared" si="247"/>
        <v>1-0.271615618015732i</v>
      </c>
      <c r="X456" s="160">
        <f t="shared" si="257"/>
        <v>1.0362311730256275</v>
      </c>
      <c r="Y456" s="160">
        <f t="shared" si="258"/>
        <v>-0.26521706345777651</v>
      </c>
      <c r="Z456" s="98" t="str">
        <f t="shared" si="248"/>
        <v>-22.0175974934864-6.38510013895653i</v>
      </c>
      <c r="AA456" s="160">
        <f t="shared" si="259"/>
        <v>22.924748704613563</v>
      </c>
      <c r="AB456" s="160">
        <f t="shared" si="260"/>
        <v>-2.8593353629132672</v>
      </c>
      <c r="AC456" s="171" t="str">
        <f t="shared" si="261"/>
        <v>-0.328891030926378+0.201568959193532i</v>
      </c>
      <c r="AD456" s="190">
        <f t="shared" si="262"/>
        <v>-8.2739894976161672</v>
      </c>
      <c r="AE456" s="169">
        <f t="shared" si="263"/>
        <v>148.49692553798229</v>
      </c>
      <c r="AF456" s="98" t="str">
        <f t="shared" si="249"/>
        <v>-0.0000114342530449913</v>
      </c>
      <c r="AG456" s="98" t="str">
        <f t="shared" si="250"/>
        <v>0.1809431025727i</v>
      </c>
      <c r="AH456" s="98">
        <f t="shared" si="264"/>
        <v>0.18094310257269999</v>
      </c>
      <c r="AI456" s="98">
        <f t="shared" si="265"/>
        <v>1.5707963267948966</v>
      </c>
      <c r="AJ456" s="98" t="str">
        <f t="shared" si="251"/>
        <v>1+1.65726376605863i</v>
      </c>
      <c r="AK456" s="98">
        <f t="shared" si="266"/>
        <v>1.9355937565230039</v>
      </c>
      <c r="AL456" s="98">
        <f t="shared" si="267"/>
        <v>1.0278774603882044</v>
      </c>
      <c r="AM456" s="98" t="str">
        <f t="shared" si="252"/>
        <v>1+3979.09030230677i</v>
      </c>
      <c r="AN456" s="98">
        <f t="shared" si="268"/>
        <v>3979.0904279636302</v>
      </c>
      <c r="AO456" s="98">
        <f t="shared" si="269"/>
        <v>1.5705450130766914</v>
      </c>
      <c r="AP456" s="168" t="str">
        <f t="shared" si="270"/>
        <v>-0.0670872852498048+0.111244519541098i</v>
      </c>
      <c r="AQ456" s="98">
        <f t="shared" si="271"/>
        <v>-17.72729274541943</v>
      </c>
      <c r="AR456" s="169">
        <f t="shared" si="272"/>
        <v>121.09256044774347</v>
      </c>
      <c r="AS456" s="168" t="str">
        <f t="shared" si="273"/>
        <v>-0.000359035612023363-0.0501100389797041i</v>
      </c>
      <c r="AT456" s="190">
        <f t="shared" si="274"/>
        <v>-26.00128224303559</v>
      </c>
      <c r="AU456" s="169">
        <f t="shared" si="275"/>
        <v>-90.410514014274199</v>
      </c>
      <c r="AV456" s="225"/>
      <c r="AX456">
        <f t="shared" si="276"/>
        <v>0</v>
      </c>
      <c r="AY456">
        <f t="shared" si="277"/>
        <v>0</v>
      </c>
    </row>
    <row r="457" spans="14:51" x14ac:dyDescent="0.2">
      <c r="N457" s="170">
        <v>39</v>
      </c>
      <c r="O457" s="199">
        <f t="shared" si="278"/>
        <v>245470.89156850305</v>
      </c>
      <c r="P457" s="189" t="str">
        <f t="shared" si="244"/>
        <v>1757.57575757576</v>
      </c>
      <c r="Q457" s="160" t="str">
        <f t="shared" si="245"/>
        <v>1+88941.5547230415i</v>
      </c>
      <c r="R457" s="160">
        <f t="shared" si="253"/>
        <v>88941.554728663163</v>
      </c>
      <c r="S457" s="160">
        <f t="shared" si="254"/>
        <v>1.5707850834564698</v>
      </c>
      <c r="T457" s="160" t="str">
        <f t="shared" si="246"/>
        <v>1+431.854947788177i</v>
      </c>
      <c r="U457" s="160">
        <f t="shared" si="255"/>
        <v>431.85610558278449</v>
      </c>
      <c r="V457" s="160">
        <f t="shared" si="256"/>
        <v>1.5684807386146411</v>
      </c>
      <c r="W457" s="98" t="str">
        <f t="shared" si="247"/>
        <v>1-0.277942358509504i</v>
      </c>
      <c r="X457" s="160">
        <f t="shared" si="257"/>
        <v>1.0379074884852819</v>
      </c>
      <c r="Y457" s="160">
        <f t="shared" si="258"/>
        <v>-0.27109963513376545</v>
      </c>
      <c r="Z457" s="98" t="str">
        <f t="shared" si="248"/>
        <v>-23.1023834429743-6.53382822720508i</v>
      </c>
      <c r="AA457" s="160">
        <f t="shared" si="259"/>
        <v>24.008561640565535</v>
      </c>
      <c r="AB457" s="160">
        <f t="shared" si="260"/>
        <v>-2.8659703979253646</v>
      </c>
      <c r="AC457" s="171" t="str">
        <f t="shared" si="261"/>
        <v>-0.31470727565471+0.192527277865048i</v>
      </c>
      <c r="AD457" s="190">
        <f t="shared" si="262"/>
        <v>-8.661181916439519</v>
      </c>
      <c r="AE457" s="169">
        <f t="shared" si="263"/>
        <v>148.54311385587167</v>
      </c>
      <c r="AF457" s="98" t="str">
        <f t="shared" si="249"/>
        <v>-0.0000114342530449913</v>
      </c>
      <c r="AG457" s="98" t="str">
        <f t="shared" si="250"/>
        <v>0.185157808864181i</v>
      </c>
      <c r="AH457" s="98">
        <f t="shared" si="264"/>
        <v>0.18515780886418101</v>
      </c>
      <c r="AI457" s="98">
        <f t="shared" si="265"/>
        <v>1.5707963267948966</v>
      </c>
      <c r="AJ457" s="98" t="str">
        <f t="shared" si="251"/>
        <v>1+1.6958663981686i</v>
      </c>
      <c r="AK457" s="98">
        <f t="shared" si="266"/>
        <v>1.9687465150286212</v>
      </c>
      <c r="AL457" s="98">
        <f t="shared" si="267"/>
        <v>1.0380077143020698</v>
      </c>
      <c r="AM457" s="98" t="str">
        <f t="shared" si="252"/>
        <v>1+4071.77522200281i</v>
      </c>
      <c r="AN457" s="98">
        <f t="shared" si="268"/>
        <v>4071.7753447993705</v>
      </c>
      <c r="AO457" s="98">
        <f t="shared" si="269"/>
        <v>1.570550733675097</v>
      </c>
      <c r="AP457" s="168" t="str">
        <f t="shared" si="270"/>
        <v>-0.0648468729730364+0.110033386996963i</v>
      </c>
      <c r="AQ457" s="98">
        <f t="shared" si="271"/>
        <v>-17.874804553691881</v>
      </c>
      <c r="AR457" s="169">
        <f t="shared" si="272"/>
        <v>120.51246741922799</v>
      </c>
      <c r="AS457" s="168" t="str">
        <f t="shared" si="273"/>
        <v>-0.000776645744725322-0.0471130993844339i</v>
      </c>
      <c r="AT457" s="190">
        <f t="shared" si="274"/>
        <v>-26.535986470131391</v>
      </c>
      <c r="AU457" s="169">
        <f t="shared" si="275"/>
        <v>-90.944418724900331</v>
      </c>
      <c r="AV457" s="225"/>
      <c r="AX457">
        <f t="shared" si="276"/>
        <v>0</v>
      </c>
      <c r="AY457">
        <f t="shared" si="277"/>
        <v>0</v>
      </c>
    </row>
    <row r="458" spans="14:51" x14ac:dyDescent="0.2">
      <c r="N458" s="170">
        <v>40</v>
      </c>
      <c r="O458" s="199">
        <f t="shared" si="278"/>
        <v>251188.64315095844</v>
      </c>
      <c r="P458" s="189" t="str">
        <f t="shared" si="244"/>
        <v>1757.57575757576</v>
      </c>
      <c r="Q458" s="160" t="str">
        <f t="shared" si="245"/>
        <v>1+91013.2696706439i</v>
      </c>
      <c r="R458" s="160">
        <f t="shared" si="253"/>
        <v>91013.269676137599</v>
      </c>
      <c r="S458" s="160">
        <f t="shared" si="254"/>
        <v>1.5707853393860982</v>
      </c>
      <c r="T458" s="160" t="str">
        <f t="shared" si="246"/>
        <v>1+441.914141753415i</v>
      </c>
      <c r="U458" s="160">
        <f t="shared" si="255"/>
        <v>441.91527319346784</v>
      </c>
      <c r="V458" s="160">
        <f t="shared" si="256"/>
        <v>1.5685334476547141</v>
      </c>
      <c r="W458" s="98" t="str">
        <f t="shared" si="247"/>
        <v>1-0.284416467720761i</v>
      </c>
      <c r="X458" s="160">
        <f t="shared" si="257"/>
        <v>1.0396599093505312</v>
      </c>
      <c r="Y458" s="160">
        <f t="shared" si="258"/>
        <v>-0.27709937863567335</v>
      </c>
      <c r="Z458" s="98" t="str">
        <f t="shared" si="248"/>
        <v>-24.2382937792079-6.68602063766516i</v>
      </c>
      <c r="AA458" s="160">
        <f t="shared" si="259"/>
        <v>25.143543053724009</v>
      </c>
      <c r="AB458" s="160">
        <f t="shared" si="260"/>
        <v>-2.8724406972422307</v>
      </c>
      <c r="AC458" s="171" t="str">
        <f t="shared" si="261"/>
        <v>-0.30110497038852+0.183989497362997i</v>
      </c>
      <c r="AD458" s="190">
        <f t="shared" si="262"/>
        <v>-9.047736591535589</v>
      </c>
      <c r="AE458" s="169">
        <f t="shared" si="263"/>
        <v>148.573080059945</v>
      </c>
      <c r="AF458" s="98" t="str">
        <f t="shared" si="249"/>
        <v>-0.0000114342530449913</v>
      </c>
      <c r="AG458" s="98" t="str">
        <f t="shared" si="250"/>
        <v>0.189470688276776i</v>
      </c>
      <c r="AH458" s="98">
        <f t="shared" si="264"/>
        <v>0.18947068827677599</v>
      </c>
      <c r="AI458" s="98">
        <f t="shared" si="265"/>
        <v>1.5707963267948966</v>
      </c>
      <c r="AJ458" s="98" t="str">
        <f t="shared" si="251"/>
        <v>1+1.73536820109034i</v>
      </c>
      <c r="AK458" s="98">
        <f t="shared" si="266"/>
        <v>2.002873633895939</v>
      </c>
      <c r="AL458" s="98">
        <f t="shared" si="267"/>
        <v>1.0480257097595056</v>
      </c>
      <c r="AM458" s="98" t="str">
        <f t="shared" si="252"/>
        <v>1+4166.61905081791i</v>
      </c>
      <c r="AN458" s="98">
        <f t="shared" si="268"/>
        <v>4166.6191708192791</v>
      </c>
      <c r="AO458" s="98">
        <f t="shared" si="269"/>
        <v>1.5705563240568006</v>
      </c>
      <c r="AP458" s="168" t="str">
        <f t="shared" si="270"/>
        <v>-0.062655838200678+0.108791297626965i</v>
      </c>
      <c r="AQ458" s="98">
        <f t="shared" si="271"/>
        <v>-18.024079507635577</v>
      </c>
      <c r="AR458" s="169">
        <f t="shared" si="272"/>
        <v>119.93879886561341</v>
      </c>
      <c r="AS458" s="168" t="str">
        <f t="shared" si="273"/>
        <v>-0.00115047186177045-0.044285616627896i</v>
      </c>
      <c r="AT458" s="190">
        <f t="shared" si="274"/>
        <v>-27.071816099171162</v>
      </c>
      <c r="AU458" s="169">
        <f t="shared" si="275"/>
        <v>-91.488121074441594</v>
      </c>
      <c r="AV458" s="225"/>
      <c r="AX458">
        <f t="shared" si="276"/>
        <v>0</v>
      </c>
      <c r="AY458">
        <f t="shared" si="277"/>
        <v>0</v>
      </c>
    </row>
    <row r="459" spans="14:51" x14ac:dyDescent="0.2">
      <c r="N459" s="170">
        <v>41</v>
      </c>
      <c r="O459" s="199">
        <f t="shared" si="278"/>
        <v>257039.57827688678</v>
      </c>
      <c r="P459" s="189" t="str">
        <f t="shared" si="244"/>
        <v>1757.57575757576</v>
      </c>
      <c r="Q459" s="160" t="str">
        <f t="shared" si="245"/>
        <v>1+93133.2410585282i</v>
      </c>
      <c r="R459" s="160">
        <f t="shared" si="253"/>
        <v>93133.241063896843</v>
      </c>
      <c r="S459" s="160">
        <f t="shared" si="254"/>
        <v>1.5707855894900569</v>
      </c>
      <c r="T459" s="160" t="str">
        <f t="shared" si="246"/>
        <v>1+452.207644446032i</v>
      </c>
      <c r="U459" s="160">
        <f t="shared" si="255"/>
        <v>452.20875013142864</v>
      </c>
      <c r="V459" s="160">
        <f t="shared" si="256"/>
        <v>1.5685849569027042</v>
      </c>
      <c r="W459" s="98" t="str">
        <f t="shared" si="247"/>
        <v>1-0.2910413783079i</v>
      </c>
      <c r="X459" s="160">
        <f t="shared" si="257"/>
        <v>1.0414917589147608</v>
      </c>
      <c r="Y459" s="160">
        <f t="shared" si="258"/>
        <v>-0.28321774664711452</v>
      </c>
      <c r="Z459" s="98" t="str">
        <f t="shared" si="248"/>
        <v>-25.4277379203039-6.84175806476724i</v>
      </c>
      <c r="AA459" s="160">
        <f t="shared" si="259"/>
        <v>26.332100356038225</v>
      </c>
      <c r="AB459" s="160">
        <f t="shared" si="260"/>
        <v>-2.8787508890364366</v>
      </c>
      <c r="AC459" s="171" t="str">
        <f t="shared" si="261"/>
        <v>-0.288063265292882+0.175924239341327i</v>
      </c>
      <c r="AD459" s="190">
        <f t="shared" si="262"/>
        <v>-9.4336273057853397</v>
      </c>
      <c r="AE459" s="169">
        <f t="shared" si="263"/>
        <v>148.58700768572206</v>
      </c>
      <c r="AF459" s="98" t="str">
        <f t="shared" si="249"/>
        <v>-0.0000114342530449913</v>
      </c>
      <c r="AG459" s="98" t="str">
        <f t="shared" si="250"/>
        <v>0.193884027556236i</v>
      </c>
      <c r="AH459" s="98">
        <f t="shared" si="264"/>
        <v>0.19388402755623599</v>
      </c>
      <c r="AI459" s="98">
        <f t="shared" si="265"/>
        <v>1.5707963267948966</v>
      </c>
      <c r="AJ459" s="98" t="str">
        <f t="shared" si="251"/>
        <v>1+1.7757901192026i</v>
      </c>
      <c r="AK459" s="98">
        <f t="shared" si="266"/>
        <v>2.0379966995698457</v>
      </c>
      <c r="AL459" s="98">
        <f t="shared" si="267"/>
        <v>1.0579287145841236</v>
      </c>
      <c r="AM459" s="98" t="str">
        <f t="shared" si="252"/>
        <v>1+4263.67207620544i</v>
      </c>
      <c r="AN459" s="98">
        <f t="shared" si="268"/>
        <v>4263.672193475245</v>
      </c>
      <c r="AO459" s="98">
        <f t="shared" si="269"/>
        <v>1.5705617871858952</v>
      </c>
      <c r="AP459" s="168" t="str">
        <f t="shared" si="270"/>
        <v>-0.0605148122955625+0.107520580443393i</v>
      </c>
      <c r="AQ459" s="98">
        <f t="shared" si="271"/>
        <v>-18.175078056428646</v>
      </c>
      <c r="AR459" s="169">
        <f t="shared" si="272"/>
        <v>119.37171149890509</v>
      </c>
      <c r="AS459" s="168" t="str">
        <f t="shared" si="273"/>
        <v>-0.00148338189959629-0.0416187518106898i</v>
      </c>
      <c r="AT459" s="190">
        <f t="shared" si="274"/>
        <v>-27.608705362213982</v>
      </c>
      <c r="AU459" s="169">
        <f t="shared" si="275"/>
        <v>-92.041280815372843</v>
      </c>
      <c r="AV459" s="225"/>
      <c r="AX459">
        <f t="shared" si="276"/>
        <v>0</v>
      </c>
      <c r="AY459">
        <f t="shared" si="277"/>
        <v>0</v>
      </c>
    </row>
    <row r="460" spans="14:51" x14ac:dyDescent="0.2">
      <c r="N460" s="170">
        <v>42</v>
      </c>
      <c r="O460" s="199">
        <f t="shared" si="278"/>
        <v>263026.79918953858</v>
      </c>
      <c r="P460" s="189" t="str">
        <f t="shared" si="244"/>
        <v>1757.57575757576</v>
      </c>
      <c r="Q460" s="160" t="str">
        <f t="shared" si="245"/>
        <v>1+95302.592923586i</v>
      </c>
      <c r="R460" s="160">
        <f t="shared" si="253"/>
        <v>95302.592928832441</v>
      </c>
      <c r="S460" s="160">
        <f t="shared" si="254"/>
        <v>1.5707858339009544</v>
      </c>
      <c r="T460" s="160" t="str">
        <f t="shared" si="246"/>
        <v>1+462.740913617411i</v>
      </c>
      <c r="U460" s="160">
        <f t="shared" si="255"/>
        <v>462.74199413439476</v>
      </c>
      <c r="V460" s="160">
        <f t="shared" si="256"/>
        <v>1.5686352936684023</v>
      </c>
      <c r="W460" s="98" t="str">
        <f t="shared" si="247"/>
        <v>1-0.297820602886205i</v>
      </c>
      <c r="X460" s="160">
        <f t="shared" si="257"/>
        <v>1.0434064938955971</v>
      </c>
      <c r="Y460" s="160">
        <f t="shared" si="258"/>
        <v>-0.28945615019752763</v>
      </c>
      <c r="Z460" s="98" t="str">
        <f t="shared" si="248"/>
        <v>-26.6732388367575-7.00112308255664i</v>
      </c>
      <c r="AA460" s="160">
        <f t="shared" si="259"/>
        <v>27.57675460346659</v>
      </c>
      <c r="AB460" s="160">
        <f t="shared" si="260"/>
        <v>-2.8849054417205249</v>
      </c>
      <c r="AC460" s="171" t="str">
        <f t="shared" si="261"/>
        <v>-0.275561742276083+0.168302157905653i</v>
      </c>
      <c r="AD460" s="190">
        <f t="shared" si="262"/>
        <v>-9.8188273693914496</v>
      </c>
      <c r="AE460" s="169">
        <f t="shared" si="263"/>
        <v>148.58507346548916</v>
      </c>
      <c r="AF460" s="98" t="str">
        <f t="shared" si="249"/>
        <v>-0.0000114342530449913</v>
      </c>
      <c r="AG460" s="98" t="str">
        <f t="shared" si="250"/>
        <v>0.198400166713465i</v>
      </c>
      <c r="AH460" s="98">
        <f t="shared" si="264"/>
        <v>0.198400166713465</v>
      </c>
      <c r="AI460" s="98">
        <f t="shared" si="265"/>
        <v>1.5707963267948966</v>
      </c>
      <c r="AJ460" s="98" t="str">
        <f t="shared" si="251"/>
        <v>1+1.81715358474142i</v>
      </c>
      <c r="AK460" s="98">
        <f t="shared" si="266"/>
        <v>2.074137688423455</v>
      </c>
      <c r="AL460" s="98">
        <f t="shared" si="267"/>
        <v>1.0677142093655292</v>
      </c>
      <c r="AM460" s="98" t="str">
        <f t="shared" si="252"/>
        <v>1+4362.98575696415i</v>
      </c>
      <c r="AN460" s="98">
        <f t="shared" si="268"/>
        <v>4362.9858715645678</v>
      </c>
      <c r="AO460" s="98">
        <f t="shared" si="269"/>
        <v>1.5705671259590028</v>
      </c>
      <c r="AP460" s="168" t="str">
        <f t="shared" si="270"/>
        <v>-0.0584242945665027+0.106223548582896i</v>
      </c>
      <c r="AQ460" s="98">
        <f t="shared" si="271"/>
        <v>-18.327760199663356</v>
      </c>
      <c r="AR460" s="169">
        <f t="shared" si="272"/>
        <v>118.81134983665021</v>
      </c>
      <c r="AS460" s="168" t="str">
        <f t="shared" si="273"/>
        <v>-0.00177815204490079-0.0391040809679089i</v>
      </c>
      <c r="AT460" s="190">
        <f t="shared" si="274"/>
        <v>-28.146587569054805</v>
      </c>
      <c r="AU460" s="169">
        <f t="shared" si="275"/>
        <v>-92.603576697860603</v>
      </c>
      <c r="AV460" s="225"/>
      <c r="AX460">
        <f t="shared" si="276"/>
        <v>0</v>
      </c>
      <c r="AY460">
        <f t="shared" si="277"/>
        <v>0</v>
      </c>
    </row>
    <row r="461" spans="14:51" x14ac:dyDescent="0.2">
      <c r="N461" s="170">
        <v>43</v>
      </c>
      <c r="O461" s="199">
        <f t="shared" si="278"/>
        <v>269153.48039269145</v>
      </c>
      <c r="P461" s="189" t="str">
        <f t="shared" si="244"/>
        <v>1757.57575757576</v>
      </c>
      <c r="Q461" s="160" t="str">
        <f t="shared" si="245"/>
        <v>1+97522.4754848911i</v>
      </c>
      <c r="R461" s="160">
        <f t="shared" si="253"/>
        <v>97522.475490018114</v>
      </c>
      <c r="S461" s="160">
        <f t="shared" si="254"/>
        <v>1.5707860727483807</v>
      </c>
      <c r="T461" s="160" t="str">
        <f t="shared" si="246"/>
        <v>1+473.519534146291i</v>
      </c>
      <c r="U461" s="160">
        <f t="shared" si="255"/>
        <v>473.52059006776091</v>
      </c>
      <c r="V461" s="160">
        <f t="shared" si="256"/>
        <v>1.568684484640007</v>
      </c>
      <c r="W461" s="98" t="str">
        <f t="shared" si="247"/>
        <v>1-0.304757735890284i</v>
      </c>
      <c r="X461" s="160">
        <f t="shared" si="257"/>
        <v>1.0454077087839806</v>
      </c>
      <c r="Y461" s="160">
        <f t="shared" si="258"/>
        <v>-0.29581595395994092</v>
      </c>
      <c r="Z461" s="98" t="str">
        <f t="shared" si="248"/>
        <v>-27.9774384029997-7.16420018847526i</v>
      </c>
      <c r="AA461" s="160">
        <f t="shared" si="259"/>
        <v>28.88014584336775</v>
      </c>
      <c r="AB461" s="160">
        <f t="shared" si="260"/>
        <v>-2.8909086707186153</v>
      </c>
      <c r="AC461" s="171" t="str">
        <f t="shared" si="261"/>
        <v>-0.263580444837102+0.161095808305928i</v>
      </c>
      <c r="AD461" s="190">
        <f t="shared" si="262"/>
        <v>-10.203309575687298</v>
      </c>
      <c r="AE461" s="169">
        <f t="shared" si="263"/>
        <v>148.56744798652622</v>
      </c>
      <c r="AF461" s="98" t="str">
        <f t="shared" si="249"/>
        <v>-0.0000114342530449913</v>
      </c>
      <c r="AG461" s="98" t="str">
        <f t="shared" si="250"/>
        <v>0.203021500265222i</v>
      </c>
      <c r="AH461" s="98">
        <f t="shared" si="264"/>
        <v>0.203021500265222</v>
      </c>
      <c r="AI461" s="98">
        <f t="shared" si="265"/>
        <v>1.5707963267948966</v>
      </c>
      <c r="AJ461" s="98" t="str">
        <f t="shared" si="251"/>
        <v>1+1.85948052916375i</v>
      </c>
      <c r="AK461" s="98">
        <f t="shared" si="266"/>
        <v>2.1113189807177641</v>
      </c>
      <c r="AL461" s="98">
        <f t="shared" si="267"/>
        <v>1.0773798856349002</v>
      </c>
      <c r="AM461" s="98" t="str">
        <f t="shared" si="252"/>
        <v>1+4464.61275052217i</v>
      </c>
      <c r="AN461" s="98">
        <f t="shared" si="268"/>
        <v>4464.6128625139645</v>
      </c>
      <c r="AO461" s="98">
        <f t="shared" si="269"/>
        <v>1.5705723432068104</v>
      </c>
      <c r="AP461" s="168" t="str">
        <f t="shared" si="270"/>
        <v>-0.0563846565238248+0.104902491354275i</v>
      </c>
      <c r="AQ461" s="98">
        <f t="shared" si="271"/>
        <v>-18.482085590764289</v>
      </c>
      <c r="AR461" s="169">
        <f t="shared" si="272"/>
        <v>118.25784630655542</v>
      </c>
      <c r="AS461" s="168" t="str">
        <f t="shared" si="273"/>
        <v>-0.00203745878948561-0.0367335771544377i</v>
      </c>
      <c r="AT461" s="190">
        <f t="shared" si="274"/>
        <v>-28.685395166451592</v>
      </c>
      <c r="AU461" s="169">
        <f t="shared" si="275"/>
        <v>-93.174705706918346</v>
      </c>
      <c r="AV461" s="225"/>
      <c r="AX461">
        <f t="shared" si="276"/>
        <v>0</v>
      </c>
      <c r="AY461">
        <f t="shared" si="277"/>
        <v>0</v>
      </c>
    </row>
    <row r="462" spans="14:51" x14ac:dyDescent="0.2">
      <c r="N462" s="170">
        <v>44</v>
      </c>
      <c r="O462" s="199">
        <f t="shared" si="278"/>
        <v>275422.87033381703</v>
      </c>
      <c r="P462" s="189" t="str">
        <f t="shared" si="244"/>
        <v>1757.57575757576</v>
      </c>
      <c r="Q462" s="160" t="str">
        <f t="shared" si="245"/>
        <v>1+99794.0657535609i</v>
      </c>
      <c r="R462" s="160">
        <f t="shared" si="253"/>
        <v>99794.065758571218</v>
      </c>
      <c r="S462" s="160">
        <f t="shared" si="254"/>
        <v>1.570786306158976</v>
      </c>
      <c r="T462" s="160" t="str">
        <f t="shared" si="246"/>
        <v>1+484.549220999948i</v>
      </c>
      <c r="U462" s="160">
        <f t="shared" si="255"/>
        <v>484.55025288576252</v>
      </c>
      <c r="V462" s="160">
        <f t="shared" si="256"/>
        <v>1.5687325558982699</v>
      </c>
      <c r="W462" s="98" t="str">
        <f t="shared" si="247"/>
        <v>1-0.311856455479877i</v>
      </c>
      <c r="X462" s="160">
        <f t="shared" si="257"/>
        <v>1.047499140249992</v>
      </c>
      <c r="Y462" s="160">
        <f t="shared" si="258"/>
        <v>-0.30229847133555443</v>
      </c>
      <c r="Z462" s="98" t="str">
        <f t="shared" si="248"/>
        <v>-29.3431030011676-7.33107584816321i</v>
      </c>
      <c r="AA462" s="160">
        <f t="shared" si="259"/>
        <v>30.245038714285897</v>
      </c>
      <c r="AB462" s="160">
        <f t="shared" si="260"/>
        <v>-2.8967647449341634</v>
      </c>
      <c r="AC462" s="171" t="str">
        <f t="shared" si="261"/>
        <v>-0.252099901677562+0.154279523706001i</v>
      </c>
      <c r="AD462" s="190">
        <f t="shared" si="262"/>
        <v>-10.587046162100911</v>
      </c>
      <c r="AE462" s="169">
        <f t="shared" si="263"/>
        <v>148.53429634412186</v>
      </c>
      <c r="AF462" s="98" t="str">
        <f t="shared" si="249"/>
        <v>-0.0000114342530449913</v>
      </c>
      <c r="AG462" s="98" t="str">
        <f t="shared" si="250"/>
        <v>0.207750478503727i</v>
      </c>
      <c r="AH462" s="98">
        <f t="shared" si="264"/>
        <v>0.20775047850372699</v>
      </c>
      <c r="AI462" s="98">
        <f t="shared" si="265"/>
        <v>1.5707963267948966</v>
      </c>
      <c r="AJ462" s="98" t="str">
        <f t="shared" si="251"/>
        <v>1+1.90279339477578i</v>
      </c>
      <c r="AK462" s="98">
        <f t="shared" si="266"/>
        <v>2.1495633750141763</v>
      </c>
      <c r="AL462" s="98">
        <f t="shared" si="267"/>
        <v>1.0869236433379141</v>
      </c>
      <c r="AM462" s="98" t="str">
        <f t="shared" si="252"/>
        <v>1+4568.60694085665i</v>
      </c>
      <c r="AN462" s="98">
        <f t="shared" si="268"/>
        <v>4568.6070502992006</v>
      </c>
      <c r="AO462" s="98">
        <f t="shared" si="269"/>
        <v>1.5705774416955709</v>
      </c>
      <c r="AP462" s="168" t="str">
        <f t="shared" si="270"/>
        <v>-0.0543961466033262+0.103559666853775i</v>
      </c>
      <c r="AQ462" s="98">
        <f t="shared" si="271"/>
        <v>-18.638013636830149</v>
      </c>
      <c r="AR462" s="169">
        <f t="shared" si="272"/>
        <v>117.71132139136503</v>
      </c>
      <c r="AS462" s="168" t="str">
        <f t="shared" si="273"/>
        <v>-0.00226387286701576-0.0344995934210007i</v>
      </c>
      <c r="AT462" s="190">
        <f t="shared" si="274"/>
        <v>-29.225059798931063</v>
      </c>
      <c r="AU462" s="169">
        <f t="shared" si="275"/>
        <v>-93.754382264513083</v>
      </c>
      <c r="AV462" s="225"/>
      <c r="AX462">
        <f t="shared" si="276"/>
        <v>0</v>
      </c>
      <c r="AY462">
        <f t="shared" si="277"/>
        <v>0</v>
      </c>
    </row>
    <row r="463" spans="14:51" x14ac:dyDescent="0.2">
      <c r="N463" s="170">
        <v>45</v>
      </c>
      <c r="O463" s="199">
        <f t="shared" si="278"/>
        <v>281838.29312644573</v>
      </c>
      <c r="P463" s="189" t="str">
        <f t="shared" si="244"/>
        <v>1757.57575757576</v>
      </c>
      <c r="Q463" s="160" t="str">
        <f t="shared" si="245"/>
        <v>1+102118.568156824i</v>
      </c>
      <c r="R463" s="160">
        <f t="shared" si="253"/>
        <v>102118.56816172025</v>
      </c>
      <c r="S463" s="160">
        <f t="shared" si="254"/>
        <v>1.5707865342564973</v>
      </c>
      <c r="T463" s="160" t="str">
        <f t="shared" si="246"/>
        <v>1+495.835822264345i</v>
      </c>
      <c r="U463" s="160">
        <f t="shared" si="255"/>
        <v>495.8368306616191</v>
      </c>
      <c r="V463" s="160">
        <f t="shared" si="256"/>
        <v>1.5687795329303191</v>
      </c>
      <c r="W463" s="98" t="str">
        <f t="shared" si="247"/>
        <v>1-0.319120525490073i</v>
      </c>
      <c r="X463" s="160">
        <f t="shared" si="257"/>
        <v>1.0496846715985997</v>
      </c>
      <c r="Y463" s="160">
        <f t="shared" si="258"/>
        <v>-0.30890495932683604</v>
      </c>
      <c r="Z463" s="98" t="str">
        <f t="shared" si="248"/>
        <v>-30.7731293889715-7.50183854130409i</v>
      </c>
      <c r="AA463" s="160">
        <f t="shared" si="259"/>
        <v>31.67432831000804</v>
      </c>
      <c r="AB463" s="160">
        <f t="shared" si="260"/>
        <v>-2.9024776929234979</v>
      </c>
      <c r="AC463" s="171" t="str">
        <f t="shared" si="261"/>
        <v>-0.241101144851914+0.147829299610823i</v>
      </c>
      <c r="AD463" s="190">
        <f t="shared" si="262"/>
        <v>-10.970008776115915</v>
      </c>
      <c r="AE463" s="169">
        <f t="shared" si="263"/>
        <v>148.48577878982931</v>
      </c>
      <c r="AF463" s="98" t="str">
        <f t="shared" si="249"/>
        <v>-0.0000114342530449913</v>
      </c>
      <c r="AG463" s="98" t="str">
        <f t="shared" si="250"/>
        <v>0.212589608795838i</v>
      </c>
      <c r="AH463" s="98">
        <f t="shared" si="264"/>
        <v>0.21258960879583799</v>
      </c>
      <c r="AI463" s="98">
        <f t="shared" si="265"/>
        <v>1.5707963267948966</v>
      </c>
      <c r="AJ463" s="98" t="str">
        <f t="shared" si="251"/>
        <v>1+1.94711514663216i</v>
      </c>
      <c r="AK463" s="98">
        <f t="shared" si="266"/>
        <v>2.1888941030219753</v>
      </c>
      <c r="AL463" s="98">
        <f t="shared" si="267"/>
        <v>1.0963435876579726</v>
      </c>
      <c r="AM463" s="98" t="str">
        <f t="shared" si="252"/>
        <v>1+4675.02346706382i</v>
      </c>
      <c r="AN463" s="98">
        <f t="shared" si="268"/>
        <v>4675.0235740151538</v>
      </c>
      <c r="AO463" s="98">
        <f t="shared" si="269"/>
        <v>1.5705824241285691</v>
      </c>
      <c r="AP463" s="168" t="str">
        <f t="shared" si="270"/>
        <v>-0.0524588952920758+0.102197295167662i</v>
      </c>
      <c r="AQ463" s="98">
        <f t="shared" si="271"/>
        <v>-18.795503594551906</v>
      </c>
      <c r="AR463" s="169">
        <f t="shared" si="272"/>
        <v>117.1718838109599</v>
      </c>
      <c r="AS463" s="168" t="str">
        <f t="shared" si="273"/>
        <v>-0.00245985485416986-0.0323948466150774i</v>
      </c>
      <c r="AT463" s="190">
        <f t="shared" si="274"/>
        <v>-29.765512370667807</v>
      </c>
      <c r="AU463" s="169">
        <f t="shared" si="275"/>
        <v>-94.342337399210791</v>
      </c>
      <c r="AV463" s="225"/>
      <c r="AX463">
        <f t="shared" si="276"/>
        <v>0</v>
      </c>
      <c r="AY463">
        <f t="shared" si="277"/>
        <v>0</v>
      </c>
    </row>
    <row r="464" spans="14:51" x14ac:dyDescent="0.2">
      <c r="N464" s="170">
        <v>46</v>
      </c>
      <c r="O464" s="199">
        <f t="shared" si="278"/>
        <v>288403.1503126609</v>
      </c>
      <c r="P464" s="189" t="str">
        <f t="shared" si="244"/>
        <v>1757.57575757576</v>
      </c>
      <c r="Q464" s="160" t="str">
        <f t="shared" si="245"/>
        <v>1+104497.215176622i</v>
      </c>
      <c r="R464" s="160">
        <f t="shared" si="253"/>
        <v>104497.21518140682</v>
      </c>
      <c r="S464" s="160">
        <f t="shared" si="254"/>
        <v>1.570786757161885</v>
      </c>
      <c r="T464" s="160" t="str">
        <f t="shared" si="246"/>
        <v>1+507.38532224487i</v>
      </c>
      <c r="U464" s="160">
        <f t="shared" si="255"/>
        <v>507.38630768826482</v>
      </c>
      <c r="V464" s="160">
        <f t="shared" si="256"/>
        <v>1.568825440643169</v>
      </c>
      <c r="W464" s="98" t="str">
        <f t="shared" si="247"/>
        <v>1-0.326553797426944i</v>
      </c>
      <c r="X464" s="160">
        <f t="shared" si="257"/>
        <v>1.0519683372677895</v>
      </c>
      <c r="Y464" s="160">
        <f t="shared" si="258"/>
        <v>-0.31563661320220299</v>
      </c>
      <c r="Z464" s="98" t="str">
        <f t="shared" si="248"/>
        <v>-32.2705508441071-7.67657880853815i</v>
      </c>
      <c r="AA464" s="160">
        <f t="shared" si="259"/>
        <v>33.171046320334824</v>
      </c>
      <c r="AB464" s="160">
        <f t="shared" si="260"/>
        <v>-2.9080514087852953</v>
      </c>
      <c r="AC464" s="171" t="str">
        <f t="shared" si="261"/>
        <v>-0.230565723144964+0.141722685539933i</v>
      </c>
      <c r="AD464" s="190">
        <f t="shared" si="262"/>
        <v>-11.35216844610971</v>
      </c>
      <c r="AE464" s="169">
        <f t="shared" si="263"/>
        <v>148.42205137536951</v>
      </c>
      <c r="AF464" s="98" t="str">
        <f t="shared" si="249"/>
        <v>-0.0000114342530449913</v>
      </c>
      <c r="AG464" s="98" t="str">
        <f t="shared" si="250"/>
        <v>0.217541456912487i</v>
      </c>
      <c r="AH464" s="98">
        <f t="shared" si="264"/>
        <v>0.217541456912487</v>
      </c>
      <c r="AI464" s="98">
        <f t="shared" si="265"/>
        <v>1.5707963267948966</v>
      </c>
      <c r="AJ464" s="98" t="str">
        <f t="shared" si="251"/>
        <v>1+1.99246928471241i</v>
      </c>
      <c r="AK464" s="98">
        <f t="shared" si="266"/>
        <v>2.2293348448634589</v>
      </c>
      <c r="AL464" s="98">
        <f t="shared" si="267"/>
        <v>1.1056380252441496</v>
      </c>
      <c r="AM464" s="98" t="str">
        <f t="shared" si="252"/>
        <v>1+4783.91875259448i</v>
      </c>
      <c r="AN464" s="98">
        <f t="shared" si="268"/>
        <v>4783.9188571113036</v>
      </c>
      <c r="AO464" s="98">
        <f t="shared" si="269"/>
        <v>1.5705872931475562</v>
      </c>
      <c r="AP464" s="168" t="str">
        <f t="shared" si="270"/>
        <v>-0.0505729205904083+0.100817552174439i</v>
      </c>
      <c r="AQ464" s="98">
        <f t="shared" si="271"/>
        <v>-18.954514661914008</v>
      </c>
      <c r="AR464" s="169">
        <f t="shared" si="272"/>
        <v>116.63963073856254</v>
      </c>
      <c r="AS464" s="168" t="str">
        <f t="shared" si="273"/>
        <v>-0.00262775223624348-0.0304124019444751i</v>
      </c>
      <c r="AT464" s="190">
        <f t="shared" si="274"/>
        <v>-30.306683108023719</v>
      </c>
      <c r="AU464" s="169">
        <f t="shared" si="275"/>
        <v>-94.938317886067949</v>
      </c>
      <c r="AV464" s="225"/>
      <c r="AX464">
        <f t="shared" si="276"/>
        <v>0</v>
      </c>
      <c r="AY464">
        <f t="shared" si="277"/>
        <v>0</v>
      </c>
    </row>
    <row r="465" spans="14:51" x14ac:dyDescent="0.2">
      <c r="N465" s="170">
        <v>47</v>
      </c>
      <c r="O465" s="199">
        <f t="shared" si="278"/>
        <v>295120.92266663886</v>
      </c>
      <c r="P465" s="189" t="str">
        <f t="shared" si="244"/>
        <v>1757.57575757576</v>
      </c>
      <c r="Q465" s="160" t="str">
        <f t="shared" si="245"/>
        <v>1+106931.268003092i</v>
      </c>
      <c r="R465" s="160">
        <f t="shared" si="253"/>
        <v>106931.26800776791</v>
      </c>
      <c r="S465" s="160">
        <f t="shared" si="254"/>
        <v>1.5707869749933268</v>
      </c>
      <c r="T465" s="160" t="str">
        <f t="shared" si="246"/>
        <v>1+519.203844639287i</v>
      </c>
      <c r="U465" s="160">
        <f t="shared" si="255"/>
        <v>519.20480765129366</v>
      </c>
      <c r="V465" s="160">
        <f t="shared" si="256"/>
        <v>1.5688703033769222</v>
      </c>
      <c r="W465" s="98" t="str">
        <f t="shared" si="247"/>
        <v>1-0.33416021250966i</v>
      </c>
      <c r="X465" s="160">
        <f t="shared" si="257"/>
        <v>1.0543543273608267</v>
      </c>
      <c r="Y465" s="160">
        <f t="shared" si="258"/>
        <v>-0.322494560956962</v>
      </c>
      <c r="Z465" s="98" t="str">
        <f t="shared" si="248"/>
        <v>-33.8385435982434-7.85538929946803i</v>
      </c>
      <c r="AA465" s="160">
        <f t="shared" si="259"/>
        <v>34.738367461589441</v>
      </c>
      <c r="AB465" s="160">
        <f t="shared" si="260"/>
        <v>-2.9134896577764535</v>
      </c>
      <c r="AC465" s="171" t="str">
        <f t="shared" si="261"/>
        <v>-0.220475711289948+0.135938683546523i</v>
      </c>
      <c r="AD465" s="190">
        <f t="shared" si="262"/>
        <v>-11.733495556982074</v>
      </c>
      <c r="AE465" s="169">
        <f t="shared" si="263"/>
        <v>148.34326659251454</v>
      </c>
      <c r="AF465" s="98" t="str">
        <f t="shared" si="249"/>
        <v>-0.0000114342530449913</v>
      </c>
      <c r="AG465" s="98" t="str">
        <f t="shared" si="250"/>
        <v>0.222608648389094i</v>
      </c>
      <c r="AH465" s="98">
        <f t="shared" si="264"/>
        <v>0.222608648389094</v>
      </c>
      <c r="AI465" s="98">
        <f t="shared" si="265"/>
        <v>1.5707963267948966</v>
      </c>
      <c r="AJ465" s="98" t="str">
        <f t="shared" si="251"/>
        <v>1+2.03887985638085i</v>
      </c>
      <c r="AK465" s="98">
        <f t="shared" si="266"/>
        <v>2.2709097447401105</v>
      </c>
      <c r="AL465" s="98">
        <f t="shared" si="267"/>
        <v>1.1148054598990598</v>
      </c>
      <c r="AM465" s="98" t="str">
        <f t="shared" si="252"/>
        <v>1+4895.35053517042i</v>
      </c>
      <c r="AN465" s="98">
        <f t="shared" si="268"/>
        <v>4895.3506373081509</v>
      </c>
      <c r="AO465" s="98">
        <f t="shared" si="269"/>
        <v>1.5705920513341496</v>
      </c>
      <c r="AP465" s="168" t="str">
        <f t="shared" si="270"/>
        <v>-0.048738133746148+0.0994225639521229i</v>
      </c>
      <c r="AQ465" s="98">
        <f t="shared" si="271"/>
        <v>-19.11500606543753</v>
      </c>
      <c r="AR465" s="169">
        <f t="shared" si="272"/>
        <v>116.11464804788426</v>
      </c>
      <c r="AS465" s="168" t="str">
        <f t="shared" si="273"/>
        <v>-0.00276979775384498-0.0285456582455804i</v>
      </c>
      <c r="AT465" s="190">
        <f t="shared" si="274"/>
        <v>-30.848501622419594</v>
      </c>
      <c r="AU465" s="169">
        <f t="shared" si="275"/>
        <v>-95.542085359601202</v>
      </c>
      <c r="AV465" s="225"/>
      <c r="AX465">
        <f t="shared" si="276"/>
        <v>0</v>
      </c>
      <c r="AY465">
        <f t="shared" si="277"/>
        <v>0</v>
      </c>
    </row>
    <row r="466" spans="14:51" x14ac:dyDescent="0.2">
      <c r="N466" s="170">
        <v>48</v>
      </c>
      <c r="O466" s="199">
        <f t="shared" si="278"/>
        <v>301995.17204020242</v>
      </c>
      <c r="P466" s="189" t="str">
        <f t="shared" si="244"/>
        <v>1757.57575757576</v>
      </c>
      <c r="Q466" s="160" t="str">
        <f t="shared" si="245"/>
        <v>1+109422.017203259i</v>
      </c>
      <c r="R466" s="160">
        <f t="shared" si="253"/>
        <v>109422.01720782847</v>
      </c>
      <c r="S466" s="160">
        <f t="shared" si="254"/>
        <v>1.5707871878663195</v>
      </c>
      <c r="T466" s="160" t="str">
        <f t="shared" si="246"/>
        <v>1+531.297655784608i</v>
      </c>
      <c r="U466" s="160">
        <f t="shared" si="255"/>
        <v>531.29859687582439</v>
      </c>
      <c r="V466" s="160">
        <f t="shared" si="256"/>
        <v>1.5689141449176711</v>
      </c>
      <c r="W466" s="98" t="str">
        <f t="shared" si="247"/>
        <v>1-0.341943803760183i</v>
      </c>
      <c r="X466" s="160">
        <f t="shared" si="257"/>
        <v>1.0568469922036883</v>
      </c>
      <c r="Y466" s="160">
        <f t="shared" si="258"/>
        <v>-0.32947985757690912</v>
      </c>
      <c r="Z466" s="98" t="str">
        <f t="shared" si="248"/>
        <v>-35.4804335742366-8.03836482178284i</v>
      </c>
      <c r="AA466" s="160">
        <f t="shared" si="259"/>
        <v>36.37961621050848</v>
      </c>
      <c r="AB466" s="160">
        <f t="shared" si="260"/>
        <v>-2.9187960816650338</v>
      </c>
      <c r="AC466" s="171" t="str">
        <f t="shared" si="261"/>
        <v>-0.210813715572328+0.130457653194028i</v>
      </c>
      <c r="AD466" s="190">
        <f t="shared" si="262"/>
        <v>-12.11395983051781</v>
      </c>
      <c r="AE466" s="169">
        <f t="shared" si="263"/>
        <v>148.2495740091957</v>
      </c>
      <c r="AF466" s="98" t="str">
        <f t="shared" si="249"/>
        <v>-0.0000114342530449913</v>
      </c>
      <c r="AG466" s="98" t="str">
        <f t="shared" si="250"/>
        <v>0.227793869917651i</v>
      </c>
      <c r="AH466" s="98">
        <f t="shared" si="264"/>
        <v>0.22779386991765099</v>
      </c>
      <c r="AI466" s="98">
        <f t="shared" si="265"/>
        <v>1.5707963267948966</v>
      </c>
      <c r="AJ466" s="98" t="str">
        <f t="shared" si="251"/>
        <v>1+2.08637146913691i</v>
      </c>
      <c r="AK466" s="98">
        <f t="shared" si="266"/>
        <v>2.3136434269844846</v>
      </c>
      <c r="AL466" s="98">
        <f t="shared" si="267"/>
        <v>1.1238445877821415</v>
      </c>
      <c r="AM466" s="98" t="str">
        <f t="shared" si="252"/>
        <v>1+5009.37789739773i</v>
      </c>
      <c r="AN466" s="98">
        <f t="shared" si="268"/>
        <v>5009.3779972105222</v>
      </c>
      <c r="AO466" s="98">
        <f t="shared" si="269"/>
        <v>1.5705967012112017</v>
      </c>
      <c r="AP466" s="168" t="str">
        <f t="shared" si="270"/>
        <v>-0.046954345199461+0.0980144017896302i</v>
      </c>
      <c r="AQ466" s="98">
        <f t="shared" si="271"/>
        <v>-19.276937142772091</v>
      </c>
      <c r="AR466" s="169">
        <f t="shared" si="272"/>
        <v>115.59701058803493</v>
      </c>
      <c r="AS466" s="168" t="str">
        <f t="shared" si="273"/>
        <v>-0.00288810886292762-0.0267883339028549i</v>
      </c>
      <c r="AT466" s="190">
        <f t="shared" si="274"/>
        <v>-31.390896973289912</v>
      </c>
      <c r="AU466" s="169">
        <f t="shared" si="275"/>
        <v>-96.153415402769369</v>
      </c>
      <c r="AV466" s="225"/>
      <c r="AX466">
        <f t="shared" si="276"/>
        <v>0</v>
      </c>
      <c r="AY466">
        <f t="shared" si="277"/>
        <v>0</v>
      </c>
    </row>
    <row r="467" spans="14:51" x14ac:dyDescent="0.2">
      <c r="N467" s="170">
        <v>49</v>
      </c>
      <c r="O467" s="199">
        <f t="shared" si="278"/>
        <v>309029.54325135931</v>
      </c>
      <c r="P467" s="189" t="str">
        <f t="shared" ref="P467:P530" si="279">COMPLEX(Adc,0)</f>
        <v>1757.57575757576</v>
      </c>
      <c r="Q467" s="160" t="str">
        <f t="shared" ref="Q467:Q530" si="280">IMSUM(COMPLEX(1,0),IMDIV(COMPLEX(0,2*PI()*O467),COMPLEX(wp_lf,0)))</f>
        <v>1+111970.783405319i</v>
      </c>
      <c r="R467" s="160">
        <f t="shared" si="253"/>
        <v>111970.78340978446</v>
      </c>
      <c r="S467" s="160">
        <f t="shared" si="254"/>
        <v>1.5707873958937315</v>
      </c>
      <c r="T467" s="160" t="str">
        <f t="shared" ref="T467:T530" si="281">IMSUM(COMPLEX(1,0),IMDIV(COMPLEX(0,2*PI()*O467),COMPLEX(wz_esr,0)))</f>
        <v>1+543.673167979581i</v>
      </c>
      <c r="U467" s="160">
        <f t="shared" si="255"/>
        <v>543.67408764898266</v>
      </c>
      <c r="V467" s="160">
        <f t="shared" si="256"/>
        <v>1.5689569885101065</v>
      </c>
      <c r="W467" s="98" t="str">
        <f t="shared" ref="W467:W530" si="282">IMSUB(COMPLEX(1,0),IMDIV(COMPLEX(0,2*PI()*O467),COMPLEX(wz_rhp,0)))</f>
        <v>1-0.34990869814162i</v>
      </c>
      <c r="X467" s="160">
        <f t="shared" si="257"/>
        <v>1.0594508469179509</v>
      </c>
      <c r="Y467" s="160">
        <f t="shared" si="258"/>
        <v>-0.33659347911282073</v>
      </c>
      <c r="Z467" s="98" t="str">
        <f t="shared" ref="Z467:Z530" si="283">IF(Dc_Mode_Loop="CCM",IMSUM(COMPLEX(1,0),IMDIV(COMPLEX(0,2*PI()*O467),COMPLEX(Q*(wsl/2),0)),IMDIV(IMPOWER(COMPLEX(0,2*PI()*O467),2),IMPOWER(COMPLEX(wsl/2,0),2))),COMPLEX(1,0))</f>
        <v>-37.1997034408576-8.22560239152651i</v>
      </c>
      <c r="AA467" s="160">
        <f t="shared" si="259"/>
        <v>38.098273855796137</v>
      </c>
      <c r="AB467" s="160">
        <f t="shared" si="260"/>
        <v>-2.9239742038309671</v>
      </c>
      <c r="AC467" s="171" t="str">
        <f t="shared" si="261"/>
        <v>-0.201562876303509+0.125261222616246i</v>
      </c>
      <c r="AD467" s="190">
        <f t="shared" si="262"/>
        <v>-12.49353031045684</v>
      </c>
      <c r="AE467" s="169">
        <f t="shared" si="263"/>
        <v>148.14112090197878</v>
      </c>
      <c r="AF467" s="98" t="str">
        <f t="shared" ref="AF467:AF530" si="284">COMPLEX(Adc_ea,0)</f>
        <v>-0.0000114342530449913</v>
      </c>
      <c r="AG467" s="98" t="str">
        <f t="shared" ref="AG467:AG530" si="285">COMPLEX(0,2*PI()*O467*wp0_ea)</f>
        <v>0.233099870771245i</v>
      </c>
      <c r="AH467" s="98">
        <f t="shared" si="264"/>
        <v>0.233099870771245</v>
      </c>
      <c r="AI467" s="98">
        <f t="shared" si="265"/>
        <v>1.5707963267948966</v>
      </c>
      <c r="AJ467" s="98" t="str">
        <f t="shared" ref="AJ467:AJ530" si="286">IMSUM(COMPLEX(1,0),IMDIV(COMPLEX(0,2*PI()*O467),COMPLEX(wp1_ea,0)))</f>
        <v>1+2.1349693036623i</v>
      </c>
      <c r="AK467" s="98">
        <f t="shared" si="266"/>
        <v>2.3575610124830888</v>
      </c>
      <c r="AL467" s="98">
        <f t="shared" si="267"/>
        <v>1.1327542921833627</v>
      </c>
      <c r="AM467" s="98" t="str">
        <f t="shared" ref="AM467:AM530" si="287">IMSUM(COMPLEX(1,0),IMDIV(COMPLEX(0,2*PI()*O467),COMPLEX(wz_ea,0)))</f>
        <v>1+5126.06129809319i</v>
      </c>
      <c r="AN467" s="98">
        <f t="shared" si="268"/>
        <v>5126.0613956339657</v>
      </c>
      <c r="AO467" s="98">
        <f t="shared" si="269"/>
        <v>1.5706012452441382</v>
      </c>
      <c r="AP467" s="168" t="str">
        <f t="shared" si="270"/>
        <v>-0.0452212706796542+0.0965950777954764i</v>
      </c>
      <c r="AQ467" s="98">
        <f t="shared" si="271"/>
        <v>-19.440267420493214</v>
      </c>
      <c r="AR467" s="169">
        <f t="shared" si="272"/>
        <v>115.0867824830451</v>
      </c>
      <c r="AS467" s="168" t="str">
        <f t="shared" si="273"/>
        <v>-0.00298468815508213-0.0251344533708111i</v>
      </c>
      <c r="AT467" s="190">
        <f t="shared" si="274"/>
        <v>-31.933797730950062</v>
      </c>
      <c r="AU467" s="169">
        <f t="shared" si="275"/>
        <v>-96.772096614976135</v>
      </c>
      <c r="AV467" s="225"/>
      <c r="AX467">
        <f t="shared" si="276"/>
        <v>0</v>
      </c>
      <c r="AY467">
        <f t="shared" si="277"/>
        <v>0</v>
      </c>
    </row>
    <row r="468" spans="14:51" x14ac:dyDescent="0.2">
      <c r="N468" s="170">
        <v>50</v>
      </c>
      <c r="O468" s="199">
        <f t="shared" si="278"/>
        <v>316227.7660168382</v>
      </c>
      <c r="P468" s="189" t="str">
        <f t="shared" si="279"/>
        <v>1757.57575757576</v>
      </c>
      <c r="Q468" s="160" t="str">
        <f t="shared" si="280"/>
        <v>1+114578.917998849i</v>
      </c>
      <c r="R468" s="160">
        <f t="shared" ref="R468:R531" si="288">IMABS(Q468)</f>
        <v>114578.91800321281</v>
      </c>
      <c r="S468" s="160">
        <f t="shared" ref="S468:S531" si="289">IMARGUMENT(Q468)</f>
        <v>1.5707875991858613</v>
      </c>
      <c r="T468" s="160" t="str">
        <f t="shared" si="281"/>
        <v>1+556.336942884582i</v>
      </c>
      <c r="U468" s="160">
        <f t="shared" ref="U468:U531" si="290">IMABS(T468)</f>
        <v>556.33784161978656</v>
      </c>
      <c r="V468" s="160">
        <f t="shared" ref="V468:V531" si="291">IMARGUMENT(T468)</f>
        <v>1.5689988568698388</v>
      </c>
      <c r="W468" s="98" t="str">
        <f t="shared" si="282"/>
        <v>1-0.358059118746401i</v>
      </c>
      <c r="X468" s="160">
        <f t="shared" ref="X468:X531" si="292">IMABS(W468)</f>
        <v>1.0621705759987183</v>
      </c>
      <c r="Y468" s="160">
        <f t="shared" ref="Y468:Y531" si="293">IMARGUMENT(W468)</f>
        <v>-0.34383631657614488</v>
      </c>
      <c r="Z468" s="98" t="str">
        <f t="shared" si="283"/>
        <v>-39-8.41720128453689i</v>
      </c>
      <c r="AA468" s="160">
        <f t="shared" ref="AA468:AA531" si="294">IMABS(Z468)</f>
        <v>39.8979858823025</v>
      </c>
      <c r="AB468" s="160">
        <f t="shared" ref="AB468:AB531" si="295">IMARGUMENT(Z468)</f>
        <v>-2.9290274341252438</v>
      </c>
      <c r="AC468" s="171" t="str">
        <f t="shared" ref="AC468:AC531" si="296">(IMDIV(IMPRODUCT(P468,T468,W468),IMPRODUCT(Q468,Z468)))</f>
        <v>-0.192706867594239+0.120332205302149i</v>
      </c>
      <c r="AD468" s="190">
        <f t="shared" ref="AD468:AD531" si="297">20*LOG(IMABS(AC468))</f>
        <v>-12.872175352266421</v>
      </c>
      <c r="AE468" s="169">
        <f t="shared" ref="AE468:AE531" si="298">(180/PI())*IMARGUMENT(AC468)</f>
        <v>148.01805288492756</v>
      </c>
      <c r="AF468" s="98" t="str">
        <f t="shared" si="284"/>
        <v>-0.0000114342530449913</v>
      </c>
      <c r="AG468" s="98" t="str">
        <f t="shared" si="285"/>
        <v>0.238529464261765i</v>
      </c>
      <c r="AH468" s="98">
        <f t="shared" ref="AH468:AH531" si="299">IMABS(AG468)</f>
        <v>0.238529464261765</v>
      </c>
      <c r="AI468" s="98">
        <f t="shared" ref="AI468:AI531" si="300">IMARGUMENT(AG468)</f>
        <v>1.5707963267948966</v>
      </c>
      <c r="AJ468" s="98" t="str">
        <f t="shared" si="286"/>
        <v>1+2.18469912717215i</v>
      </c>
      <c r="AK468" s="98">
        <f t="shared" ref="AK468:AK531" si="301">IMABS(AJ468)</f>
        <v>2.4026881354571912</v>
      </c>
      <c r="AL468" s="98">
        <f t="shared" ref="AL468:AL531" si="302">IMARGUMENT(AJ468)</f>
        <v>1.1415336379216012</v>
      </c>
      <c r="AM468" s="98" t="str">
        <f t="shared" si="287"/>
        <v>1+5245.46260434034i</v>
      </c>
      <c r="AN468" s="98">
        <f t="shared" ref="AN468:AN531" si="303">IMABS(AM468)</f>
        <v>5245.4626996608158</v>
      </c>
      <c r="AO468" s="98">
        <f t="shared" ref="AO468:AO531" si="304">IMARGUMENT(AM468)</f>
        <v>1.570605685842265</v>
      </c>
      <c r="AP468" s="168" t="str">
        <f t="shared" ref="AP468:AP531" si="305">IMPRODUCT(AF468,IMDIV(AM468,IMPRODUCT(AG468,AJ468)))</f>
        <v>-0.0435385373986081+0.095166541091805i</v>
      </c>
      <c r="AQ468" s="98">
        <f t="shared" ref="AQ468:AQ531" si="306">20*LOG(IMABS(AP468))</f>
        <v>-19.604956687006705</v>
      </c>
      <c r="AR468" s="169">
        <f t="shared" ref="AR468:AR531" si="307">(180/PI())*IMARGUMENT(AP468)</f>
        <v>114.58401745288899</v>
      </c>
      <c r="AS468" s="168" t="str">
        <f t="shared" ref="AS468:AS531" si="308">IMPRODUCT(AC468,AP468)</f>
        <v>-0.00306142459883408-0.0235783342543848i</v>
      </c>
      <c r="AT468" s="190">
        <f t="shared" ref="AT468:AT531" si="309">20*LOG(IMABS(AS468))</f>
        <v>-32.477132039273116</v>
      </c>
      <c r="AU468" s="169">
        <f t="shared" ref="AU468:AU531" si="310">(180/PI())*IMARGUMENT(AS468)</f>
        <v>-97.397929662183444</v>
      </c>
      <c r="AV468" s="225"/>
      <c r="AX468">
        <f t="shared" ref="AX468:AX531" si="311">SUM((AT469&lt;0)*(AT468&gt;0))*O468</f>
        <v>0</v>
      </c>
      <c r="AY468">
        <f t="shared" ref="AY468:AY531" si="312">IF(AX468&gt;0,AU468,0)</f>
        <v>0</v>
      </c>
    </row>
    <row r="469" spans="14:51" x14ac:dyDescent="0.2">
      <c r="N469" s="170">
        <v>51</v>
      </c>
      <c r="O469" s="199">
        <f t="shared" si="278"/>
        <v>323593.65692962846</v>
      </c>
      <c r="P469" s="189" t="str">
        <f t="shared" si="279"/>
        <v>1757.57575757576</v>
      </c>
      <c r="Q469" s="160" t="str">
        <f t="shared" si="280"/>
        <v>1+117247.803851333i</v>
      </c>
      <c r="R469" s="160">
        <f t="shared" si="288"/>
        <v>117247.80385559746</v>
      </c>
      <c r="S469" s="160">
        <f t="shared" si="289"/>
        <v>1.5707877978504974</v>
      </c>
      <c r="T469" s="160" t="str">
        <f t="shared" si="281"/>
        <v>1+569.29569500069i</v>
      </c>
      <c r="U469" s="160">
        <f t="shared" si="290"/>
        <v>569.29657327821553</v>
      </c>
      <c r="V469" s="160">
        <f t="shared" si="291"/>
        <v>1.5690397721954386</v>
      </c>
      <c r="W469" s="98" t="str">
        <f t="shared" si="282"/>
        <v>1-0.366399387035414i</v>
      </c>
      <c r="X469" s="160">
        <f t="shared" si="292"/>
        <v>1.0650110378864284</v>
      </c>
      <c r="Y469" s="160">
        <f t="shared" si="293"/>
        <v>-0.35120916966831289</v>
      </c>
      <c r="Z469" s="98" t="str">
        <f t="shared" si="283"/>
        <v>-40.885141922036-8.61326308908314i</v>
      </c>
      <c r="AA469" s="160">
        <f t="shared" si="294"/>
        <v>41.782569703487454</v>
      </c>
      <c r="AB469" s="160">
        <f t="shared" si="295"/>
        <v>-2.9339590734981331</v>
      </c>
      <c r="AC469" s="171" t="str">
        <f t="shared" si="296"/>
        <v>-0.184229894808644+0.115654522262179i</v>
      </c>
      <c r="AD469" s="190">
        <f t="shared" si="297"/>
        <v>-13.249862617634971</v>
      </c>
      <c r="AE469" s="169">
        <f t="shared" si="298"/>
        <v>147.88051453475256</v>
      </c>
      <c r="AF469" s="98" t="str">
        <f t="shared" si="284"/>
        <v>-0.0000114342530449913</v>
      </c>
      <c r="AG469" s="98" t="str">
        <f t="shared" si="285"/>
        <v>0.244085529231546i</v>
      </c>
      <c r="AH469" s="98">
        <f t="shared" si="299"/>
        <v>0.244085529231546</v>
      </c>
      <c r="AI469" s="98">
        <f t="shared" si="300"/>
        <v>1.5707963267948966</v>
      </c>
      <c r="AJ469" s="98" t="str">
        <f t="shared" si="286"/>
        <v>1+2.23558730707714i</v>
      </c>
      <c r="AK469" s="98">
        <f t="shared" si="301"/>
        <v>2.449050960589513</v>
      </c>
      <c r="AL469" s="98">
        <f t="shared" si="302"/>
        <v>1.1501818654205842</v>
      </c>
      <c r="AM469" s="98" t="str">
        <f t="shared" si="287"/>
        <v>1+5367.64512429222i</v>
      </c>
      <c r="AN469" s="98">
        <f t="shared" si="303"/>
        <v>5367.6452174429378</v>
      </c>
      <c r="AO469" s="98">
        <f t="shared" si="304"/>
        <v>1.5706100253600448</v>
      </c>
      <c r="AP469" s="168" t="str">
        <f t="shared" si="305"/>
        <v>-0.0419056902892944+0.0937306745772032i</v>
      </c>
      <c r="AQ469" s="98">
        <f t="shared" si="306"/>
        <v>-19.770965060502782</v>
      </c>
      <c r="AR469" s="169">
        <f t="shared" si="307"/>
        <v>114.08875915298229</v>
      </c>
      <c r="AS469" s="168" t="str">
        <f t="shared" si="308"/>
        <v>-0.00312009547565788-0.0221145749081766i</v>
      </c>
      <c r="AT469" s="190">
        <f t="shared" si="309"/>
        <v>-33.020827678137735</v>
      </c>
      <c r="AU469" s="169">
        <f t="shared" si="310"/>
        <v>-98.030726312265102</v>
      </c>
      <c r="AV469" s="225"/>
      <c r="AX469">
        <f t="shared" si="311"/>
        <v>0</v>
      </c>
      <c r="AY469">
        <f t="shared" si="312"/>
        <v>0</v>
      </c>
    </row>
    <row r="470" spans="14:51" x14ac:dyDescent="0.2">
      <c r="N470" s="170">
        <v>52</v>
      </c>
      <c r="O470" s="199">
        <f t="shared" si="278"/>
        <v>331131.12148259126</v>
      </c>
      <c r="P470" s="189" t="str">
        <f t="shared" si="279"/>
        <v>1757.57575757576</v>
      </c>
      <c r="Q470" s="160" t="str">
        <f t="shared" si="280"/>
        <v>1+119978.856041378i</v>
      </c>
      <c r="R470" s="160">
        <f t="shared" si="288"/>
        <v>119978.8560455454</v>
      </c>
      <c r="S470" s="160">
        <f t="shared" si="289"/>
        <v>1.5707879919929744</v>
      </c>
      <c r="T470" s="160" t="str">
        <f t="shared" si="281"/>
        <v>1+582.55629522981i</v>
      </c>
      <c r="U470" s="160">
        <f t="shared" si="290"/>
        <v>582.55715351532808</v>
      </c>
      <c r="V470" s="160">
        <f t="shared" si="291"/>
        <v>1.5690797561802052</v>
      </c>
      <c r="W470" s="98" t="str">
        <f t="shared" si="282"/>
        <v>1-0.374933925129304i</v>
      </c>
      <c r="X470" s="160">
        <f t="shared" si="292"/>
        <v>1.0679772695206891</v>
      </c>
      <c r="Y470" s="160">
        <f t="shared" si="293"/>
        <v>-0.35871274035845047</v>
      </c>
      <c r="Z470" s="98" t="str">
        <f t="shared" si="283"/>
        <v>-42.8591278457277-8.81389175972929i</v>
      </c>
      <c r="AA470" s="160">
        <f t="shared" si="294"/>
        <v>43.756022758571824</v>
      </c>
      <c r="AB470" s="160">
        <f t="shared" si="295"/>
        <v>-2.9387723184068353</v>
      </c>
      <c r="AC470" s="171" t="str">
        <f t="shared" si="296"/>
        <v>-0.176116690036309+0.111213129248905i</v>
      </c>
      <c r="AD470" s="190">
        <f t="shared" si="297"/>
        <v>-13.626559073723969</v>
      </c>
      <c r="AE470" s="169">
        <f t="shared" si="298"/>
        <v>147.72865001199165</v>
      </c>
      <c r="AF470" s="98" t="str">
        <f t="shared" si="284"/>
        <v>-0.0000114342530449913</v>
      </c>
      <c r="AG470" s="98" t="str">
        <f t="shared" si="285"/>
        <v>0.24977101157978i</v>
      </c>
      <c r="AH470" s="98">
        <f t="shared" si="299"/>
        <v>0.24977101157977999</v>
      </c>
      <c r="AI470" s="98">
        <f t="shared" si="300"/>
        <v>1.5707963267948966</v>
      </c>
      <c r="AJ470" s="98" t="str">
        <f t="shared" si="286"/>
        <v>1+2.28766082496385i</v>
      </c>
      <c r="AK470" s="98">
        <f t="shared" si="301"/>
        <v>2.4966762004862151</v>
      </c>
      <c r="AL470" s="98">
        <f t="shared" si="302"/>
        <v>1.1586983845135723</v>
      </c>
      <c r="AM470" s="98" t="str">
        <f t="shared" si="287"/>
        <v>1+5492.6736407382i</v>
      </c>
      <c r="AN470" s="98">
        <f t="shared" si="303"/>
        <v>5492.6737317685484</v>
      </c>
      <c r="AO470" s="98">
        <f t="shared" si="304"/>
        <v>1.5706142660983473</v>
      </c>
      <c r="AP470" s="168" t="str">
        <f t="shared" si="305"/>
        <v>-0.0403221982418153+0.092289292237799i</v>
      </c>
      <c r="AQ470" s="98">
        <f t="shared" si="306"/>
        <v>-19.938253051945019</v>
      </c>
      <c r="AR470" s="169">
        <f t="shared" si="307"/>
        <v>113.60104152921816</v>
      </c>
      <c r="AS470" s="168" t="str">
        <f t="shared" si="308"/>
        <v>-0.00316236889659592-0.0207380425193818i</v>
      </c>
      <c r="AT470" s="190">
        <f t="shared" si="309"/>
        <v>-33.564812125668972</v>
      </c>
      <c r="AU470" s="169">
        <f t="shared" si="310"/>
        <v>-98.67030845879016</v>
      </c>
      <c r="AV470" s="225"/>
      <c r="AX470">
        <f t="shared" si="311"/>
        <v>0</v>
      </c>
      <c r="AY470">
        <f t="shared" si="312"/>
        <v>0</v>
      </c>
    </row>
    <row r="471" spans="14:51" x14ac:dyDescent="0.2">
      <c r="N471" s="170">
        <v>53</v>
      </c>
      <c r="O471" s="199">
        <f t="shared" si="278"/>
        <v>338844.15613920329</v>
      </c>
      <c r="P471" s="189" t="str">
        <f t="shared" si="279"/>
        <v>1757.57575757576</v>
      </c>
      <c r="Q471" s="160" t="str">
        <f t="shared" si="280"/>
        <v>1+122773.522609003i</v>
      </c>
      <c r="R471" s="160">
        <f t="shared" si="288"/>
        <v>122773.52261307553</v>
      </c>
      <c r="S471" s="160">
        <f t="shared" si="289"/>
        <v>1.5707881817162288</v>
      </c>
      <c r="T471" s="160" t="str">
        <f t="shared" si="281"/>
        <v>1+596.125774517703i</v>
      </c>
      <c r="U471" s="160">
        <f t="shared" si="290"/>
        <v>596.12661326628529</v>
      </c>
      <c r="V471" s="160">
        <f t="shared" si="291"/>
        <v>1.5691188300236651</v>
      </c>
      <c r="W471" s="98" t="str">
        <f t="shared" si="282"/>
        <v>1-0.383667258153135i</v>
      </c>
      <c r="X471" s="160">
        <f t="shared" si="292"/>
        <v>1.0710744908636114</v>
      </c>
      <c r="Y471" s="160">
        <f t="shared" si="293"/>
        <v>-0.36634762632668399</v>
      </c>
      <c r="Z471" s="98" t="str">
        <f t="shared" si="283"/>
        <v>-44.9261448598757-9.01919367245208i</v>
      </c>
      <c r="AA471" s="160">
        <f t="shared" si="294"/>
        <v>45.822530991551915</v>
      </c>
      <c r="AB471" s="160">
        <f t="shared" si="295"/>
        <v>-2.9434702650127549</v>
      </c>
      <c r="AC471" s="171" t="str">
        <f t="shared" si="296"/>
        <v>-0.168352505880926+0.106993948720993i</v>
      </c>
      <c r="AD471" s="190">
        <f t="shared" si="297"/>
        <v>-14.002230997230194</v>
      </c>
      <c r="AE471" s="169">
        <f t="shared" si="298"/>
        <v>147.56260367782289</v>
      </c>
      <c r="AF471" s="98" t="str">
        <f t="shared" si="284"/>
        <v>-0.0000114342530449913</v>
      </c>
      <c r="AG471" s="98" t="str">
        <f t="shared" si="285"/>
        <v>0.255588925824465i</v>
      </c>
      <c r="AH471" s="98">
        <f t="shared" si="299"/>
        <v>0.25558892582446502</v>
      </c>
      <c r="AI471" s="98">
        <f t="shared" si="300"/>
        <v>1.5707963267948966</v>
      </c>
      <c r="AJ471" s="98" t="str">
        <f t="shared" si="286"/>
        <v>1+2.34094729090072i</v>
      </c>
      <c r="AK471" s="98">
        <f t="shared" si="301"/>
        <v>2.5455911334649599</v>
      </c>
      <c r="AL471" s="98">
        <f t="shared" si="302"/>
        <v>1.1670827680259575</v>
      </c>
      <c r="AM471" s="98" t="str">
        <f t="shared" si="287"/>
        <v>1+5620.61444545262i</v>
      </c>
      <c r="AN471" s="98">
        <f t="shared" si="303"/>
        <v>5620.6145344108645</v>
      </c>
      <c r="AO471" s="98">
        <f t="shared" si="304"/>
        <v>1.5706184103056668</v>
      </c>
      <c r="AP471" s="168" t="str">
        <f t="shared" si="305"/>
        <v>-0.0387874602936199+0.0908441369828633i</v>
      </c>
      <c r="AQ471" s="98">
        <f t="shared" si="306"/>
        <v>-20.106781623111736</v>
      </c>
      <c r="AR471" s="169">
        <f t="shared" si="307"/>
        <v>113.12088918572826</v>
      </c>
      <c r="AS471" s="168" t="str">
        <f t="shared" si="308"/>
        <v>-0.00318980679675951-0.0194438616433283i</v>
      </c>
      <c r="AT471" s="190">
        <f t="shared" si="309"/>
        <v>-34.109012620341915</v>
      </c>
      <c r="AU471" s="169">
        <f t="shared" si="310"/>
        <v>-99.316507136448806</v>
      </c>
      <c r="AV471" s="225"/>
      <c r="AX471">
        <f t="shared" si="311"/>
        <v>0</v>
      </c>
      <c r="AY471">
        <f t="shared" si="312"/>
        <v>0</v>
      </c>
    </row>
    <row r="472" spans="14:51" x14ac:dyDescent="0.2">
      <c r="N472" s="170">
        <v>54</v>
      </c>
      <c r="O472" s="199">
        <f t="shared" si="278"/>
        <v>346736.85045253241</v>
      </c>
      <c r="P472" s="189" t="str">
        <f t="shared" si="279"/>
        <v>1757.57575757576</v>
      </c>
      <c r="Q472" s="160" t="str">
        <f t="shared" si="280"/>
        <v>1+125633.285323416i</v>
      </c>
      <c r="R472" s="160">
        <f t="shared" si="288"/>
        <v>125633.28532739583</v>
      </c>
      <c r="S472" s="160">
        <f t="shared" si="289"/>
        <v>1.5707883671208547</v>
      </c>
      <c r="T472" s="160" t="str">
        <f t="shared" si="281"/>
        <v>1+610.011327581903i</v>
      </c>
      <c r="U472" s="160">
        <f t="shared" si="290"/>
        <v>610.01214723826251</v>
      </c>
      <c r="V472" s="160">
        <f t="shared" si="291"/>
        <v>1.5691570144428093</v>
      </c>
      <c r="W472" s="98" t="str">
        <f t="shared" si="282"/>
        <v>1-0.392604016635674i</v>
      </c>
      <c r="X472" s="160">
        <f t="shared" si="292"/>
        <v>1.0743081093794575</v>
      </c>
      <c r="Y472" s="160">
        <f t="shared" si="293"/>
        <v>-0.3741143142928407</v>
      </c>
      <c r="Z472" s="98" t="str">
        <f t="shared" si="283"/>
        <v>-47.090577384697-9.22927768104315i</v>
      </c>
      <c r="AA472" s="160">
        <f t="shared" si="294"/>
        <v>47.986477730064095</v>
      </c>
      <c r="AB472" s="160">
        <f t="shared" si="295"/>
        <v>-2.9480559131782829</v>
      </c>
      <c r="AC472" s="171" t="str">
        <f t="shared" si="296"/>
        <v>-0.160923107829263+0.102983806255447i</v>
      </c>
      <c r="AD472" s="190">
        <f t="shared" si="297"/>
        <v>-14.376843983323946</v>
      </c>
      <c r="AE472" s="169">
        <f t="shared" si="298"/>
        <v>147.3825207059414</v>
      </c>
      <c r="AF472" s="98" t="str">
        <f t="shared" si="284"/>
        <v>-0.0000114342530449913</v>
      </c>
      <c r="AG472" s="98" t="str">
        <f t="shared" si="285"/>
        <v>0.26154235670074i</v>
      </c>
      <c r="AH472" s="98">
        <f t="shared" si="299"/>
        <v>0.26154235670074</v>
      </c>
      <c r="AI472" s="98">
        <f t="shared" si="300"/>
        <v>1.5707963267948966</v>
      </c>
      <c r="AJ472" s="98" t="str">
        <f t="shared" si="286"/>
        <v>1+2.39547495807732i</v>
      </c>
      <c r="AK472" s="98">
        <f t="shared" si="301"/>
        <v>2.5958236216614443</v>
      </c>
      <c r="AL472" s="98">
        <f t="shared" si="302"/>
        <v>1.1753347451826386</v>
      </c>
      <c r="AM472" s="98" t="str">
        <f t="shared" si="287"/>
        <v>1+5751.53537434365i</v>
      </c>
      <c r="AN472" s="98">
        <f t="shared" si="303"/>
        <v>5751.535461276957</v>
      </c>
      <c r="AO472" s="98">
        <f t="shared" si="304"/>
        <v>1.5706224601793171</v>
      </c>
      <c r="AP472" s="168" t="str">
        <f t="shared" si="305"/>
        <v>-0.0373008117348144+0.0893968789784116i</v>
      </c>
      <c r="AQ472" s="98">
        <f t="shared" si="306"/>
        <v>-20.276512239743521</v>
      </c>
      <c r="AR472" s="169">
        <f t="shared" si="307"/>
        <v>112.6483177626798</v>
      </c>
      <c r="AS472" s="168" t="str">
        <f t="shared" si="308"/>
        <v>-0.00320386831563381-0.0182274031643115i</v>
      </c>
      <c r="AT472" s="190">
        <f t="shared" si="309"/>
        <v>-34.653356223067483</v>
      </c>
      <c r="AU472" s="169">
        <f t="shared" si="310"/>
        <v>-99.96916153137883</v>
      </c>
      <c r="AV472" s="225"/>
      <c r="AX472">
        <f t="shared" si="311"/>
        <v>0</v>
      </c>
      <c r="AY472">
        <f t="shared" si="312"/>
        <v>0</v>
      </c>
    </row>
    <row r="473" spans="14:51" x14ac:dyDescent="0.2">
      <c r="N473" s="170">
        <v>55</v>
      </c>
      <c r="O473" s="199">
        <f t="shared" si="278"/>
        <v>354813.38923357555</v>
      </c>
      <c r="P473" s="189" t="str">
        <f t="shared" si="279"/>
        <v>1757.57575757576</v>
      </c>
      <c r="Q473" s="160" t="str">
        <f t="shared" si="280"/>
        <v>1+128559.660468659i</v>
      </c>
      <c r="R473" s="160">
        <f t="shared" si="288"/>
        <v>128559.66047254825</v>
      </c>
      <c r="S473" s="160">
        <f t="shared" si="289"/>
        <v>1.5707885483051562</v>
      </c>
      <c r="T473" s="160" t="str">
        <f t="shared" si="281"/>
        <v>1+624.220316726437i</v>
      </c>
      <c r="U473" s="160">
        <f t="shared" si="290"/>
        <v>624.22111772516416</v>
      </c>
      <c r="V473" s="160">
        <f t="shared" si="291"/>
        <v>1.5691943296830768</v>
      </c>
      <c r="W473" s="98" t="str">
        <f t="shared" si="282"/>
        <v>1-0.40174893896456i</v>
      </c>
      <c r="X473" s="160">
        <f t="shared" si="292"/>
        <v>1.0776837244568322</v>
      </c>
      <c r="Y473" s="160">
        <f t="shared" si="293"/>
        <v>-0.38201317325301126</v>
      </c>
      <c r="Z473" s="98" t="str">
        <f t="shared" si="283"/>
        <v>-49.3570164717666-9.44425517482457i</v>
      </c>
      <c r="AA473" s="160">
        <f t="shared" si="294"/>
        <v>50.25245298292851</v>
      </c>
      <c r="AB473" s="160">
        <f t="shared" si="295"/>
        <v>-2.9525321702727032</v>
      </c>
      <c r="AC473" s="171" t="str">
        <f t="shared" si="296"/>
        <v>-0.153814765433293+0.0991703711288337i</v>
      </c>
      <c r="AD473" s="190">
        <f t="shared" si="297"/>
        <v>-14.750362959535403</v>
      </c>
      <c r="AE473" s="169">
        <f t="shared" si="298"/>
        <v>147.18854768876344</v>
      </c>
      <c r="AF473" s="98" t="str">
        <f t="shared" si="284"/>
        <v>-0.0000114342530449913</v>
      </c>
      <c r="AG473" s="98" t="str">
        <f t="shared" si="285"/>
        <v>0.26763446079646i</v>
      </c>
      <c r="AH473" s="98">
        <f t="shared" si="299"/>
        <v>0.26763446079646003</v>
      </c>
      <c r="AI473" s="98">
        <f t="shared" si="300"/>
        <v>1.5707963267948966</v>
      </c>
      <c r="AJ473" s="98" t="str">
        <f t="shared" si="286"/>
        <v>1+2.45127273778455i</v>
      </c>
      <c r="AK473" s="98">
        <f t="shared" si="301"/>
        <v>2.6474021294479919</v>
      </c>
      <c r="AL473" s="98">
        <f t="shared" si="302"/>
        <v>1.1834541948844801</v>
      </c>
      <c r="AM473" s="98" t="str">
        <f t="shared" si="287"/>
        <v>1+5885.50584342069i</v>
      </c>
      <c r="AN473" s="98">
        <f t="shared" si="303"/>
        <v>5885.5059283751552</v>
      </c>
      <c r="AO473" s="98">
        <f t="shared" si="304"/>
        <v>1.5706264178665936</v>
      </c>
      <c r="AP473" s="168" t="str">
        <f t="shared" si="305"/>
        <v>-0.0358615300938186+0.0879491144501921i</v>
      </c>
      <c r="AQ473" s="98">
        <f t="shared" si="306"/>
        <v>-20.447406919878183</v>
      </c>
      <c r="AR473" s="169">
        <f t="shared" si="307"/>
        <v>112.18333432157311</v>
      </c>
      <c r="AS473" s="168" t="str">
        <f t="shared" si="308"/>
        <v>-0.00320591348101813-0.017084273657874i</v>
      </c>
      <c r="AT473" s="190">
        <f t="shared" si="309"/>
        <v>-35.19776987941357</v>
      </c>
      <c r="AU473" s="169">
        <f t="shared" si="310"/>
        <v>-100.62811798966341</v>
      </c>
      <c r="AV473" s="225"/>
      <c r="AX473">
        <f t="shared" si="311"/>
        <v>0</v>
      </c>
      <c r="AY473">
        <f t="shared" si="312"/>
        <v>0</v>
      </c>
    </row>
    <row r="474" spans="14:51" x14ac:dyDescent="0.2">
      <c r="N474" s="170">
        <v>56</v>
      </c>
      <c r="O474" s="199">
        <f t="shared" si="278"/>
        <v>363078.05477010203</v>
      </c>
      <c r="P474" s="189" t="str">
        <f t="shared" si="279"/>
        <v>1757.57575757576</v>
      </c>
      <c r="Q474" s="160" t="str">
        <f t="shared" si="280"/>
        <v>1+131554.199647573i</v>
      </c>
      <c r="R474" s="160">
        <f t="shared" si="288"/>
        <v>131554.19965137372</v>
      </c>
      <c r="S474" s="160">
        <f t="shared" si="289"/>
        <v>1.5707887253651995</v>
      </c>
      <c r="T474" s="160" t="str">
        <f t="shared" si="281"/>
        <v>1+638.760275745438i</v>
      </c>
      <c r="U474" s="160">
        <f t="shared" si="290"/>
        <v>638.76105851123066</v>
      </c>
      <c r="V474" s="160">
        <f t="shared" si="291"/>
        <v>1.5692307955290863</v>
      </c>
      <c r="W474" s="98" t="str">
        <f t="shared" si="282"/>
        <v>1-0.411106873898664i</v>
      </c>
      <c r="X474" s="160">
        <f t="shared" si="292"/>
        <v>1.0812071317590963</v>
      </c>
      <c r="Y474" s="160">
        <f t="shared" si="293"/>
        <v>-0.39004444764923857</v>
      </c>
      <c r="Z474" s="98" t="str">
        <f t="shared" si="283"/>
        <v>-51.7302695422566-9.66424013770925i</v>
      </c>
      <c r="AA474" s="160">
        <f t="shared" si="294"/>
        <v>52.625263176100425</v>
      </c>
      <c r="AB474" s="160">
        <f t="shared" si="295"/>
        <v>-2.9569018547965218</v>
      </c>
      <c r="AC474" s="171" t="str">
        <f t="shared" si="296"/>
        <v>-0.147014242510625+0.0955421008035169i</v>
      </c>
      <c r="AD474" s="190">
        <f t="shared" si="297"/>
        <v>-15.122752204670757</v>
      </c>
      <c r="AE474" s="169">
        <f t="shared" si="298"/>
        <v>146.98083323704606</v>
      </c>
      <c r="AF474" s="98" t="str">
        <f t="shared" si="284"/>
        <v>-0.0000114342530449913</v>
      </c>
      <c r="AG474" s="98" t="str">
        <f t="shared" si="285"/>
        <v>0.273868468225857i</v>
      </c>
      <c r="AH474" s="98">
        <f t="shared" si="299"/>
        <v>0.27386846822585698</v>
      </c>
      <c r="AI474" s="98">
        <f t="shared" si="300"/>
        <v>1.5707963267948966</v>
      </c>
      <c r="AJ474" s="98" t="str">
        <f t="shared" si="286"/>
        <v>1+2.50837021474379i</v>
      </c>
      <c r="AK474" s="98">
        <f t="shared" si="301"/>
        <v>2.7003557421595041</v>
      </c>
      <c r="AL474" s="98">
        <f t="shared" si="302"/>
        <v>1.191441138895494</v>
      </c>
      <c r="AM474" s="98" t="str">
        <f t="shared" si="287"/>
        <v>1+6022.59688559984i</v>
      </c>
      <c r="AN474" s="98">
        <f t="shared" si="303"/>
        <v>6022.5969686205053</v>
      </c>
      <c r="AO474" s="98">
        <f t="shared" si="304"/>
        <v>1.5706302854659142</v>
      </c>
      <c r="AP474" s="168" t="str">
        <f t="shared" si="305"/>
        <v>-0.034468840972887+0.086502364925882i</v>
      </c>
      <c r="AQ474" s="98">
        <f t="shared" si="306"/>
        <v>-20.619428277480139</v>
      </c>
      <c r="AR474" s="169">
        <f t="shared" si="307"/>
        <v>111.72593773565262</v>
      </c>
      <c r="AS474" s="168" t="str">
        <f t="shared" si="308"/>
        <v>-0.00319720712364304-0.0160103051337682i</v>
      </c>
      <c r="AT474" s="190">
        <f t="shared" si="309"/>
        <v>-35.742180482150879</v>
      </c>
      <c r="AU474" s="169">
        <f t="shared" si="310"/>
        <v>-101.29322902730125</v>
      </c>
      <c r="AV474" s="225"/>
      <c r="AX474">
        <f t="shared" si="311"/>
        <v>0</v>
      </c>
      <c r="AY474">
        <f t="shared" si="312"/>
        <v>0</v>
      </c>
    </row>
    <row r="475" spans="14:51" x14ac:dyDescent="0.2">
      <c r="N475" s="170">
        <v>57</v>
      </c>
      <c r="O475" s="199">
        <f t="shared" si="278"/>
        <v>371535.2290971732</v>
      </c>
      <c r="P475" s="189" t="str">
        <f t="shared" si="279"/>
        <v>1757.57575757576</v>
      </c>
      <c r="Q475" s="160" t="str">
        <f t="shared" si="280"/>
        <v>1+134618.490604464i</v>
      </c>
      <c r="R475" s="160">
        <f t="shared" si="288"/>
        <v>134618.4906081782</v>
      </c>
      <c r="S475" s="160">
        <f t="shared" si="289"/>
        <v>1.5707888983948641</v>
      </c>
      <c r="T475" s="160" t="str">
        <f t="shared" si="281"/>
        <v>1+653.638913917629i</v>
      </c>
      <c r="U475" s="160">
        <f t="shared" si="290"/>
        <v>653.63967886551802</v>
      </c>
      <c r="V475" s="160">
        <f t="shared" si="291"/>
        <v>1.5692664313151234</v>
      </c>
      <c r="W475" s="98" t="str">
        <f t="shared" si="282"/>
        <v>1-0.42068278313895i</v>
      </c>
      <c r="X475" s="160">
        <f t="shared" si="292"/>
        <v>1.0848843274882041</v>
      </c>
      <c r="Y475" s="160">
        <f t="shared" si="293"/>
        <v>-0.3982082505004354</v>
      </c>
      <c r="Z475" s="98" t="str">
        <f t="shared" si="283"/>
        <v>-54.2153705841157-9.88934920863627i</v>
      </c>
      <c r="AA475" s="160">
        <f t="shared" si="294"/>
        <v>55.109941347667508</v>
      </c>
      <c r="AB475" s="160">
        <f t="shared" si="295"/>
        <v>-2.9611676998331578</v>
      </c>
      <c r="AC475" s="171" t="str">
        <f t="shared" si="296"/>
        <v>-0.140508786543862+0.0920881890699178i</v>
      </c>
      <c r="AD475" s="190">
        <f t="shared" si="297"/>
        <v>-15.493975372835994</v>
      </c>
      <c r="AE475" s="169">
        <f t="shared" si="298"/>
        <v>146.75952857182182</v>
      </c>
      <c r="AF475" s="98" t="str">
        <f t="shared" si="284"/>
        <v>-0.0000114342530449913</v>
      </c>
      <c r="AG475" s="98" t="str">
        <f t="shared" si="285"/>
        <v>0.280247684342183i</v>
      </c>
      <c r="AH475" s="98">
        <f t="shared" si="299"/>
        <v>0.280247684342183</v>
      </c>
      <c r="AI475" s="98">
        <f t="shared" si="300"/>
        <v>1.5707963267948966</v>
      </c>
      <c r="AJ475" s="98" t="str">
        <f t="shared" si="286"/>
        <v>1+2.56679766279309i</v>
      </c>
      <c r="AK475" s="98">
        <f t="shared" si="301"/>
        <v>2.7547141851233983</v>
      </c>
      <c r="AL475" s="98">
        <f t="shared" si="302"/>
        <v>1.199295734979549</v>
      </c>
      <c r="AM475" s="98" t="str">
        <f t="shared" si="287"/>
        <v>1+6162.88118836621i</v>
      </c>
      <c r="AN475" s="98">
        <f t="shared" si="303"/>
        <v>6162.8812694970939</v>
      </c>
      <c r="AO475" s="98">
        <f t="shared" si="304"/>
        <v>1.5706340650279309</v>
      </c>
      <c r="AP475" s="168" t="str">
        <f t="shared" si="305"/>
        <v>-0.0331219237071888+0.0850580768852283i</v>
      </c>
      <c r="AQ475" s="98">
        <f t="shared" si="306"/>
        <v>-20.792539561495296</v>
      </c>
      <c r="AR475" s="169">
        <f t="shared" si="307"/>
        <v>111.2761190832083</v>
      </c>
      <c r="AS475" s="168" t="str">
        <f t="shared" si="308"/>
        <v>-0.00317892295803503-0.0150015451416049i</v>
      </c>
      <c r="AT475" s="190">
        <f t="shared" si="309"/>
        <v>-36.286514934331315</v>
      </c>
      <c r="AU475" s="169">
        <f t="shared" si="310"/>
        <v>-101.96435234496988</v>
      </c>
      <c r="AV475" s="225"/>
      <c r="AX475">
        <f t="shared" si="311"/>
        <v>0</v>
      </c>
      <c r="AY475">
        <f t="shared" si="312"/>
        <v>0</v>
      </c>
    </row>
    <row r="476" spans="14:51" x14ac:dyDescent="0.2">
      <c r="N476" s="170">
        <v>58</v>
      </c>
      <c r="O476" s="199">
        <f t="shared" si="278"/>
        <v>380189.39632056188</v>
      </c>
      <c r="P476" s="189" t="str">
        <f t="shared" si="279"/>
        <v>1757.57575757576</v>
      </c>
      <c r="Q476" s="160" t="str">
        <f t="shared" si="280"/>
        <v>1+137754.158066961i</v>
      </c>
      <c r="R476" s="160">
        <f t="shared" si="288"/>
        <v>137754.15807059067</v>
      </c>
      <c r="S476" s="160">
        <f t="shared" si="289"/>
        <v>1.5707890674858926</v>
      </c>
      <c r="T476" s="160" t="str">
        <f t="shared" si="281"/>
        <v>1+668.864120093913i</v>
      </c>
      <c r="U476" s="160">
        <f t="shared" si="290"/>
        <v>668.86486762948198</v>
      </c>
      <c r="V476" s="160">
        <f t="shared" si="291"/>
        <v>1.5693012559353916</v>
      </c>
      <c r="W476" s="98" t="str">
        <f t="shared" si="282"/>
        <v>1-0.430481743959252i</v>
      </c>
      <c r="X476" s="160">
        <f t="shared" si="292"/>
        <v>1.0887215125468033</v>
      </c>
      <c r="Y476" s="160">
        <f t="shared" si="293"/>
        <v>-0.40650455652561063</v>
      </c>
      <c r="Z476" s="98" t="str">
        <f t="shared" si="283"/>
        <v>-56.8175908298374-10.1197017434147i</v>
      </c>
      <c r="AA476" s="160">
        <f t="shared" si="294"/>
        <v>57.711757823536203</v>
      </c>
      <c r="AB476" s="160">
        <f t="shared" si="295"/>
        <v>-2.9653323563366425</v>
      </c>
      <c r="AC476" s="171" t="str">
        <f t="shared" si="296"/>
        <v>-0.134286117437438+0.0887985176100919i</v>
      </c>
      <c r="AD476" s="190">
        <f t="shared" si="297"/>
        <v>-15.863995522653227</v>
      </c>
      <c r="AE476" s="169">
        <f t="shared" si="298"/>
        <v>146.52478810736397</v>
      </c>
      <c r="AF476" s="98" t="str">
        <f t="shared" si="284"/>
        <v>-0.0000114342530449913</v>
      </c>
      <c r="AG476" s="98" t="str">
        <f t="shared" si="285"/>
        <v>0.286775491490265i</v>
      </c>
      <c r="AH476" s="98">
        <f t="shared" si="299"/>
        <v>0.28677549149026499</v>
      </c>
      <c r="AI476" s="98">
        <f t="shared" si="300"/>
        <v>1.5707963267948966</v>
      </c>
      <c r="AJ476" s="98" t="str">
        <f t="shared" si="286"/>
        <v>1+2.62658606093879i</v>
      </c>
      <c r="AK476" s="98">
        <f t="shared" si="301"/>
        <v>2.8105078429917163</v>
      </c>
      <c r="AL476" s="98">
        <f t="shared" si="302"/>
        <v>1.2070182700225336</v>
      </c>
      <c r="AM476" s="98" t="str">
        <f t="shared" si="287"/>
        <v>1+6306.43313231403i</v>
      </c>
      <c r="AN476" s="98">
        <f t="shared" si="303"/>
        <v>6306.4332115981497</v>
      </c>
      <c r="AO476" s="98">
        <f t="shared" si="304"/>
        <v>1.5706377585566171</v>
      </c>
      <c r="AP476" s="168" t="str">
        <f t="shared" si="305"/>
        <v>-0.0318199168251767+0.0836176217862786i</v>
      </c>
      <c r="AQ476" s="98">
        <f t="shared" si="306"/>
        <v>-20.966704690480668</v>
      </c>
      <c r="AR476" s="169">
        <f t="shared" si="307"/>
        <v>110.83386204170858</v>
      </c>
      <c r="AS476" s="168" t="str">
        <f t="shared" si="308"/>
        <v>-0.00315214777306768-0.0140542472235836i</v>
      </c>
      <c r="AT476" s="190">
        <f t="shared" si="309"/>
        <v>-36.830700213133888</v>
      </c>
      <c r="AU476" s="169">
        <f t="shared" si="310"/>
        <v>-102.64134985092745</v>
      </c>
      <c r="AV476" s="225"/>
      <c r="AX476">
        <f t="shared" si="311"/>
        <v>0</v>
      </c>
      <c r="AY476">
        <f t="shared" si="312"/>
        <v>0</v>
      </c>
    </row>
    <row r="477" spans="14:51" x14ac:dyDescent="0.2">
      <c r="N477" s="170">
        <v>59</v>
      </c>
      <c r="O477" s="199">
        <f t="shared" si="278"/>
        <v>389045.14499428123</v>
      </c>
      <c r="P477" s="189" t="str">
        <f t="shared" si="279"/>
        <v>1757.57575757576</v>
      </c>
      <c r="Q477" s="160" t="str">
        <f t="shared" si="280"/>
        <v>1+140962.864607456i</v>
      </c>
      <c r="R477" s="160">
        <f t="shared" si="288"/>
        <v>140962.86461100302</v>
      </c>
      <c r="S477" s="160">
        <f t="shared" si="289"/>
        <v>1.5707892327279396</v>
      </c>
      <c r="T477" s="160" t="str">
        <f t="shared" si="281"/>
        <v>1+684.443966880134i</v>
      </c>
      <c r="U477" s="160">
        <f t="shared" si="290"/>
        <v>684.44469739973431</v>
      </c>
      <c r="V477" s="160">
        <f t="shared" si="291"/>
        <v>1.5693352878540272</v>
      </c>
      <c r="W477" s="98" t="str">
        <f t="shared" si="282"/>
        <v>1-0.4405089518983i</v>
      </c>
      <c r="X477" s="160">
        <f t="shared" si="292"/>
        <v>1.092725096583097</v>
      </c>
      <c r="Y477" s="160">
        <f t="shared" si="293"/>
        <v>-0.41493319529331746</v>
      </c>
      <c r="Z477" s="98" t="str">
        <f t="shared" si="283"/>
        <v>-59.5424499374486-10.3554198780076i</v>
      </c>
      <c r="AA477" s="160">
        <f t="shared" si="294"/>
        <v>60.436231396434771</v>
      </c>
      <c r="AB477" s="160">
        <f t="shared" si="295"/>
        <v>-2.9693983962635588</v>
      </c>
      <c r="AC477" s="171" t="str">
        <f t="shared" si="296"/>
        <v>-0.128334415771157+0.0856636107618506i</v>
      </c>
      <c r="AD477" s="190">
        <f t="shared" si="297"/>
        <v>-16.232775151738505</v>
      </c>
      <c r="AE477" s="169">
        <f t="shared" si="298"/>
        <v>146.2767700237126</v>
      </c>
      <c r="AF477" s="98" t="str">
        <f t="shared" si="284"/>
        <v>-0.0000114342530449913</v>
      </c>
      <c r="AG477" s="98" t="str">
        <f t="shared" si="285"/>
        <v>0.293455350799857i</v>
      </c>
      <c r="AH477" s="98">
        <f t="shared" si="299"/>
        <v>0.29345535079985702</v>
      </c>
      <c r="AI477" s="98">
        <f t="shared" si="300"/>
        <v>1.5707963267948966</v>
      </c>
      <c r="AJ477" s="98" t="str">
        <f t="shared" si="286"/>
        <v>1+2.68776710978097i</v>
      </c>
      <c r="AK477" s="98">
        <f t="shared" si="301"/>
        <v>2.8677677793748138</v>
      </c>
      <c r="AL477" s="98">
        <f t="shared" si="302"/>
        <v>1.2146091531729408</v>
      </c>
      <c r="AM477" s="98" t="str">
        <f t="shared" si="287"/>
        <v>1+6453.32883058411i</v>
      </c>
      <c r="AN477" s="98">
        <f t="shared" si="303"/>
        <v>6453.3289080635022</v>
      </c>
      <c r="AO477" s="98">
        <f t="shared" si="304"/>
        <v>1.5706413680103299</v>
      </c>
      <c r="AP477" s="168" t="str">
        <f t="shared" si="305"/>
        <v>-0.0305619232918327+0.0821822964356594i</v>
      </c>
      <c r="AQ477" s="98">
        <f t="shared" si="306"/>
        <v>-21.14188828297392</v>
      </c>
      <c r="AR477" s="169">
        <f t="shared" si="307"/>
        <v>110.39914328087745</v>
      </c>
      <c r="AS477" s="168" t="str">
        <f t="shared" si="308"/>
        <v>-0.00311788568287908-0.0131648617008075i</v>
      </c>
      <c r="AT477" s="190">
        <f t="shared" si="309"/>
        <v>-37.37466343471241</v>
      </c>
      <c r="AU477" s="169">
        <f t="shared" si="310"/>
        <v>-103.32408669540989</v>
      </c>
      <c r="AV477" s="225"/>
      <c r="AX477">
        <f t="shared" si="311"/>
        <v>0</v>
      </c>
      <c r="AY477">
        <f t="shared" si="312"/>
        <v>0</v>
      </c>
    </row>
    <row r="478" spans="14:51" x14ac:dyDescent="0.2">
      <c r="N478" s="170">
        <v>60</v>
      </c>
      <c r="O478" s="199">
        <f t="shared" si="278"/>
        <v>398107.17055349716</v>
      </c>
      <c r="P478" s="189" t="str">
        <f t="shared" si="279"/>
        <v>1757.57575757576</v>
      </c>
      <c r="Q478" s="160" t="str">
        <f t="shared" si="280"/>
        <v>1+144246.311524631i</v>
      </c>
      <c r="R478" s="160">
        <f t="shared" si="288"/>
        <v>144246.31152809729</v>
      </c>
      <c r="S478" s="160">
        <f t="shared" si="289"/>
        <v>1.5707893942086182</v>
      </c>
      <c r="T478" s="160" t="str">
        <f t="shared" si="281"/>
        <v>1+700.38671491728i</v>
      </c>
      <c r="U478" s="160">
        <f t="shared" si="290"/>
        <v>700.38742880824122</v>
      </c>
      <c r="V478" s="160">
        <f t="shared" si="291"/>
        <v>1.5693685451148889</v>
      </c>
      <c r="W478" s="98" t="str">
        <f t="shared" si="282"/>
        <v>1-0.450769723514469i</v>
      </c>
      <c r="X478" s="160">
        <f t="shared" si="292"/>
        <v>1.0969017019028235</v>
      </c>
      <c r="Y478" s="160">
        <f t="shared" si="293"/>
        <v>-0.42349384443425392</v>
      </c>
      <c r="Z478" s="98" t="str">
        <f t="shared" si="283"/>
        <v>-62.3957276984446-10.59662859329i</v>
      </c>
      <c r="AA478" s="160">
        <f t="shared" si="294"/>
        <v>63.289141031954124</v>
      </c>
      <c r="AB478" s="160">
        <f t="shared" si="295"/>
        <v>-2.9733683155571615</v>
      </c>
      <c r="AC478" s="171" t="str">
        <f t="shared" si="296"/>
        <v>-0.122642310672103+0.0826745932757749i</v>
      </c>
      <c r="AD478" s="190">
        <f t="shared" si="297"/>
        <v>-16.600276236511185</v>
      </c>
      <c r="AE478" s="169">
        <f t="shared" si="298"/>
        <v>146.01563682709977</v>
      </c>
      <c r="AF478" s="98" t="str">
        <f t="shared" si="284"/>
        <v>-0.0000114342530449913</v>
      </c>
      <c r="AG478" s="98" t="str">
        <f t="shared" si="285"/>
        <v>0.300290804020784i</v>
      </c>
      <c r="AH478" s="98">
        <f t="shared" si="299"/>
        <v>0.30029080402078401</v>
      </c>
      <c r="AI478" s="98">
        <f t="shared" si="300"/>
        <v>1.5707963267948966</v>
      </c>
      <c r="AJ478" s="98" t="str">
        <f t="shared" si="286"/>
        <v>1+2.75037324832156i</v>
      </c>
      <c r="AK478" s="98">
        <f t="shared" si="301"/>
        <v>2.9265257567776315</v>
      </c>
      <c r="AL478" s="98">
        <f t="shared" si="302"/>
        <v>1.2220689090309493</v>
      </c>
      <c r="AM478" s="98" t="str">
        <f t="shared" si="287"/>
        <v>1+6603.64616922006i</v>
      </c>
      <c r="AN478" s="98">
        <f t="shared" si="303"/>
        <v>6603.6462449358069</v>
      </c>
      <c r="AO478" s="98">
        <f t="shared" si="304"/>
        <v>1.5706448953028496</v>
      </c>
      <c r="AP478" s="168" t="str">
        <f t="shared" si="305"/>
        <v>-0.0293470155200023+0.0807533236710343i</v>
      </c>
      <c r="AQ478" s="98">
        <f t="shared" si="306"/>
        <v>-21.318055683782688</v>
      </c>
      <c r="AR478" s="169">
        <f t="shared" si="307"/>
        <v>109.97193285299002</v>
      </c>
      <c r="AS478" s="168" t="str">
        <f t="shared" si="308"/>
        <v>-0.00307706239546661-0.0123300267814419i</v>
      </c>
      <c r="AT478" s="190">
        <f t="shared" si="309"/>
        <v>-37.918331920293895</v>
      </c>
      <c r="AU478" s="169">
        <f t="shared" si="310"/>
        <v>-104.01243031991018</v>
      </c>
      <c r="AV478" s="225"/>
      <c r="AX478">
        <f t="shared" si="311"/>
        <v>0</v>
      </c>
      <c r="AY478">
        <f t="shared" si="312"/>
        <v>0</v>
      </c>
    </row>
    <row r="479" spans="14:51" x14ac:dyDescent="0.2">
      <c r="N479" s="170">
        <v>61</v>
      </c>
      <c r="O479" s="199">
        <f t="shared" si="278"/>
        <v>407380.27780411334</v>
      </c>
      <c r="P479" s="189" t="str">
        <f t="shared" si="279"/>
        <v>1757.57575757576</v>
      </c>
      <c r="Q479" s="160" t="str">
        <f t="shared" si="280"/>
        <v>1+147606.239745501i</v>
      </c>
      <c r="R479" s="160">
        <f t="shared" si="288"/>
        <v>147606.23974888836</v>
      </c>
      <c r="S479" s="160">
        <f t="shared" si="289"/>
        <v>1.570789552013548</v>
      </c>
      <c r="T479" s="160" t="str">
        <f t="shared" si="281"/>
        <v>1+716.700817261391i</v>
      </c>
      <c r="U479" s="160">
        <f t="shared" si="290"/>
        <v>716.70151490222599</v>
      </c>
      <c r="V479" s="160">
        <f t="shared" si="291"/>
        <v>1.5694010453511218</v>
      </c>
      <c r="W479" s="98" t="str">
        <f t="shared" si="282"/>
        <v>1-0.46126949920469i</v>
      </c>
      <c r="X479" s="160">
        <f t="shared" si="292"/>
        <v>1.1012581672326183</v>
      </c>
      <c r="Y479" s="160">
        <f t="shared" si="293"/>
        <v>-0.43218602295676145</v>
      </c>
      <c r="Z479" s="98" t="str">
        <f t="shared" si="283"/>
        <v>-65.3834762975025-10.8434557813155i</v>
      </c>
      <c r="AA479" s="160">
        <f t="shared" si="294"/>
        <v>66.276538126454781</v>
      </c>
      <c r="AB479" s="160">
        <f t="shared" si="295"/>
        <v>-2.977244536991233</v>
      </c>
      <c r="AC479" s="171" t="str">
        <f t="shared" si="296"/>
        <v>-0.117198867411286+0.07982315087017i</v>
      </c>
      <c r="AD479" s="190">
        <f t="shared" si="297"/>
        <v>-16.966460277383813</v>
      </c>
      <c r="AE479" s="169">
        <f t="shared" si="298"/>
        <v>145.74155589642905</v>
      </c>
      <c r="AF479" s="98" t="str">
        <f t="shared" si="284"/>
        <v>-0.0000114342530449913</v>
      </c>
      <c r="AG479" s="98" t="str">
        <f t="shared" si="285"/>
        <v>0.307285475400822i</v>
      </c>
      <c r="AH479" s="98">
        <f t="shared" si="299"/>
        <v>0.30728547540082202</v>
      </c>
      <c r="AI479" s="98">
        <f t="shared" si="300"/>
        <v>1.5707963267948966</v>
      </c>
      <c r="AJ479" s="98" t="str">
        <f t="shared" si="286"/>
        <v>1+2.81443767116391i</v>
      </c>
      <c r="AK479" s="98">
        <f t="shared" si="301"/>
        <v>2.9868142568406451</v>
      </c>
      <c r="AL479" s="98">
        <f t="shared" si="302"/>
        <v>1.229398170913143</v>
      </c>
      <c r="AM479" s="98" t="str">
        <f t="shared" si="287"/>
        <v>1+6757.46484846454i</v>
      </c>
      <c r="AN479" s="98">
        <f t="shared" si="303"/>
        <v>6757.4649224567866</v>
      </c>
      <c r="AO479" s="98">
        <f t="shared" si="304"/>
        <v>1.5706483423043924</v>
      </c>
      <c r="AP479" s="168" t="str">
        <f t="shared" si="305"/>
        <v>-0.0281742401384457+0.079331853324393i</v>
      </c>
      <c r="AQ479" s="98">
        <f t="shared" si="306"/>
        <v>-21.495172986381938</v>
      </c>
      <c r="AR479" s="169">
        <f t="shared" si="307"/>
        <v>109.55219457883452</v>
      </c>
      <c r="AS479" s="168" t="str">
        <f t="shared" si="308"/>
        <v>-0.00303052946232379-0.0115465599804807i</v>
      </c>
      <c r="AT479" s="190">
        <f t="shared" si="309"/>
        <v>-38.461633263765734</v>
      </c>
      <c r="AU479" s="169">
        <f t="shared" si="310"/>
        <v>-104.70624952473639</v>
      </c>
      <c r="AV479" s="225"/>
      <c r="AX479">
        <f t="shared" si="311"/>
        <v>0</v>
      </c>
      <c r="AY479">
        <f t="shared" si="312"/>
        <v>0</v>
      </c>
    </row>
    <row r="480" spans="14:51" x14ac:dyDescent="0.2">
      <c r="N480" s="170">
        <v>62</v>
      </c>
      <c r="O480" s="199">
        <f t="shared" si="278"/>
        <v>416869.38347033598</v>
      </c>
      <c r="P480" s="189" t="str">
        <f t="shared" si="279"/>
        <v>1757.57575757576</v>
      </c>
      <c r="Q480" s="160" t="str">
        <f t="shared" si="280"/>
        <v>1+151044.430748485i</v>
      </c>
      <c r="R480" s="160">
        <f t="shared" si="288"/>
        <v>151044.43075179527</v>
      </c>
      <c r="S480" s="160">
        <f t="shared" si="289"/>
        <v>1.5707897062263987</v>
      </c>
      <c r="T480" s="160" t="str">
        <f t="shared" si="281"/>
        <v>1+733.394923865473i</v>
      </c>
      <c r="U480" s="160">
        <f t="shared" si="290"/>
        <v>733.3956056260788</v>
      </c>
      <c r="V480" s="160">
        <f t="shared" si="291"/>
        <v>1.5694328057945064</v>
      </c>
      <c r="W480" s="98" t="str">
        <f t="shared" si="282"/>
        <v>1-0.472013846089013i</v>
      </c>
      <c r="X480" s="160">
        <f t="shared" si="292"/>
        <v>1.1058015513191064</v>
      </c>
      <c r="Y480" s="160">
        <f t="shared" si="293"/>
        <v>-0.44100908470776207</v>
      </c>
      <c r="Z480" s="98" t="str">
        <f t="shared" si="283"/>
        <v>-68.5120331499755-11.0960323131264i</v>
      </c>
      <c r="AA480" s="160">
        <f t="shared" si="294"/>
        <v>69.404759342838204</v>
      </c>
      <c r="AB480" s="160">
        <f t="shared" si="295"/>
        <v>-2.9810294128808974</v>
      </c>
      <c r="AC480" s="171" t="str">
        <f t="shared" si="296"/>
        <v>-0.111993574817571+0.0771014934009471i</v>
      </c>
      <c r="AD480" s="190">
        <f t="shared" si="297"/>
        <v>-17.331288349370066</v>
      </c>
      <c r="AE480" s="169">
        <f t="shared" si="298"/>
        <v>145.45470001378817</v>
      </c>
      <c r="AF480" s="98" t="str">
        <f t="shared" si="284"/>
        <v>-0.0000114342530449913</v>
      </c>
      <c r="AG480" s="98" t="str">
        <f t="shared" si="285"/>
        <v>0.314443073607321i</v>
      </c>
      <c r="AH480" s="98">
        <f t="shared" si="299"/>
        <v>0.31444307360732099</v>
      </c>
      <c r="AI480" s="98">
        <f t="shared" si="300"/>
        <v>1.5707963267948966</v>
      </c>
      <c r="AJ480" s="98" t="str">
        <f t="shared" si="286"/>
        <v>1+2.879994346113i</v>
      </c>
      <c r="AK480" s="98">
        <f t="shared" si="301"/>
        <v>3.048666500889011</v>
      </c>
      <c r="AL480" s="98">
        <f t="shared" si="302"/>
        <v>1.236597674217194</v>
      </c>
      <c r="AM480" s="98" t="str">
        <f t="shared" si="287"/>
        <v>1+6914.86642501731i</v>
      </c>
      <c r="AN480" s="98">
        <f t="shared" si="303"/>
        <v>6914.8664973252862</v>
      </c>
      <c r="AO480" s="98">
        <f t="shared" si="304"/>
        <v>1.5706517108426041</v>
      </c>
      <c r="AP480" s="168" t="str">
        <f t="shared" si="305"/>
        <v>-0.0270426225083657+0.0779189634355961i</v>
      </c>
      <c r="AQ480" s="98">
        <f t="shared" si="306"/>
        <v>-21.673207051617176</v>
      </c>
      <c r="AR480" s="169">
        <f t="shared" si="307"/>
        <v>109.13988642794467</v>
      </c>
      <c r="AS480" s="168" t="str">
        <f t="shared" si="308"/>
        <v>-0.00297906847798427-0.0108114498421051i</v>
      </c>
      <c r="AT480" s="190">
        <f t="shared" si="309"/>
        <v>-39.004495400987217</v>
      </c>
      <c r="AU480" s="169">
        <f t="shared" si="310"/>
        <v>-105.40541355826711</v>
      </c>
      <c r="AV480" s="225"/>
      <c r="AX480">
        <f t="shared" si="311"/>
        <v>0</v>
      </c>
      <c r="AY480">
        <f t="shared" si="312"/>
        <v>0</v>
      </c>
    </row>
    <row r="481" spans="14:51" x14ac:dyDescent="0.2">
      <c r="N481" s="170">
        <v>63</v>
      </c>
      <c r="O481" s="199">
        <f t="shared" si="278"/>
        <v>426579.51880159322</v>
      </c>
      <c r="P481" s="189" t="str">
        <f t="shared" si="279"/>
        <v>1757.57575757576</v>
      </c>
      <c r="Q481" s="160" t="str">
        <f t="shared" si="280"/>
        <v>1+154562.70750796i</v>
      </c>
      <c r="R481" s="160">
        <f t="shared" si="288"/>
        <v>154562.70751119492</v>
      </c>
      <c r="S481" s="160">
        <f t="shared" si="289"/>
        <v>1.5707898569289367</v>
      </c>
      <c r="T481" s="160" t="str">
        <f t="shared" si="281"/>
        <v>1+750.477886165815i</v>
      </c>
      <c r="U481" s="160">
        <f t="shared" si="290"/>
        <v>750.47855240766876</v>
      </c>
      <c r="V481" s="160">
        <f t="shared" si="291"/>
        <v>1.5694638432845942</v>
      </c>
      <c r="W481" s="98" t="str">
        <f t="shared" si="282"/>
        <v>1-0.483008460962373i</v>
      </c>
      <c r="X481" s="160">
        <f t="shared" si="292"/>
        <v>1.1105391363483055</v>
      </c>
      <c r="Y481" s="160">
        <f t="shared" si="293"/>
        <v>-0.44996221202434761</v>
      </c>
      <c r="Z481" s="98" t="str">
        <f t="shared" si="283"/>
        <v>-71.7880343443998-11.3544921081431i</v>
      </c>
      <c r="AA481" s="160">
        <f t="shared" si="294"/>
        <v>72.680440051410031</v>
      </c>
      <c r="AB481" s="160">
        <f t="shared" si="295"/>
        <v>-2.9847252276672838</v>
      </c>
      <c r="AC481" s="171" t="str">
        <f t="shared" si="296"/>
        <v>-0.107016332589298+0.0745023204748645i</v>
      </c>
      <c r="AD481" s="190">
        <f t="shared" si="297"/>
        <v>-17.694721158123361</v>
      </c>
      <c r="AE481" s="169">
        <f t="shared" si="298"/>
        <v>145.15524787679581</v>
      </c>
      <c r="AF481" s="98" t="str">
        <f t="shared" si="284"/>
        <v>-0.0000114342530449913</v>
      </c>
      <c r="AG481" s="98" t="str">
        <f t="shared" si="285"/>
        <v>0.321767393693593i</v>
      </c>
      <c r="AH481" s="98">
        <f t="shared" si="299"/>
        <v>0.32176739369359297</v>
      </c>
      <c r="AI481" s="98">
        <f t="shared" si="300"/>
        <v>1.5707963267948966</v>
      </c>
      <c r="AJ481" s="98" t="str">
        <f t="shared" si="286"/>
        <v>1+2.94707803218562i</v>
      </c>
      <c r="AK481" s="98">
        <f t="shared" si="301"/>
        <v>3.112116470794605</v>
      </c>
      <c r="AL481" s="98">
        <f t="shared" si="302"/>
        <v>1.2436682499080753</v>
      </c>
      <c r="AM481" s="98" t="str">
        <f t="shared" si="287"/>
        <v>1+7075.93435527768i</v>
      </c>
      <c r="AN481" s="98">
        <f t="shared" si="303"/>
        <v>7075.9344259397249</v>
      </c>
      <c r="AO481" s="98">
        <f t="shared" si="304"/>
        <v>1.5706550027035282</v>
      </c>
      <c r="AP481" s="168" t="str">
        <f t="shared" si="305"/>
        <v>-0.0259511709830627+0.0765156616866269i</v>
      </c>
      <c r="AQ481" s="98">
        <f t="shared" si="306"/>
        <v>-21.852125522915713</v>
      </c>
      <c r="AR481" s="169">
        <f t="shared" si="307"/>
        <v>108.73496089186702</v>
      </c>
      <c r="AS481" s="168" t="str">
        <f t="shared" si="308"/>
        <v>-0.00292339520331821-0.0101218479566244i</v>
      </c>
      <c r="AT481" s="190">
        <f t="shared" si="309"/>
        <v>-39.546846681039085</v>
      </c>
      <c r="AU481" s="169">
        <f t="shared" si="310"/>
        <v>-106.10979123133718</v>
      </c>
      <c r="AV481" s="225"/>
      <c r="AX481">
        <f t="shared" si="311"/>
        <v>0</v>
      </c>
      <c r="AY481">
        <f t="shared" si="312"/>
        <v>0</v>
      </c>
    </row>
    <row r="482" spans="14:51" x14ac:dyDescent="0.2">
      <c r="N482" s="170">
        <v>64</v>
      </c>
      <c r="O482" s="199">
        <f t="shared" si="278"/>
        <v>436515.83224016649</v>
      </c>
      <c r="P482" s="189" t="str">
        <f t="shared" si="279"/>
        <v>1757.57575757576</v>
      </c>
      <c r="Q482" s="160" t="str">
        <f t="shared" si="280"/>
        <v>1+158162.935460835i</v>
      </c>
      <c r="R482" s="160">
        <f t="shared" si="288"/>
        <v>158162.93546399628</v>
      </c>
      <c r="S482" s="160">
        <f t="shared" si="289"/>
        <v>1.5707900042010658</v>
      </c>
      <c r="T482" s="160" t="str">
        <f t="shared" si="281"/>
        <v>1+767.958761775151i</v>
      </c>
      <c r="U482" s="160">
        <f t="shared" si="290"/>
        <v>767.9594128515015</v>
      </c>
      <c r="V482" s="160">
        <f t="shared" si="291"/>
        <v>1.5694941742776338</v>
      </c>
      <c r="W482" s="98" t="str">
        <f t="shared" si="282"/>
        <v>1-0.494259173315108i</v>
      </c>
      <c r="X482" s="160">
        <f t="shared" si="292"/>
        <v>1.1154784311702912</v>
      </c>
      <c r="Y482" s="160">
        <f t="shared" si="293"/>
        <v>-0.45904440962365783</v>
      </c>
      <c r="Z482" s="98" t="str">
        <f t="shared" si="283"/>
        <v>-75.21842871853-11.6189722051699i</v>
      </c>
      <c r="AA482" s="160">
        <f t="shared" si="294"/>
        <v>76.110528404348173</v>
      </c>
      <c r="AB482" s="160">
        <f t="shared" si="295"/>
        <v>-2.9883342003825932</v>
      </c>
      <c r="AC482" s="171" t="str">
        <f t="shared" si="296"/>
        <v>-0.102257438573155+0.0720187893452953i</v>
      </c>
      <c r="AD482" s="190">
        <f t="shared" si="297"/>
        <v>-18.056719101396229</v>
      </c>
      <c r="AE482" s="169">
        <f t="shared" si="298"/>
        <v>144.84338459043471</v>
      </c>
      <c r="AF482" s="98" t="str">
        <f t="shared" si="284"/>
        <v>-0.0000114342530449913</v>
      </c>
      <c r="AG482" s="98" t="str">
        <f t="shared" si="285"/>
        <v>0.329262319111096i</v>
      </c>
      <c r="AH482" s="98">
        <f t="shared" si="299"/>
        <v>0.32926231911109599</v>
      </c>
      <c r="AI482" s="98">
        <f t="shared" si="300"/>
        <v>1.5707963267948966</v>
      </c>
      <c r="AJ482" s="98" t="str">
        <f t="shared" si="286"/>
        <v>1+3.0157242980401i</v>
      </c>
      <c r="AK482" s="98">
        <f t="shared" si="301"/>
        <v>3.17719893015679</v>
      </c>
      <c r="AL482" s="98">
        <f t="shared" si="302"/>
        <v>1.2506108181447151</v>
      </c>
      <c r="AM482" s="98" t="str">
        <f t="shared" si="287"/>
        <v>1+7240.75403959427i</v>
      </c>
      <c r="AN482" s="98">
        <f t="shared" si="303"/>
        <v>7240.7541086478514</v>
      </c>
      <c r="AO482" s="98">
        <f t="shared" si="304"/>
        <v>1.5706582196325523</v>
      </c>
      <c r="AP482" s="168" t="str">
        <f t="shared" si="305"/>
        <v>-0.0248988809079811+0.0751228870282074i</v>
      </c>
      <c r="AQ482" s="98">
        <f t="shared" si="306"/>
        <v>-22.031896838211424</v>
      </c>
      <c r="AR482" s="169">
        <f t="shared" si="307"/>
        <v>108.33736534938205</v>
      </c>
      <c r="AS482" s="168" t="str">
        <f t="shared" si="308"/>
        <v>-0.00286416359090671-0.00947506126477047i</v>
      </c>
      <c r="AT482" s="190">
        <f t="shared" si="309"/>
        <v>-40.088615939607656</v>
      </c>
      <c r="AU482" s="169">
        <f t="shared" si="310"/>
        <v>-106.81925006018322</v>
      </c>
      <c r="AV482" s="225"/>
      <c r="AX482">
        <f t="shared" si="311"/>
        <v>0</v>
      </c>
      <c r="AY482">
        <f t="shared" si="312"/>
        <v>0</v>
      </c>
    </row>
    <row r="483" spans="14:51" x14ac:dyDescent="0.2">
      <c r="N483" s="170">
        <v>65</v>
      </c>
      <c r="O483" s="199">
        <f t="shared" si="278"/>
        <v>446683.59215096442</v>
      </c>
      <c r="P483" s="189" t="str">
        <f t="shared" si="279"/>
        <v>1757.57575757576</v>
      </c>
      <c r="Q483" s="160" t="str">
        <f t="shared" si="280"/>
        <v>1+161847.023495626i</v>
      </c>
      <c r="R483" s="160">
        <f t="shared" si="288"/>
        <v>161847.02349871531</v>
      </c>
      <c r="S483" s="160">
        <f t="shared" si="289"/>
        <v>1.5707901481208724</v>
      </c>
      <c r="T483" s="160" t="str">
        <f t="shared" si="281"/>
        <v>1+785.84681928512i</v>
      </c>
      <c r="U483" s="160">
        <f t="shared" si="290"/>
        <v>785.84745554117558</v>
      </c>
      <c r="V483" s="160">
        <f t="shared" si="291"/>
        <v>1.5695238148552957</v>
      </c>
      <c r="W483" s="98" t="str">
        <f t="shared" si="282"/>
        <v>1-0.50577194842383i</v>
      </c>
      <c r="X483" s="160">
        <f t="shared" si="292"/>
        <v>1.1206271743146501</v>
      </c>
      <c r="Y483" s="160">
        <f t="shared" si="293"/>
        <v>-0.46825449878092501</v>
      </c>
      <c r="Z483" s="98" t="str">
        <f t="shared" si="283"/>
        <v>-78.8104925987559-11.8896128350553i</v>
      </c>
      <c r="AA483" s="160">
        <f t="shared" si="294"/>
        <v>79.702300073624414</v>
      </c>
      <c r="AB483" s="160">
        <f t="shared" si="295"/>
        <v>-2.9918584870017852</v>
      </c>
      <c r="AC483" s="171" t="str">
        <f t="shared" si="296"/>
        <v>-0.0977075760702631+0.0696444849399289i</v>
      </c>
      <c r="AD483" s="190">
        <f t="shared" si="297"/>
        <v>-18.417242335880523</v>
      </c>
      <c r="AE483" s="169">
        <f t="shared" si="298"/>
        <v>144.51930213586294</v>
      </c>
      <c r="AF483" s="98" t="str">
        <f t="shared" si="284"/>
        <v>-0.0000114342530449913</v>
      </c>
      <c r="AG483" s="98" t="str">
        <f t="shared" si="285"/>
        <v>0.336931823768495i</v>
      </c>
      <c r="AH483" s="98">
        <f t="shared" si="299"/>
        <v>0.33693182376849501</v>
      </c>
      <c r="AI483" s="98">
        <f t="shared" si="300"/>
        <v>1.5707963267948966</v>
      </c>
      <c r="AJ483" s="98" t="str">
        <f t="shared" si="286"/>
        <v>1+3.08596954083524i</v>
      </c>
      <c r="AK483" s="98">
        <f t="shared" si="301"/>
        <v>3.2439494458087448</v>
      </c>
      <c r="AL483" s="98">
        <f t="shared" si="302"/>
        <v>1.2574263820634553</v>
      </c>
      <c r="AM483" s="98" t="str">
        <f t="shared" si="287"/>
        <v>1+7409.41286754541i</v>
      </c>
      <c r="AN483" s="98">
        <f t="shared" si="303"/>
        <v>7409.4129350271405</v>
      </c>
      <c r="AO483" s="98">
        <f t="shared" si="304"/>
        <v>1.5706613633353346</v>
      </c>
      <c r="AP483" s="168" t="str">
        <f t="shared" si="305"/>
        <v>-0.0238847383607494+0.0737415114717973i</v>
      </c>
      <c r="AQ483" s="98">
        <f t="shared" si="306"/>
        <v>-22.212490238790181</v>
      </c>
      <c r="AR483" s="169">
        <f t="shared" si="307"/>
        <v>107.94704242273808</v>
      </c>
      <c r="AS483" s="168" t="str">
        <f t="shared" si="308"/>
        <v>-0.00280196969484393-0.00886854464272617i</v>
      </c>
      <c r="AT483" s="190">
        <f t="shared" si="309"/>
        <v>-40.629732574670705</v>
      </c>
      <c r="AU483" s="169">
        <f t="shared" si="310"/>
        <v>-107.53365544139898</v>
      </c>
      <c r="AV483" s="225"/>
      <c r="AX483">
        <f t="shared" si="311"/>
        <v>0</v>
      </c>
      <c r="AY483">
        <f t="shared" si="312"/>
        <v>0</v>
      </c>
    </row>
    <row r="484" spans="14:51" x14ac:dyDescent="0.2">
      <c r="N484" s="170">
        <v>66</v>
      </c>
      <c r="O484" s="199">
        <f t="shared" ref="O484:O518" si="313">10^(5+(N484/100))</f>
        <v>457088.18961487547</v>
      </c>
      <c r="P484" s="189" t="str">
        <f t="shared" si="279"/>
        <v>1757.57575757576</v>
      </c>
      <c r="Q484" s="160" t="str">
        <f t="shared" si="280"/>
        <v>1+165616.924964572i</v>
      </c>
      <c r="R484" s="160">
        <f t="shared" si="288"/>
        <v>165616.92496759101</v>
      </c>
      <c r="S484" s="160">
        <f t="shared" si="289"/>
        <v>1.5707902887646639</v>
      </c>
      <c r="T484" s="160" t="str">
        <f t="shared" si="281"/>
        <v>1+804.15154318058i</v>
      </c>
      <c r="U484" s="160">
        <f t="shared" si="290"/>
        <v>804.152164953691</v>
      </c>
      <c r="V484" s="160">
        <f t="shared" si="291"/>
        <v>1.5695527807331981</v>
      </c>
      <c r="W484" s="98" t="str">
        <f t="shared" si="282"/>
        <v>1-0.517552890514287i</v>
      </c>
      <c r="X484" s="160">
        <f t="shared" si="292"/>
        <v>1.1259933367829906</v>
      </c>
      <c r="Y484" s="160">
        <f t="shared" si="293"/>
        <v>-0.47759111184748676</v>
      </c>
      <c r="Z484" s="98" t="str">
        <f t="shared" si="283"/>
        <v>-82.5718452341618-12.1665574950433i</v>
      </c>
      <c r="AA484" s="160">
        <f t="shared" si="294"/>
        <v>83.463373683637812</v>
      </c>
      <c r="AB484" s="160">
        <f t="shared" si="295"/>
        <v>-2.9953001826868282</v>
      </c>
      <c r="AC484" s="171" t="str">
        <f t="shared" si="296"/>
        <v>-0.0933578012209547+0.0673733918794088i</v>
      </c>
      <c r="AD484" s="190">
        <f t="shared" si="297"/>
        <v>-18.776250849354973</v>
      </c>
      <c r="AE484" s="169">
        <f t="shared" si="298"/>
        <v>144.18319981358169</v>
      </c>
      <c r="AF484" s="98" t="str">
        <f t="shared" si="284"/>
        <v>-0.0000114342530449913</v>
      </c>
      <c r="AG484" s="98" t="str">
        <f t="shared" si="285"/>
        <v>0.344779974138674i</v>
      </c>
      <c r="AH484" s="98">
        <f t="shared" si="299"/>
        <v>0.34477997413867401</v>
      </c>
      <c r="AI484" s="98">
        <f t="shared" si="300"/>
        <v>1.5707963267948966</v>
      </c>
      <c r="AJ484" s="98" t="str">
        <f t="shared" si="286"/>
        <v>1+3.15785100552855i</v>
      </c>
      <c r="AK484" s="98">
        <f t="shared" si="301"/>
        <v>3.3124044096573826</v>
      </c>
      <c r="AL484" s="98">
        <f t="shared" si="302"/>
        <v>1.2641160217322966</v>
      </c>
      <c r="AM484" s="98" t="str">
        <f t="shared" si="287"/>
        <v>1+7582.00026427404i</v>
      </c>
      <c r="AN484" s="98">
        <f t="shared" si="303"/>
        <v>7582.0003302196983</v>
      </c>
      <c r="AO484" s="98">
        <f t="shared" si="304"/>
        <v>1.5706644354787074</v>
      </c>
      <c r="AP484" s="168" t="str">
        <f t="shared" si="305"/>
        <v>-0.0229077236329036+0.0723723420214727i</v>
      </c>
      <c r="AQ484" s="98">
        <f t="shared" si="306"/>
        <v>-22.393875775262273</v>
      </c>
      <c r="AR484" s="169">
        <f t="shared" si="307"/>
        <v>107.56393032409943</v>
      </c>
      <c r="AS484" s="168" t="str">
        <f t="shared" si="308"/>
        <v>-0.0027373554508981-0.0082998937617204i</v>
      </c>
      <c r="AT484" s="190">
        <f t="shared" si="309"/>
        <v>-41.170126624617254</v>
      </c>
      <c r="AU484" s="169">
        <f t="shared" si="310"/>
        <v>-108.25286986231883</v>
      </c>
      <c r="AV484" s="225"/>
      <c r="AX484">
        <f t="shared" si="311"/>
        <v>0</v>
      </c>
      <c r="AY484">
        <f t="shared" si="312"/>
        <v>0</v>
      </c>
    </row>
    <row r="485" spans="14:51" x14ac:dyDescent="0.2">
      <c r="N485" s="170">
        <v>67</v>
      </c>
      <c r="O485" s="199">
        <f t="shared" si="313"/>
        <v>467735.14128719864</v>
      </c>
      <c r="P485" s="189" t="str">
        <f t="shared" si="279"/>
        <v>1757.57575757576</v>
      </c>
      <c r="Q485" s="160" t="str">
        <f t="shared" si="280"/>
        <v>1+169474.638719334i</v>
      </c>
      <c r="R485" s="160">
        <f t="shared" si="288"/>
        <v>169474.63872228432</v>
      </c>
      <c r="S485" s="160">
        <f t="shared" si="289"/>
        <v>1.570790426207012</v>
      </c>
      <c r="T485" s="160" t="str">
        <f t="shared" si="281"/>
        <v>1+822.882638868441i</v>
      </c>
      <c r="U485" s="160">
        <f t="shared" si="290"/>
        <v>822.88324648827859</v>
      </c>
      <c r="V485" s="160">
        <f t="shared" si="291"/>
        <v>1.5695810872692384</v>
      </c>
      <c r="W485" s="98" t="str">
        <f t="shared" si="282"/>
        <v>1-0.529608245997918i</v>
      </c>
      <c r="X485" s="160">
        <f t="shared" si="292"/>
        <v>1.1315851246057413</v>
      </c>
      <c r="Y485" s="160">
        <f t="shared" si="293"/>
        <v>-0.48705268716217015</v>
      </c>
      <c r="Z485" s="98" t="str">
        <f t="shared" si="283"/>
        <v>-86.5104649579821-12.4499530248587i</v>
      </c>
      <c r="AA485" s="160">
        <f t="shared" si="294"/>
        <v>87.401726971310097</v>
      </c>
      <c r="AB485" s="160">
        <f t="shared" si="295"/>
        <v>-2.9986613239291131</v>
      </c>
      <c r="AC485" s="171" t="str">
        <f t="shared" si="296"/>
        <v>-0.0891995305121384+0.0651998683549792i</v>
      </c>
      <c r="AD485" s="190">
        <f t="shared" si="297"/>
        <v>-19.133704538033147</v>
      </c>
      <c r="AE485" s="169">
        <f t="shared" si="298"/>
        <v>143.83528465821672</v>
      </c>
      <c r="AF485" s="98" t="str">
        <f t="shared" si="284"/>
        <v>-0.0000114342530449913</v>
      </c>
      <c r="AG485" s="98" t="str">
        <f t="shared" si="285"/>
        <v>0.352810931414845i</v>
      </c>
      <c r="AH485" s="98">
        <f t="shared" si="299"/>
        <v>0.35281093141484499</v>
      </c>
      <c r="AI485" s="98">
        <f t="shared" si="300"/>
        <v>1.5707963267948966</v>
      </c>
      <c r="AJ485" s="98" t="str">
        <f t="shared" si="286"/>
        <v>1+3.23140680462409i</v>
      </c>
      <c r="AK485" s="98">
        <f t="shared" si="301"/>
        <v>3.3826010608658645</v>
      </c>
      <c r="AL485" s="98">
        <f t="shared" si="302"/>
        <v>1.2706808882876421</v>
      </c>
      <c r="AM485" s="98" t="str">
        <f t="shared" si="287"/>
        <v>1+7758.60773790244i</v>
      </c>
      <c r="AN485" s="98">
        <f t="shared" si="303"/>
        <v>7758.6078023469927</v>
      </c>
      <c r="AO485" s="98">
        <f t="shared" si="304"/>
        <v>1.5706674376915621</v>
      </c>
      <c r="AP485" s="168" t="str">
        <f t="shared" si="305"/>
        <v>-0.0219668144568034+0.0710161227217444i</v>
      </c>
      <c r="AQ485" s="98">
        <f t="shared" si="306"/>
        <v>-22.576024310865815</v>
      </c>
      <c r="AR485" s="169">
        <f t="shared" si="307"/>
        <v>107.18796319153741</v>
      </c>
      <c r="AS485" s="168" t="str">
        <f t="shared" si="308"/>
        <v>-0.00267081231614467-0.00776683821633384i</v>
      </c>
      <c r="AT485" s="190">
        <f t="shared" si="309"/>
        <v>-41.709728848898962</v>
      </c>
      <c r="AU485" s="169">
        <f t="shared" si="310"/>
        <v>-108.9767521502459</v>
      </c>
      <c r="AV485" s="225"/>
      <c r="AX485">
        <f t="shared" si="311"/>
        <v>0</v>
      </c>
      <c r="AY485">
        <f t="shared" si="312"/>
        <v>0</v>
      </c>
    </row>
    <row r="486" spans="14:51" x14ac:dyDescent="0.2">
      <c r="N486" s="170">
        <v>68</v>
      </c>
      <c r="O486" s="199">
        <f t="shared" si="313"/>
        <v>478630.09232263872</v>
      </c>
      <c r="P486" s="189" t="str">
        <f t="shared" si="279"/>
        <v>1757.57575757576</v>
      </c>
      <c r="Q486" s="160" t="str">
        <f t="shared" si="280"/>
        <v>1+173422.210170807i</v>
      </c>
      <c r="R486" s="160">
        <f t="shared" si="288"/>
        <v>173422.21017369014</v>
      </c>
      <c r="S486" s="160">
        <f t="shared" si="289"/>
        <v>1.5707905605207901</v>
      </c>
      <c r="T486" s="160" t="str">
        <f t="shared" si="281"/>
        <v>1+842.050037823571i</v>
      </c>
      <c r="U486" s="160">
        <f t="shared" si="290"/>
        <v>842.05063161230237</v>
      </c>
      <c r="V486" s="160">
        <f t="shared" si="291"/>
        <v>1.569608749471735</v>
      </c>
      <c r="W486" s="98" t="str">
        <f t="shared" si="282"/>
        <v>1-0.541944406783771i</v>
      </c>
      <c r="X486" s="160">
        <f t="shared" si="292"/>
        <v>1.137410981151586</v>
      </c>
      <c r="Y486" s="160">
        <f t="shared" si="293"/>
        <v>-0.496637464410559</v>
      </c>
      <c r="Z486" s="98" t="str">
        <f t="shared" si="283"/>
        <v>-90.634706110711-12.7399496845625i</v>
      </c>
      <c r="AA486" s="160">
        <f t="shared" si="294"/>
        <v>91.525713707898163</v>
      </c>
      <c r="AB486" s="160">
        <f t="shared" si="295"/>
        <v>-3.0019438905953768</v>
      </c>
      <c r="AC486" s="171" t="str">
        <f t="shared" si="296"/>
        <v>-0.0852245284445483+0.0631186217417566i</v>
      </c>
      <c r="AD486" s="190">
        <f t="shared" si="297"/>
        <v>-19.48956328896087</v>
      </c>
      <c r="AE486" s="169">
        <f t="shared" si="298"/>
        <v>143.47577182210074</v>
      </c>
      <c r="AF486" s="98" t="str">
        <f t="shared" si="284"/>
        <v>-0.0000114342530449913</v>
      </c>
      <c r="AG486" s="98" t="str">
        <f t="shared" si="285"/>
        <v>0.361028953716856i</v>
      </c>
      <c r="AH486" s="98">
        <f t="shared" si="299"/>
        <v>0.361028953716856</v>
      </c>
      <c r="AI486" s="98">
        <f t="shared" si="300"/>
        <v>1.5707963267948966</v>
      </c>
      <c r="AJ486" s="98" t="str">
        <f t="shared" si="286"/>
        <v>1+3.30667593838018i</v>
      </c>
      <c r="AK486" s="98">
        <f t="shared" si="301"/>
        <v>3.4545775083883186</v>
      </c>
      <c r="AL486" s="98">
        <f t="shared" si="302"/>
        <v>1.2771221982631036</v>
      </c>
      <c r="AM486" s="98" t="str">
        <f t="shared" si="287"/>
        <v>1+7939.32892805081i</v>
      </c>
      <c r="AN486" s="98">
        <f t="shared" si="303"/>
        <v>7939.3289910284238</v>
      </c>
      <c r="AO486" s="98">
        <f t="shared" si="304"/>
        <v>1.5706703715657111</v>
      </c>
      <c r="AP486" s="168" t="str">
        <f t="shared" si="305"/>
        <v>-0.0210609889828268+0.0696735367989823i</v>
      </c>
      <c r="AQ486" s="98">
        <f t="shared" si="306"/>
        <v>-22.758907522302501</v>
      </c>
      <c r="AR486" s="169">
        <f t="shared" si="307"/>
        <v>106.8190714140143</v>
      </c>
      <c r="AS486" s="168" t="str">
        <f t="shared" si="308"/>
        <v>-0.00260278475998808-0.0072672349158715i</v>
      </c>
      <c r="AT486" s="190">
        <f t="shared" si="309"/>
        <v>-42.248470811263374</v>
      </c>
      <c r="AU486" s="169">
        <f t="shared" si="310"/>
        <v>-109.70515676388494</v>
      </c>
      <c r="AV486" s="225"/>
      <c r="AX486">
        <f t="shared" si="311"/>
        <v>0</v>
      </c>
      <c r="AY486">
        <f t="shared" si="312"/>
        <v>0</v>
      </c>
    </row>
    <row r="487" spans="14:51" x14ac:dyDescent="0.2">
      <c r="N487" s="170">
        <v>69</v>
      </c>
      <c r="O487" s="199">
        <f t="shared" si="313"/>
        <v>489778.81936844654</v>
      </c>
      <c r="P487" s="189" t="str">
        <f t="shared" si="279"/>
        <v>1757.57575757576</v>
      </c>
      <c r="Q487" s="160" t="str">
        <f t="shared" si="280"/>
        <v>1+177461.732373628i</v>
      </c>
      <c r="R487" s="160">
        <f t="shared" si="288"/>
        <v>177461.73237644549</v>
      </c>
      <c r="S487" s="160">
        <f t="shared" si="289"/>
        <v>1.5707906917772136</v>
      </c>
      <c r="T487" s="160" t="str">
        <f t="shared" si="281"/>
        <v>1+861.663902854606i</v>
      </c>
      <c r="U487" s="160">
        <f t="shared" si="290"/>
        <v>861.66448312706484</v>
      </c>
      <c r="V487" s="160">
        <f t="shared" si="291"/>
        <v>1.5696357820073845</v>
      </c>
      <c r="W487" s="98" t="str">
        <f t="shared" si="282"/>
        <v>1-0.554567913667584i</v>
      </c>
      <c r="X487" s="160">
        <f t="shared" si="292"/>
        <v>1.1434795891792808</v>
      </c>
      <c r="Y487" s="160">
        <f t="shared" si="293"/>
        <v>-0.50634348048743283</v>
      </c>
      <c r="Z487" s="98" t="str">
        <f t="shared" si="283"/>
        <v>-94.95331676078-13.0367012342222i</v>
      </c>
      <c r="AA487" s="160">
        <f t="shared" si="294"/>
        <v>95.844081418433944</v>
      </c>
      <c r="AB487" s="160">
        <f t="shared" si="295"/>
        <v>-3.0051498078821708</v>
      </c>
      <c r="AC487" s="171" t="str">
        <f t="shared" si="296"/>
        <v>-0.0814248953912229+0.0611246858322581i</v>
      </c>
      <c r="AD487" s="190">
        <f t="shared" si="297"/>
        <v>-19.843787067272942</v>
      </c>
      <c r="AE487" s="169">
        <f t="shared" si="298"/>
        <v>143.1048849247743</v>
      </c>
      <c r="AF487" s="98" t="str">
        <f t="shared" si="284"/>
        <v>-0.0000114342530449913</v>
      </c>
      <c r="AG487" s="98" t="str">
        <f t="shared" si="285"/>
        <v>0.369438398348912i</v>
      </c>
      <c r="AH487" s="98">
        <f t="shared" si="299"/>
        <v>0.36943839834891201</v>
      </c>
      <c r="AI487" s="98">
        <f t="shared" si="300"/>
        <v>1.5707963267948966</v>
      </c>
      <c r="AJ487" s="98" t="str">
        <f t="shared" si="286"/>
        <v>1+3.38369831548783i</v>
      </c>
      <c r="AK487" s="98">
        <f t="shared" si="301"/>
        <v>3.5283727538675924</v>
      </c>
      <c r="AL487" s="98">
        <f t="shared" si="302"/>
        <v>1.2834412281179974</v>
      </c>
      <c r="AM487" s="98" t="str">
        <f t="shared" si="287"/>
        <v>1+8124.25965548627i</v>
      </c>
      <c r="AN487" s="98">
        <f t="shared" si="303"/>
        <v>8124.2597170303379</v>
      </c>
      <c r="AO487" s="98">
        <f t="shared" si="304"/>
        <v>1.5706732386567333</v>
      </c>
      <c r="AP487" s="168" t="str">
        <f t="shared" si="305"/>
        <v>-0.0201892285132797+0.0683452088757642i</v>
      </c>
      <c r="AQ487" s="98">
        <f t="shared" si="306"/>
        <v>-22.942497898301141</v>
      </c>
      <c r="AR487" s="169">
        <f t="shared" si="307"/>
        <v>106.45718194492663</v>
      </c>
      <c r="AS487" s="168" t="str">
        <f t="shared" si="308"/>
        <v>-0.00253367360094785-0.00679906173327027i</v>
      </c>
      <c r="AT487" s="190">
        <f t="shared" si="309"/>
        <v>-42.786284965574083</v>
      </c>
      <c r="AU487" s="169">
        <f t="shared" si="310"/>
        <v>-110.43793313029906</v>
      </c>
      <c r="AV487" s="225"/>
      <c r="AX487">
        <f t="shared" si="311"/>
        <v>0</v>
      </c>
      <c r="AY487">
        <f t="shared" si="312"/>
        <v>0</v>
      </c>
    </row>
    <row r="488" spans="14:51" x14ac:dyDescent="0.2">
      <c r="N488" s="170">
        <v>70</v>
      </c>
      <c r="O488" s="199">
        <f t="shared" si="313"/>
        <v>501187.23362727347</v>
      </c>
      <c r="P488" s="189" t="str">
        <f t="shared" si="279"/>
        <v>1757.57575757576</v>
      </c>
      <c r="Q488" s="160" t="str">
        <f t="shared" si="280"/>
        <v>1+181595.347135936i</v>
      </c>
      <c r="R488" s="160">
        <f t="shared" si="288"/>
        <v>181595.34713868937</v>
      </c>
      <c r="S488" s="160">
        <f t="shared" si="289"/>
        <v>1.570790820045876</v>
      </c>
      <c r="T488" s="160" t="str">
        <f t="shared" si="281"/>
        <v>1+881.734633492404i</v>
      </c>
      <c r="U488" s="160">
        <f t="shared" si="290"/>
        <v>881.73520055625784</v>
      </c>
      <c r="V488" s="160">
        <f t="shared" si="291"/>
        <v>1.5696621992090372</v>
      </c>
      <c r="W488" s="98" t="str">
        <f t="shared" si="282"/>
        <v>1-0.567485459799798i</v>
      </c>
      <c r="X488" s="160">
        <f t="shared" si="292"/>
        <v>1.1497998726231398</v>
      </c>
      <c r="Y488" s="160">
        <f t="shared" si="293"/>
        <v>-0.51616856591778604</v>
      </c>
      <c r="Z488" s="98" t="str">
        <f t="shared" si="283"/>
        <v>-99.475457260384-13.3403650154375i</v>
      </c>
      <c r="AA488" s="160">
        <f t="shared" si="294"/>
        <v>100.36598993637034</v>
      </c>
      <c r="AB488" s="160">
        <f t="shared" si="295"/>
        <v>-3.0082809481836703</v>
      </c>
      <c r="AC488" s="171" t="str">
        <f t="shared" si="296"/>
        <v>-0.0777930556733988+0.0592133995823546i</v>
      </c>
      <c r="AD488" s="190">
        <f t="shared" si="297"/>
        <v>-20.196336008071334</v>
      </c>
      <c r="AE488" s="169">
        <f t="shared" si="298"/>
        <v>142.72285636550711</v>
      </c>
      <c r="AF488" s="98" t="str">
        <f t="shared" si="284"/>
        <v>-0.0000114342530449913</v>
      </c>
      <c r="AG488" s="98" t="str">
        <f t="shared" si="285"/>
        <v>0.378043724109868i</v>
      </c>
      <c r="AH488" s="98">
        <f t="shared" si="299"/>
        <v>0.37804372410986797</v>
      </c>
      <c r="AI488" s="98">
        <f t="shared" si="300"/>
        <v>1.5707963267948966</v>
      </c>
      <c r="AJ488" s="98" t="str">
        <f t="shared" si="286"/>
        <v>1+3.46251477423089i</v>
      </c>
      <c r="AK488" s="98">
        <f t="shared" si="301"/>
        <v>3.6040267149075342</v>
      </c>
      <c r="AL488" s="98">
        <f t="shared" si="302"/>
        <v>1.2896393089713349</v>
      </c>
      <c r="AM488" s="98" t="str">
        <f t="shared" si="287"/>
        <v>1+8313.49797292837i</v>
      </c>
      <c r="AN488" s="98">
        <f t="shared" si="303"/>
        <v>8313.4980330715243</v>
      </c>
      <c r="AO488" s="98">
        <f t="shared" si="304"/>
        <v>1.5706760404847979</v>
      </c>
      <c r="AP488" s="168" t="str">
        <f t="shared" si="305"/>
        <v>-0.01935052000057+0.0670317072390986i</v>
      </c>
      <c r="AQ488" s="98">
        <f t="shared" si="306"/>
        <v>-23.126768736100335</v>
      </c>
      <c r="AR488" s="169">
        <f t="shared" si="307"/>
        <v>106.10221860387266</v>
      </c>
      <c r="AS488" s="168" t="str">
        <f t="shared" si="308"/>
        <v>-0.0024638391857226-0.00636041140605426i</v>
      </c>
      <c r="AT488" s="190">
        <f t="shared" si="309"/>
        <v>-43.323104744171673</v>
      </c>
      <c r="AU488" s="169">
        <f t="shared" si="310"/>
        <v>-111.17492503062023</v>
      </c>
      <c r="AV488" s="225"/>
      <c r="AX488">
        <f t="shared" si="311"/>
        <v>0</v>
      </c>
      <c r="AY488">
        <f t="shared" si="312"/>
        <v>0</v>
      </c>
    </row>
    <row r="489" spans="14:51" x14ac:dyDescent="0.2">
      <c r="N489" s="170">
        <v>71</v>
      </c>
      <c r="O489" s="199">
        <f t="shared" si="313"/>
        <v>512861.38399136515</v>
      </c>
      <c r="P489" s="189" t="str">
        <f t="shared" si="279"/>
        <v>1757.57575757576</v>
      </c>
      <c r="Q489" s="160" t="str">
        <f t="shared" si="280"/>
        <v>1+185825.246154994i</v>
      </c>
      <c r="R489" s="160">
        <f t="shared" si="288"/>
        <v>185825.24615768471</v>
      </c>
      <c r="S489" s="160">
        <f t="shared" si="289"/>
        <v>1.5707909453947873</v>
      </c>
      <c r="T489" s="160" t="str">
        <f t="shared" si="281"/>
        <v>1+902.272871504013i</v>
      </c>
      <c r="U489" s="160">
        <f t="shared" si="290"/>
        <v>902.27342565992546</v>
      </c>
      <c r="V489" s="160">
        <f t="shared" si="291"/>
        <v>1.569688015083295</v>
      </c>
      <c r="W489" s="98" t="str">
        <f t="shared" si="282"/>
        <v>1-0.580703894234353i</v>
      </c>
      <c r="X489" s="160">
        <f t="shared" si="292"/>
        <v>1.1563809981052711</v>
      </c>
      <c r="Y489" s="160">
        <f t="shared" si="293"/>
        <v>-0.52611034189146588</v>
      </c>
      <c r="Z489" s="98" t="str">
        <f t="shared" si="283"/>
        <v>-104.210719675815-13.6511020347645i</v>
      </c>
      <c r="AA489" s="160">
        <f t="shared" si="294"/>
        <v>105.10103083278892</v>
      </c>
      <c r="AB489" s="160">
        <f t="shared" si="295"/>
        <v>-3.0113391328773553</v>
      </c>
      <c r="AC489" s="171" t="str">
        <f t="shared" si="296"/>
        <v>-0.0743217458753998+0.0573803872688837i</v>
      </c>
      <c r="AD489" s="190">
        <f t="shared" si="297"/>
        <v>-20.547170512640513</v>
      </c>
      <c r="AE489" s="169">
        <f t="shared" si="298"/>
        <v>142.32992759594615</v>
      </c>
      <c r="AF489" s="98" t="str">
        <f t="shared" si="284"/>
        <v>-0.0000114342530449913</v>
      </c>
      <c r="AG489" s="98" t="str">
        <f t="shared" si="285"/>
        <v>0.386849493657346i</v>
      </c>
      <c r="AH489" s="98">
        <f t="shared" si="299"/>
        <v>0.386849493657346</v>
      </c>
      <c r="AI489" s="98">
        <f t="shared" si="300"/>
        <v>1.5707963267948966</v>
      </c>
      <c r="AJ489" s="98" t="str">
        <f t="shared" si="286"/>
        <v>1+3.54316710413904i</v>
      </c>
      <c r="AK489" s="98">
        <f t="shared" si="301"/>
        <v>3.681580248731926</v>
      </c>
      <c r="AL489" s="98">
        <f t="shared" si="302"/>
        <v>1.2957178215454137</v>
      </c>
      <c r="AM489" s="98" t="str">
        <f t="shared" si="287"/>
        <v>1+8507.14421703783i</v>
      </c>
      <c r="AN489" s="98">
        <f t="shared" si="303"/>
        <v>8507.1442758119592</v>
      </c>
      <c r="AO489" s="98">
        <f t="shared" si="304"/>
        <v>1.5706787785354712</v>
      </c>
      <c r="AP489" s="168" t="str">
        <f t="shared" si="305"/>
        <v>-0.0185438583181229+0.0657335461451059i</v>
      </c>
      <c r="AQ489" s="98">
        <f t="shared" si="306"/>
        <v>-23.311694136034671</v>
      </c>
      <c r="AR489" s="169">
        <f t="shared" si="307"/>
        <v>105.75410236640847</v>
      </c>
      <c r="AS489" s="168" t="str">
        <f t="shared" si="308"/>
        <v>-0.00239360440889426-0.00594948568383863i</v>
      </c>
      <c r="AT489" s="190">
        <f t="shared" si="309"/>
        <v>-43.858864648675187</v>
      </c>
      <c r="AU489" s="169">
        <f t="shared" si="310"/>
        <v>-111.91597003764532</v>
      </c>
      <c r="AV489" s="225"/>
      <c r="AX489">
        <f t="shared" si="311"/>
        <v>0</v>
      </c>
      <c r="AY489">
        <f t="shared" si="312"/>
        <v>0</v>
      </c>
    </row>
    <row r="490" spans="14:51" x14ac:dyDescent="0.2">
      <c r="N490" s="170">
        <v>72</v>
      </c>
      <c r="O490" s="199">
        <f t="shared" si="313"/>
        <v>524807.46024977288</v>
      </c>
      <c r="P490" s="189" t="str">
        <f t="shared" si="279"/>
        <v>1757.57575757576</v>
      </c>
      <c r="Q490" s="160" t="str">
        <f t="shared" si="280"/>
        <v>1+190153.672179251i</v>
      </c>
      <c r="R490" s="160">
        <f t="shared" si="288"/>
        <v>190153.67218188045</v>
      </c>
      <c r="S490" s="160">
        <f t="shared" si="289"/>
        <v>1.5707910678904089</v>
      </c>
      <c r="T490" s="160" t="str">
        <f t="shared" si="281"/>
        <v>1+923.289506535091i</v>
      </c>
      <c r="U490" s="160">
        <f t="shared" si="290"/>
        <v>923.2900480768825</v>
      </c>
      <c r="V490" s="160">
        <f t="shared" si="291"/>
        <v>1.5697132433179388</v>
      </c>
      <c r="W490" s="98" t="str">
        <f t="shared" si="282"/>
        <v>1-0.594230225560159i</v>
      </c>
      <c r="X490" s="160">
        <f t="shared" si="292"/>
        <v>1.1632323761696446</v>
      </c>
      <c r="Y490" s="160">
        <f t="shared" si="293"/>
        <v>-0.53616621796544617</v>
      </c>
      <c r="Z490" s="98" t="str">
        <f t="shared" si="283"/>
        <v>-109.169148133527-13.9690770490841i</v>
      </c>
      <c r="AA490" s="160">
        <f t="shared" si="294"/>
        <v>110.05924776139082</v>
      </c>
      <c r="AB490" s="160">
        <f t="shared" si="295"/>
        <v>-3.0143261340318412</v>
      </c>
      <c r="AC490" s="171" t="str">
        <f t="shared" si="296"/>
        <v>-0.071004003416081+0.0556215399647995i</v>
      </c>
      <c r="AD490" s="190">
        <f t="shared" si="297"/>
        <v>-20.89625134866473</v>
      </c>
      <c r="AE490" s="169">
        <f t="shared" si="298"/>
        <v>141.92634935004077</v>
      </c>
      <c r="AF490" s="98" t="str">
        <f t="shared" si="284"/>
        <v>-0.0000114342530449913</v>
      </c>
      <c r="AG490" s="98" t="str">
        <f t="shared" si="285"/>
        <v>0.39586037592692i</v>
      </c>
      <c r="AH490" s="98">
        <f t="shared" si="299"/>
        <v>0.39586037592692003</v>
      </c>
      <c r="AI490" s="98">
        <f t="shared" si="300"/>
        <v>1.5707963267948966</v>
      </c>
      <c r="AJ490" s="98" t="str">
        <f t="shared" si="286"/>
        <v>1+3.62569806814518i</v>
      </c>
      <c r="AK490" s="98">
        <f t="shared" si="301"/>
        <v>3.7610751762430503</v>
      </c>
      <c r="AL490" s="98">
        <f t="shared" si="302"/>
        <v>1.3016781913216262</v>
      </c>
      <c r="AM490" s="98" t="str">
        <f t="shared" si="287"/>
        <v>1+8705.30106161657i</v>
      </c>
      <c r="AN490" s="98">
        <f t="shared" si="303"/>
        <v>8705.3011190528377</v>
      </c>
      <c r="AO490" s="98">
        <f t="shared" si="304"/>
        <v>1.5706814542605037</v>
      </c>
      <c r="AP490" s="168" t="str">
        <f t="shared" si="305"/>
        <v>-0.0177682483132506+0.0644511881443461i</v>
      </c>
      <c r="AQ490" s="98">
        <f t="shared" si="306"/>
        <v>-23.497248994400415</v>
      </c>
      <c r="AR490" s="169">
        <f t="shared" si="307"/>
        <v>105.41275164164556</v>
      </c>
      <c r="AS490" s="168" t="str">
        <f t="shared" si="308"/>
        <v>-0.00232325757321774-0.00556458971683158i</v>
      </c>
      <c r="AT490" s="190">
        <f t="shared" si="309"/>
        <v>-44.393500343065142</v>
      </c>
      <c r="AU490" s="169">
        <f t="shared" si="310"/>
        <v>-112.66089900831369</v>
      </c>
      <c r="AV490" s="225"/>
      <c r="AX490">
        <f t="shared" si="311"/>
        <v>0</v>
      </c>
      <c r="AY490">
        <f t="shared" si="312"/>
        <v>0</v>
      </c>
    </row>
    <row r="491" spans="14:51" x14ac:dyDescent="0.2">
      <c r="N491" s="170">
        <v>73</v>
      </c>
      <c r="O491" s="199">
        <f t="shared" si="313"/>
        <v>537031.7963702539</v>
      </c>
      <c r="P491" s="189" t="str">
        <f t="shared" si="279"/>
        <v>1757.57575757576</v>
      </c>
      <c r="Q491" s="160" t="str">
        <f t="shared" si="280"/>
        <v>1+194582.92019748i</v>
      </c>
      <c r="R491" s="160">
        <f t="shared" si="288"/>
        <v>194582.92020004962</v>
      </c>
      <c r="S491" s="160">
        <f t="shared" si="289"/>
        <v>1.5707911875976897</v>
      </c>
      <c r="T491" s="160" t="str">
        <f t="shared" si="281"/>
        <v>1+944.795681883715i</v>
      </c>
      <c r="U491" s="160">
        <f t="shared" si="290"/>
        <v>944.79621109851723</v>
      </c>
      <c r="V491" s="160">
        <f t="shared" si="291"/>
        <v>1.569737897289184</v>
      </c>
      <c r="W491" s="98" t="str">
        <f t="shared" si="282"/>
        <v>1-0.608071625617123i</v>
      </c>
      <c r="X491" s="160">
        <f t="shared" si="292"/>
        <v>1.1703636622352263</v>
      </c>
      <c r="Y491" s="160">
        <f t="shared" si="293"/>
        <v>-0.54633339048600627</v>
      </c>
      <c r="Z491" s="98" t="str">
        <f t="shared" si="283"/>
        <v>-114.361260125065-14.2944586529577i</v>
      </c>
      <c r="AA491" s="160">
        <f t="shared" si="294"/>
        <v>115.25115776240125</v>
      </c>
      <c r="AB491" s="160">
        <f t="shared" si="295"/>
        <v>-3.0172436760409096</v>
      </c>
      <c r="AC491" s="171" t="str">
        <f t="shared" si="296"/>
        <v>-0.0678331553908364+0.0539329982439418i</v>
      </c>
      <c r="AD491" s="190">
        <f t="shared" si="297"/>
        <v>-21.243539754061924</v>
      </c>
      <c r="AE491" s="169">
        <f t="shared" si="298"/>
        <v>141.51238182848144</v>
      </c>
      <c r="AF491" s="98" t="str">
        <f t="shared" si="284"/>
        <v>-0.0000114342530449913</v>
      </c>
      <c r="AG491" s="98" t="str">
        <f t="shared" si="285"/>
        <v>0.405081148607643i</v>
      </c>
      <c r="AH491" s="98">
        <f t="shared" si="299"/>
        <v>0.40508114860764299</v>
      </c>
      <c r="AI491" s="98">
        <f t="shared" si="300"/>
        <v>1.5707963267948966</v>
      </c>
      <c r="AJ491" s="98" t="str">
        <f t="shared" si="286"/>
        <v>1+3.71015142525883i</v>
      </c>
      <c r="AK491" s="98">
        <f t="shared" si="301"/>
        <v>3.8425543064932901</v>
      </c>
      <c r="AL491" s="98">
        <f t="shared" si="302"/>
        <v>1.3075218839096994</v>
      </c>
      <c r="AM491" s="98" t="str">
        <f t="shared" si="287"/>
        <v>1+8908.07357204645i</v>
      </c>
      <c r="AN491" s="98">
        <f t="shared" si="303"/>
        <v>8908.0736281753088</v>
      </c>
      <c r="AO491" s="98">
        <f t="shared" si="304"/>
        <v>1.5706840690786001</v>
      </c>
      <c r="AP491" s="168" t="str">
        <f t="shared" si="305"/>
        <v>-0.0170227066517391+0.0631850464135097i</v>
      </c>
      <c r="AQ491" s="98">
        <f t="shared" si="306"/>
        <v>-23.683408994771995</v>
      </c>
      <c r="AR491" s="169">
        <f t="shared" si="307"/>
        <v>105.07808253761827</v>
      </c>
      <c r="AS491" s="168" t="str">
        <f t="shared" si="308"/>
        <v>-0.00225305509178316-0.00520412667970019i</v>
      </c>
      <c r="AT491" s="190">
        <f t="shared" si="309"/>
        <v>-44.926948748833922</v>
      </c>
      <c r="AU491" s="169">
        <f t="shared" si="310"/>
        <v>-113.40953563390033</v>
      </c>
      <c r="AV491" s="225"/>
      <c r="AX491">
        <f t="shared" si="311"/>
        <v>0</v>
      </c>
      <c r="AY491">
        <f t="shared" si="312"/>
        <v>0</v>
      </c>
    </row>
    <row r="492" spans="14:51" x14ac:dyDescent="0.2">
      <c r="N492" s="170">
        <v>74</v>
      </c>
      <c r="O492" s="199">
        <f t="shared" si="313"/>
        <v>549540.87385762564</v>
      </c>
      <c r="P492" s="189" t="str">
        <f t="shared" si="279"/>
        <v>1757.57575757576</v>
      </c>
      <c r="Q492" s="160" t="str">
        <f t="shared" si="280"/>
        <v>1+199115.338655606i</v>
      </c>
      <c r="R492" s="160">
        <f t="shared" si="288"/>
        <v>199115.33865811708</v>
      </c>
      <c r="S492" s="160">
        <f t="shared" si="289"/>
        <v>1.5707913045801003</v>
      </c>
      <c r="T492" s="160" t="str">
        <f t="shared" si="281"/>
        <v>1+966.802800408721i</v>
      </c>
      <c r="U492" s="160">
        <f t="shared" si="290"/>
        <v>966.80331757713031</v>
      </c>
      <c r="V492" s="160">
        <f t="shared" si="291"/>
        <v>1.5697619900687725</v>
      </c>
      <c r="W492" s="98" t="str">
        <f t="shared" si="282"/>
        <v>1-0.622235433298767i</v>
      </c>
      <c r="X492" s="160">
        <f t="shared" si="292"/>
        <v>1.1777847572678568</v>
      </c>
      <c r="Y492" s="160">
        <f t="shared" si="293"/>
        <v>-0.55660884178077097</v>
      </c>
      <c r="Z492" s="98" t="str">
        <f t="shared" si="283"/>
        <v>-119.798068816081-14.6274193680185i</v>
      </c>
      <c r="AA492" s="160">
        <f t="shared" si="294"/>
        <v>120.68777357060806</v>
      </c>
      <c r="AB492" s="160">
        <f t="shared" si="295"/>
        <v>-3.0200934371875894</v>
      </c>
      <c r="AC492" s="171" t="str">
        <f t="shared" si="296"/>
        <v>-0.0648028076950559+0.0523111360333177i</v>
      </c>
      <c r="AD492" s="190">
        <f t="shared" si="297"/>
        <v>-21.588997543999508</v>
      </c>
      <c r="AE492" s="169">
        <f t="shared" si="298"/>
        <v>141.08829483501316</v>
      </c>
      <c r="AF492" s="98" t="str">
        <f t="shared" si="284"/>
        <v>-0.0000114342530449913</v>
      </c>
      <c r="AG492" s="98" t="str">
        <f t="shared" si="285"/>
        <v>0.41451670067524i</v>
      </c>
      <c r="AH492" s="98">
        <f t="shared" si="299"/>
        <v>0.41451670067523999</v>
      </c>
      <c r="AI492" s="98">
        <f t="shared" si="300"/>
        <v>1.5707963267948966</v>
      </c>
      <c r="AJ492" s="98" t="str">
        <f t="shared" si="286"/>
        <v>1+3.79657195376781i</v>
      </c>
      <c r="AK492" s="98">
        <f t="shared" si="301"/>
        <v>3.9260614615841574</v>
      </c>
      <c r="AL492" s="98">
        <f t="shared" si="302"/>
        <v>1.3132504006303691</v>
      </c>
      <c r="AM492" s="98" t="str">
        <f t="shared" si="287"/>
        <v>1+9115.56926099651i</v>
      </c>
      <c r="AN492" s="98">
        <f t="shared" si="303"/>
        <v>9115.5693158477206</v>
      </c>
      <c r="AO492" s="98">
        <f t="shared" si="304"/>
        <v>1.5706866243761715</v>
      </c>
      <c r="AP492" s="168" t="str">
        <f t="shared" si="305"/>
        <v>-0.0163062634643269+0.0619354870807017i</v>
      </c>
      <c r="AQ492" s="98">
        <f t="shared" si="306"/>
        <v>-23.870150597929861</v>
      </c>
      <c r="AR492" s="169">
        <f t="shared" si="307"/>
        <v>104.75000911442002</v>
      </c>
      <c r="AS492" s="168" t="str">
        <f t="shared" si="308"/>
        <v>-0.00218322403446469-0.00486659262506785i</v>
      </c>
      <c r="AT492" s="190">
        <f t="shared" si="309"/>
        <v>-45.459148141929369</v>
      </c>
      <c r="AU492" s="169">
        <f t="shared" si="310"/>
        <v>-114.16169605056689</v>
      </c>
      <c r="AV492" s="225"/>
      <c r="AX492">
        <f t="shared" si="311"/>
        <v>0</v>
      </c>
      <c r="AY492">
        <f t="shared" si="312"/>
        <v>0</v>
      </c>
    </row>
    <row r="493" spans="14:51" x14ac:dyDescent="0.2">
      <c r="N493" s="170">
        <v>75</v>
      </c>
      <c r="O493" s="199">
        <f t="shared" si="313"/>
        <v>562341.32519035018</v>
      </c>
      <c r="P493" s="189" t="str">
        <f t="shared" si="279"/>
        <v>1757.57575757576</v>
      </c>
      <c r="Q493" s="160" t="str">
        <f t="shared" si="280"/>
        <v>1+203753.330701891i</v>
      </c>
      <c r="R493" s="160">
        <f t="shared" si="288"/>
        <v>203753.33070434496</v>
      </c>
      <c r="S493" s="160">
        <f t="shared" si="289"/>
        <v>1.5707914188996659</v>
      </c>
      <c r="T493" s="160" t="str">
        <f t="shared" si="281"/>
        <v>1+989.322530575655i</v>
      </c>
      <c r="U493" s="160">
        <f t="shared" si="290"/>
        <v>989.32303597188002</v>
      </c>
      <c r="V493" s="160">
        <f t="shared" si="291"/>
        <v>1.5697855344309029</v>
      </c>
      <c r="W493" s="98" t="str">
        <f t="shared" si="282"/>
        <v>1-0.636729158443409i</v>
      </c>
      <c r="X493" s="160">
        <f t="shared" si="292"/>
        <v>1.1855058081730565</v>
      </c>
      <c r="Y493" s="160">
        <f t="shared" si="293"/>
        <v>-0.56698934016733615</v>
      </c>
      <c r="Z493" s="98" t="str">
        <f t="shared" si="283"/>
        <v>-125.491106406736-14.9681357344452i</v>
      </c>
      <c r="AA493" s="160">
        <f t="shared" si="294"/>
        <v>126.38062697483153</v>
      </c>
      <c r="AB493" s="160">
        <f t="shared" si="295"/>
        <v>-3.022877051141891</v>
      </c>
      <c r="AC493" s="171" t="str">
        <f t="shared" si="296"/>
        <v>-0.061906834437206+0.0507525455362529i</v>
      </c>
      <c r="AD493" s="190">
        <f t="shared" si="297"/>
        <v>-21.932587220604521</v>
      </c>
      <c r="AE493" s="169">
        <f t="shared" si="298"/>
        <v>140.65436786214872</v>
      </c>
      <c r="AF493" s="98" t="str">
        <f t="shared" si="284"/>
        <v>-0.0000114342530449913</v>
      </c>
      <c r="AG493" s="98" t="str">
        <f t="shared" si="285"/>
        <v>0.424172034984312i</v>
      </c>
      <c r="AH493" s="98">
        <f t="shared" si="299"/>
        <v>0.424172034984312</v>
      </c>
      <c r="AI493" s="98">
        <f t="shared" si="300"/>
        <v>1.5707963267948966</v>
      </c>
      <c r="AJ493" s="98" t="str">
        <f t="shared" si="286"/>
        <v>1+3.88500547498026i</v>
      </c>
      <c r="AK493" s="98">
        <f t="shared" si="301"/>
        <v>4.0116415020072012</v>
      </c>
      <c r="AL493" s="98">
        <f t="shared" si="302"/>
        <v>1.3188652743103528</v>
      </c>
      <c r="AM493" s="98" t="str">
        <f t="shared" si="287"/>
        <v>1+9327.8981454276i</v>
      </c>
      <c r="AN493" s="98">
        <f t="shared" si="303"/>
        <v>9327.8981990302436</v>
      </c>
      <c r="AO493" s="98">
        <f t="shared" si="304"/>
        <v>1.5706891215080701</v>
      </c>
      <c r="AP493" s="168" t="str">
        <f t="shared" si="305"/>
        <v>-0.0156179638055196+0.0607028315329585i</v>
      </c>
      <c r="AQ493" s="98">
        <f t="shared" si="306"/>
        <v>-24.0574510305537</v>
      </c>
      <c r="AR493" s="169">
        <f t="shared" si="307"/>
        <v>104.4284436251765</v>
      </c>
      <c r="AS493" s="168" t="str">
        <f t="shared" si="308"/>
        <v>-0.00211396452200139-0.00455057156080365i</v>
      </c>
      <c r="AT493" s="190">
        <f t="shared" si="309"/>
        <v>-45.990038251158225</v>
      </c>
      <c r="AU493" s="169">
        <f t="shared" si="310"/>
        <v>-114.91718851267481</v>
      </c>
      <c r="AV493" s="225"/>
      <c r="AX493">
        <f t="shared" si="311"/>
        <v>0</v>
      </c>
      <c r="AY493">
        <f t="shared" si="312"/>
        <v>0</v>
      </c>
    </row>
    <row r="494" spans="14:51" x14ac:dyDescent="0.2">
      <c r="N494" s="170">
        <v>76</v>
      </c>
      <c r="O494" s="199">
        <f t="shared" si="313"/>
        <v>575439.93733715697</v>
      </c>
      <c r="P494" s="189" t="str">
        <f t="shared" si="279"/>
        <v>1757.57575757576</v>
      </c>
      <c r="Q494" s="160" t="str">
        <f t="shared" si="280"/>
        <v>1+208499.355461108i</v>
      </c>
      <c r="R494" s="160">
        <f t="shared" si="288"/>
        <v>208499.3554635061</v>
      </c>
      <c r="S494" s="160">
        <f t="shared" si="289"/>
        <v>1.5707915306170006</v>
      </c>
      <c r="T494" s="160" t="str">
        <f t="shared" si="281"/>
        <v>1+1012.36681264353i</v>
      </c>
      <c r="U494" s="160">
        <f t="shared" si="290"/>
        <v>1012.3673065355381</v>
      </c>
      <c r="V494" s="160">
        <f t="shared" si="291"/>
        <v>1.5698085428590032</v>
      </c>
      <c r="W494" s="98" t="str">
        <f t="shared" si="282"/>
        <v>1-0.651560485815961i</v>
      </c>
      <c r="X494" s="160">
        <f t="shared" si="292"/>
        <v>1.1935372079146638</v>
      </c>
      <c r="Y494" s="160">
        <f t="shared" si="293"/>
        <v>-0.57747144082134527</v>
      </c>
      <c r="Z494" s="98" t="str">
        <f t="shared" si="283"/>
        <v>-131.452448593037-15.3167884045649i</v>
      </c>
      <c r="AA494" s="160">
        <f t="shared" si="294"/>
        <v>132.34179327837163</v>
      </c>
      <c r="AB494" s="160">
        <f t="shared" si="295"/>
        <v>-3.025596108395626</v>
      </c>
      <c r="AC494" s="171" t="str">
        <f t="shared" si="296"/>
        <v>-0.0591393676473369+0.0492540231548537i</v>
      </c>
      <c r="AD494" s="190">
        <f t="shared" si="297"/>
        <v>-22.274272084831459</v>
      </c>
      <c r="AE494" s="169">
        <f t="shared" si="298"/>
        <v>140.21089012402777</v>
      </c>
      <c r="AF494" s="98" t="str">
        <f t="shared" si="284"/>
        <v>-0.0000114342530449913</v>
      </c>
      <c r="AG494" s="98" t="str">
        <f t="shared" si="285"/>
        <v>0.434052270920912i</v>
      </c>
      <c r="AH494" s="98">
        <f t="shared" si="299"/>
        <v>0.43405227092091198</v>
      </c>
      <c r="AI494" s="98">
        <f t="shared" si="300"/>
        <v>1.5707963267948966</v>
      </c>
      <c r="AJ494" s="98" t="str">
        <f t="shared" si="286"/>
        <v>1+3.97549887751965i</v>
      </c>
      <c r="AK494" s="98">
        <f t="shared" si="301"/>
        <v>4.0993403524420851</v>
      </c>
      <c r="AL494" s="98">
        <f t="shared" si="302"/>
        <v>1.3243680652875309</v>
      </c>
      <c r="AM494" s="98" t="str">
        <f t="shared" si="287"/>
        <v>1+9545.17280492468i</v>
      </c>
      <c r="AN494" s="98">
        <f t="shared" si="303"/>
        <v>9545.1728573071759</v>
      </c>
      <c r="AO494" s="98">
        <f t="shared" si="304"/>
        <v>1.5706915617983084</v>
      </c>
      <c r="AP494" s="168" t="str">
        <f t="shared" si="305"/>
        <v>-0.014956868935321+0.0594873586959976i</v>
      </c>
      <c r="AQ494" s="98">
        <f t="shared" si="306"/>
        <v>-24.245288272825796</v>
      </c>
      <c r="AR494" s="169">
        <f t="shared" si="307"/>
        <v>104.11329674497298</v>
      </c>
      <c r="AS494" s="168" t="str">
        <f t="shared" si="308"/>
        <v>-0.00204545197181477-0.00425473074515602i</v>
      </c>
      <c r="AT494" s="190">
        <f t="shared" si="309"/>
        <v>-46.519560357657255</v>
      </c>
      <c r="AU494" s="169">
        <f t="shared" si="310"/>
        <v>-115.67581313099917</v>
      </c>
      <c r="AV494" s="225"/>
      <c r="AX494">
        <f t="shared" si="311"/>
        <v>0</v>
      </c>
      <c r="AY494">
        <f t="shared" si="312"/>
        <v>0</v>
      </c>
    </row>
    <row r="495" spans="14:51" x14ac:dyDescent="0.2">
      <c r="N495" s="170">
        <v>77</v>
      </c>
      <c r="O495" s="199">
        <f t="shared" si="313"/>
        <v>588843.65535558888</v>
      </c>
      <c r="P495" s="189" t="str">
        <f t="shared" si="279"/>
        <v>1757.57575757576</v>
      </c>
      <c r="Q495" s="160" t="str">
        <f t="shared" si="280"/>
        <v>1+213355.929338406i</v>
      </c>
      <c r="R495" s="160">
        <f t="shared" si="288"/>
        <v>213355.92934074946</v>
      </c>
      <c r="S495" s="160">
        <f t="shared" si="289"/>
        <v>1.5707916397913384</v>
      </c>
      <c r="T495" s="160" t="str">
        <f t="shared" si="281"/>
        <v>1+1035.94786499573i</v>
      </c>
      <c r="U495" s="160">
        <f t="shared" si="290"/>
        <v>1035.9483476453888</v>
      </c>
      <c r="V495" s="160">
        <f t="shared" si="291"/>
        <v>1.569831027552349</v>
      </c>
      <c r="W495" s="98" t="str">
        <f t="shared" si="282"/>
        <v>1-0.666737279182516i</v>
      </c>
      <c r="X495" s="160">
        <f t="shared" si="292"/>
        <v>1.2018895953671054</v>
      </c>
      <c r="Y495" s="160">
        <f t="shared" si="293"/>
        <v>-0.58805148754227576</v>
      </c>
      <c r="Z495" s="98" t="str">
        <f t="shared" si="283"/>
        <v>-137.694740181013-15.6735622386383i</v>
      </c>
      <c r="AA495" s="160">
        <f t="shared" si="294"/>
        <v>138.58391691233561</v>
      </c>
      <c r="AB495" s="160">
        <f t="shared" si="295"/>
        <v>-3.0282521576375423</v>
      </c>
      <c r="AC495" s="171" t="str">
        <f t="shared" si="296"/>
        <v>-0.0564947872847148+0.0478125563449836i</v>
      </c>
      <c r="AD495" s="190">
        <f t="shared" si="297"/>
        <v>-22.614016349906084</v>
      </c>
      <c r="AE495" s="169">
        <f t="shared" si="298"/>
        <v>139.75816053441147</v>
      </c>
      <c r="AF495" s="98" t="str">
        <f t="shared" si="284"/>
        <v>-0.0000114342530449913</v>
      </c>
      <c r="AG495" s="98" t="str">
        <f t="shared" si="285"/>
        <v>0.444162647116917i</v>
      </c>
      <c r="AH495" s="98">
        <f t="shared" si="299"/>
        <v>0.444162647116917</v>
      </c>
      <c r="AI495" s="98">
        <f t="shared" si="300"/>
        <v>1.5707963267948966</v>
      </c>
      <c r="AJ495" s="98" t="str">
        <f t="shared" si="286"/>
        <v>1+4.06810014218587i</v>
      </c>
      <c r="AK495" s="98">
        <f t="shared" si="301"/>
        <v>4.1892050280277155</v>
      </c>
      <c r="AL495" s="98">
        <f t="shared" si="302"/>
        <v>1.3297603576233958</v>
      </c>
      <c r="AM495" s="98" t="str">
        <f t="shared" si="287"/>
        <v>1+9767.50844138826i</v>
      </c>
      <c r="AN495" s="98">
        <f t="shared" si="303"/>
        <v>9767.5084925783867</v>
      </c>
      <c r="AO495" s="98">
        <f t="shared" si="304"/>
        <v>1.5706939465407606</v>
      </c>
      <c r="AP495" s="168" t="str">
        <f t="shared" si="305"/>
        <v>-0.0143220574344969+0.058289307277465i</v>
      </c>
      <c r="AQ495" s="98">
        <f t="shared" si="306"/>
        <v>-24.433641045081835</v>
      </c>
      <c r="AR495" s="169">
        <f t="shared" si="307"/>
        <v>103.80447778790494</v>
      </c>
      <c r="AS495" s="168" t="str">
        <f t="shared" si="308"/>
        <v>-0.00197783920027249-0.00397781619367674i</v>
      </c>
      <c r="AT495" s="190">
        <f t="shared" si="309"/>
        <v>-47.047657394987908</v>
      </c>
      <c r="AU495" s="169">
        <f t="shared" si="310"/>
        <v>-116.4373616776836</v>
      </c>
      <c r="AV495" s="225"/>
      <c r="AX495">
        <f t="shared" si="311"/>
        <v>0</v>
      </c>
      <c r="AY495">
        <f t="shared" si="312"/>
        <v>0</v>
      </c>
    </row>
    <row r="496" spans="14:51" x14ac:dyDescent="0.2">
      <c r="N496" s="170">
        <v>78</v>
      </c>
      <c r="O496" s="199">
        <f t="shared" si="313"/>
        <v>602559.58607435878</v>
      </c>
      <c r="P496" s="189" t="str">
        <f t="shared" si="279"/>
        <v>1757.57575757576</v>
      </c>
      <c r="Q496" s="160" t="str">
        <f t="shared" si="280"/>
        <v>1+218325.627353538i</v>
      </c>
      <c r="R496" s="160">
        <f t="shared" si="288"/>
        <v>218325.62735582815</v>
      </c>
      <c r="S496" s="160">
        <f t="shared" si="289"/>
        <v>1.5707917464805647</v>
      </c>
      <c r="T496" s="160" t="str">
        <f t="shared" si="281"/>
        <v>1+1060.07819061833i</v>
      </c>
      <c r="U496" s="160">
        <f t="shared" si="290"/>
        <v>1060.078662281546</v>
      </c>
      <c r="V496" s="160">
        <f t="shared" si="291"/>
        <v>1.5698530004325317</v>
      </c>
      <c r="W496" s="98" t="str">
        <f t="shared" si="282"/>
        <v>1-0.682267585479805i</v>
      </c>
      <c r="X496" s="160">
        <f t="shared" si="292"/>
        <v>1.2105738549119764</v>
      </c>
      <c r="Y496" s="160">
        <f t="shared" si="293"/>
        <v>-0.59872561544969694</v>
      </c>
      <c r="Z496" s="98" t="str">
        <f t="shared" si="283"/>
        <v>-144.231221908041-16.0386464028748i</v>
      </c>
      <c r="AA496" s="160">
        <f t="shared" si="294"/>
        <v>145.12023825615438</v>
      </c>
      <c r="AB496" s="160">
        <f t="shared" si="295"/>
        <v>-3.0308467070718268</v>
      </c>
      <c r="AC496" s="171" t="str">
        <f t="shared" si="296"/>
        <v>-0.0539677115465116+0.0464253113414216i</v>
      </c>
      <c r="AD496" s="190">
        <f t="shared" si="297"/>
        <v>-22.951785255716072</v>
      </c>
      <c r="AE496" s="169">
        <f t="shared" si="298"/>
        <v>139.29648762811181</v>
      </c>
      <c r="AF496" s="98" t="str">
        <f t="shared" si="284"/>
        <v>-0.0000114342530449913</v>
      </c>
      <c r="AG496" s="98" t="str">
        <f t="shared" si="285"/>
        <v>0.454508524227611i</v>
      </c>
      <c r="AH496" s="98">
        <f t="shared" si="299"/>
        <v>0.45450852422761101</v>
      </c>
      <c r="AI496" s="98">
        <f t="shared" si="300"/>
        <v>1.5707963267948966</v>
      </c>
      <c r="AJ496" s="98" t="str">
        <f t="shared" si="286"/>
        <v>1+4.16285836739513i</v>
      </c>
      <c r="AK496" s="98">
        <f t="shared" si="301"/>
        <v>4.2812836611221696</v>
      </c>
      <c r="AL496" s="98">
        <f t="shared" si="302"/>
        <v>1.3350437555190411</v>
      </c>
      <c r="AM496" s="98" t="str">
        <f t="shared" si="287"/>
        <v>1+9995.02294011571i</v>
      </c>
      <c r="AN496" s="98">
        <f t="shared" si="303"/>
        <v>9995.0229901406074</v>
      </c>
      <c r="AO496" s="98">
        <f t="shared" si="304"/>
        <v>1.570696276999848</v>
      </c>
      <c r="AP496" s="168" t="str">
        <f t="shared" si="305"/>
        <v>-0.0137126261639342+0.0571088779661497i</v>
      </c>
      <c r="AQ496" s="98">
        <f t="shared" si="306"/>
        <v>-24.622488793636315</v>
      </c>
      <c r="AR496" s="169">
        <f t="shared" si="307"/>
        <v>103.5018949124662</v>
      </c>
      <c r="AS496" s="168" t="str">
        <f t="shared" si="308"/>
        <v>-0.0019112583865774-0.00371864839179127i</v>
      </c>
      <c r="AT496" s="190">
        <f t="shared" si="309"/>
        <v>-47.574274049352383</v>
      </c>
      <c r="AU496" s="169">
        <f t="shared" si="310"/>
        <v>-117.20161745942194</v>
      </c>
      <c r="AV496" s="225"/>
      <c r="AX496">
        <f t="shared" si="311"/>
        <v>0</v>
      </c>
      <c r="AY496">
        <f t="shared" si="312"/>
        <v>0</v>
      </c>
    </row>
    <row r="497" spans="14:51" x14ac:dyDescent="0.2">
      <c r="N497" s="170">
        <v>79</v>
      </c>
      <c r="O497" s="199">
        <f t="shared" si="313"/>
        <v>616595.00186148309</v>
      </c>
      <c r="P497" s="189" t="str">
        <f t="shared" si="279"/>
        <v>1757.57575757576</v>
      </c>
      <c r="Q497" s="160" t="str">
        <f t="shared" si="280"/>
        <v>1+223411.084506175i</v>
      </c>
      <c r="R497" s="160">
        <f t="shared" si="288"/>
        <v>223411.08450841301</v>
      </c>
      <c r="S497" s="160">
        <f t="shared" si="289"/>
        <v>1.5707918507412477</v>
      </c>
      <c r="T497" s="160" t="str">
        <f t="shared" si="281"/>
        <v>1+1084.7705837294i</v>
      </c>
      <c r="U497" s="160">
        <f t="shared" si="290"/>
        <v>1084.7710446562551</v>
      </c>
      <c r="V497" s="160">
        <f t="shared" si="291"/>
        <v>1.5698744731497778</v>
      </c>
      <c r="W497" s="98" t="str">
        <f t="shared" si="282"/>
        <v>1-0.698159639081796i</v>
      </c>
      <c r="X497" s="160">
        <f t="shared" si="292"/>
        <v>1.2196011157927102</v>
      </c>
      <c r="Y497" s="160">
        <f t="shared" si="293"/>
        <v>-0.60948975463672828</v>
      </c>
      <c r="Z497" s="98" t="str">
        <f t="shared" si="283"/>
        <v>-151.075758528225-16.4122344697308i</v>
      </c>
      <c r="AA497" s="160">
        <f t="shared" si="294"/>
        <v>151.96462172218889</v>
      </c>
      <c r="AB497" s="160">
        <f t="shared" si="295"/>
        <v>-3.0333812256828607</v>
      </c>
      <c r="AC497" s="171" t="str">
        <f t="shared" si="296"/>
        <v>-0.0515529874779059+0.0450896216950313i</v>
      </c>
      <c r="AD497" s="190">
        <f t="shared" si="297"/>
        <v>-23.287545183480148</v>
      </c>
      <c r="AE497" s="169">
        <f t="shared" si="298"/>
        <v>138.82618942448877</v>
      </c>
      <c r="AF497" s="98" t="str">
        <f t="shared" si="284"/>
        <v>-0.0000114342530449913</v>
      </c>
      <c r="AG497" s="98" t="str">
        <f t="shared" si="285"/>
        <v>0.465095387773982i</v>
      </c>
      <c r="AH497" s="98">
        <f t="shared" si="299"/>
        <v>0.46509538777398202</v>
      </c>
      <c r="AI497" s="98">
        <f t="shared" si="300"/>
        <v>1.5707963267948966</v>
      </c>
      <c r="AJ497" s="98" t="str">
        <f t="shared" si="286"/>
        <v>1+4.25982379521275i</v>
      </c>
      <c r="AK497" s="98">
        <f t="shared" si="301"/>
        <v>4.3756255285685448</v>
      </c>
      <c r="AL497" s="98">
        <f t="shared" si="302"/>
        <v>1.3402198799303908</v>
      </c>
      <c r="AM497" s="98" t="str">
        <f t="shared" si="287"/>
        <v>1+10227.8369323058i</v>
      </c>
      <c r="AN497" s="98">
        <f t="shared" si="303"/>
        <v>10227.836981191991</v>
      </c>
      <c r="AO497" s="98">
        <f t="shared" si="304"/>
        <v>1.5706985544112115</v>
      </c>
      <c r="AP497" s="168" t="str">
        <f t="shared" si="305"/>
        <v>-0.0131276910785067+0.0559462355807274i</v>
      </c>
      <c r="AQ497" s="98">
        <f t="shared" si="306"/>
        <v>-24.811811675903961</v>
      </c>
      <c r="AR497" s="169">
        <f t="shared" si="307"/>
        <v>103.20545531552055</v>
      </c>
      <c r="AS497" s="168" t="str">
        <f t="shared" si="308"/>
        <v>-0.00184582290381203-0.00347611820678832i</v>
      </c>
      <c r="AT497" s="190">
        <f t="shared" si="309"/>
        <v>-48.099356859384095</v>
      </c>
      <c r="AU497" s="169">
        <f t="shared" si="310"/>
        <v>-117.96835525999073</v>
      </c>
      <c r="AV497" s="225"/>
      <c r="AX497">
        <f t="shared" si="311"/>
        <v>0</v>
      </c>
      <c r="AY497">
        <f t="shared" si="312"/>
        <v>0</v>
      </c>
    </row>
    <row r="498" spans="14:51" x14ac:dyDescent="0.2">
      <c r="N498" s="170">
        <v>80</v>
      </c>
      <c r="O498" s="199">
        <f t="shared" si="313"/>
        <v>630957.34448019415</v>
      </c>
      <c r="P498" s="189" t="str">
        <f t="shared" si="279"/>
        <v>1757.57575757576</v>
      </c>
      <c r="Q498" s="160" t="str">
        <f t="shared" si="280"/>
        <v>1+228614.997173012i</v>
      </c>
      <c r="R498" s="160">
        <f t="shared" si="288"/>
        <v>228614.99717519907</v>
      </c>
      <c r="S498" s="160">
        <f t="shared" si="289"/>
        <v>1.570791952628668</v>
      </c>
      <c r="T498" s="160" t="str">
        <f t="shared" si="281"/>
        <v>1+1110.0381365626i</v>
      </c>
      <c r="U498" s="160">
        <f t="shared" si="290"/>
        <v>1110.0385869974832</v>
      </c>
      <c r="V498" s="160">
        <f t="shared" si="291"/>
        <v>1.5698954570891273</v>
      </c>
      <c r="W498" s="98" t="str">
        <f t="shared" si="282"/>
        <v>1-0.714421866165661i</v>
      </c>
      <c r="X498" s="160">
        <f t="shared" si="292"/>
        <v>1.228982751244144</v>
      </c>
      <c r="Y498" s="160">
        <f t="shared" si="293"/>
        <v>-0.62033963480054755</v>
      </c>
      <c r="Z498" s="98" t="str">
        <f t="shared" si="283"/>
        <v>-158.242868221399-16.7945245205441i</v>
      </c>
      <c r="AA498" s="160">
        <f t="shared" si="294"/>
        <v>159.13158516399631</v>
      </c>
      <c r="AB498" s="160">
        <f t="shared" si="295"/>
        <v>-3.0358571444489533</v>
      </c>
      <c r="AC498" s="171" t="str">
        <f t="shared" si="296"/>
        <v>-0.0492456818826006+0.0438029775676397i</v>
      </c>
      <c r="AD498" s="190">
        <f t="shared" si="297"/>
        <v>-23.621263769993771</v>
      </c>
      <c r="AE498" s="169">
        <f t="shared" si="298"/>
        <v>138.34759323203667</v>
      </c>
      <c r="AF498" s="98" t="str">
        <f t="shared" si="284"/>
        <v>-0.0000114342530449913</v>
      </c>
      <c r="AG498" s="98" t="str">
        <f t="shared" si="285"/>
        <v>0.475928851051215i</v>
      </c>
      <c r="AH498" s="98">
        <f t="shared" si="299"/>
        <v>0.47592885105121502</v>
      </c>
      <c r="AI498" s="98">
        <f t="shared" si="300"/>
        <v>1.5707963267948966</v>
      </c>
      <c r="AJ498" s="98" t="str">
        <f t="shared" si="286"/>
        <v>1+4.359047837992i</v>
      </c>
      <c r="AK498" s="98">
        <f t="shared" si="301"/>
        <v>4.4722810794831229</v>
      </c>
      <c r="AL498" s="98">
        <f t="shared" si="302"/>
        <v>1.3452903653777522</v>
      </c>
      <c r="AM498" s="98" t="str">
        <f t="shared" si="287"/>
        <v>1+10466.0738590188i</v>
      </c>
      <c r="AN498" s="98">
        <f t="shared" si="303"/>
        <v>10466.073906792206</v>
      </c>
      <c r="AO498" s="98">
        <f t="shared" si="304"/>
        <v>1.5707007799823642</v>
      </c>
      <c r="AP498" s="168" t="str">
        <f t="shared" si="305"/>
        <v>-0.0125663879056592+0.0548015111626418i</v>
      </c>
      <c r="AQ498" s="98">
        <f t="shared" si="306"/>
        <v>-25.001590544927247</v>
      </c>
      <c r="AR498" s="169">
        <f t="shared" si="307"/>
        <v>102.91506541513823</v>
      </c>
      <c r="AS498" s="168" t="str">
        <f t="shared" si="308"/>
        <v>-0.0017816290229145-0.00324918299293909i</v>
      </c>
      <c r="AT498" s="190">
        <f t="shared" si="309"/>
        <v>-48.622854314921028</v>
      </c>
      <c r="AU498" s="169">
        <f t="shared" si="310"/>
        <v>-118.73734135282507</v>
      </c>
      <c r="AV498" s="225"/>
      <c r="AX498">
        <f t="shared" si="311"/>
        <v>0</v>
      </c>
      <c r="AY498">
        <f t="shared" si="312"/>
        <v>0</v>
      </c>
    </row>
    <row r="499" spans="14:51" x14ac:dyDescent="0.2">
      <c r="N499" s="170">
        <v>81</v>
      </c>
      <c r="O499" s="199">
        <f t="shared" si="313"/>
        <v>645654.22903465747</v>
      </c>
      <c r="P499" s="189" t="str">
        <f t="shared" si="279"/>
        <v>1757.57575757576</v>
      </c>
      <c r="Q499" s="160" t="str">
        <f t="shared" si="280"/>
        <v>1+233940.124537428i</v>
      </c>
      <c r="R499" s="160">
        <f t="shared" si="288"/>
        <v>233940.12453956527</v>
      </c>
      <c r="S499" s="160">
        <f t="shared" si="289"/>
        <v>1.5707920521968473</v>
      </c>
      <c r="T499" s="160" t="str">
        <f t="shared" si="281"/>
        <v>1+1135.8942463089i</v>
      </c>
      <c r="U499" s="160">
        <f t="shared" si="290"/>
        <v>1135.8946864906377</v>
      </c>
      <c r="V499" s="160">
        <f t="shared" si="291"/>
        <v>1.5699159633764685</v>
      </c>
      <c r="W499" s="98" t="str">
        <f t="shared" si="282"/>
        <v>1-0.731062889179461i</v>
      </c>
      <c r="X499" s="160">
        <f t="shared" si="292"/>
        <v>1.2387303774169023</v>
      </c>
      <c r="Y499" s="160">
        <f t="shared" si="293"/>
        <v>-0.63127079086238713</v>
      </c>
      <c r="Z499" s="98" t="str">
        <f t="shared" si="283"/>
        <v>-165.747753388135-17.1857192505601i</v>
      </c>
      <c r="AA499" s="160">
        <f t="shared" si="294"/>
        <v>166.63633067063463</v>
      </c>
      <c r="AB499" s="160">
        <f t="shared" si="295"/>
        <v>-3.0382758575076099</v>
      </c>
      <c r="AC499" s="171" t="str">
        <f t="shared" si="296"/>
        <v>-0.0470410725316308+0.0425630157339956i</v>
      </c>
      <c r="AD499" s="190">
        <f t="shared" si="297"/>
        <v>-23.952910020714405</v>
      </c>
      <c r="AE499" s="169">
        <f t="shared" si="298"/>
        <v>137.86103539349051</v>
      </c>
      <c r="AF499" s="98" t="str">
        <f t="shared" si="284"/>
        <v>-0.0000114342530449913</v>
      </c>
      <c r="AG499" s="98" t="str">
        <f t="shared" si="285"/>
        <v>0.48701465810494i</v>
      </c>
      <c r="AH499" s="98">
        <f t="shared" si="299"/>
        <v>0.48701465810493999</v>
      </c>
      <c r="AI499" s="98">
        <f t="shared" si="300"/>
        <v>1.5707963267948966</v>
      </c>
      <c r="AJ499" s="98" t="str">
        <f t="shared" si="286"/>
        <v>1+4.4605831056338i</v>
      </c>
      <c r="AK499" s="98">
        <f t="shared" si="301"/>
        <v>4.5713019635838616</v>
      </c>
      <c r="AL499" s="98">
        <f t="shared" si="302"/>
        <v>1.3502568569444011</v>
      </c>
      <c r="AM499" s="98" t="str">
        <f t="shared" si="287"/>
        <v>1+10709.8600366267i</v>
      </c>
      <c r="AN499" s="98">
        <f t="shared" si="303"/>
        <v>10709.860083312649</v>
      </c>
      <c r="AO499" s="98">
        <f t="shared" si="304"/>
        <v>1.5707029548933336</v>
      </c>
      <c r="AP499" s="168" t="str">
        <f t="shared" si="305"/>
        <v>-0.0120278726986469+0.0536748040086567i</v>
      </c>
      <c r="AQ499" s="98">
        <f t="shared" si="306"/>
        <v>-25.191806933415251</v>
      </c>
      <c r="AR499" s="169">
        <f t="shared" si="307"/>
        <v>102.63063102260128</v>
      </c>
      <c r="AS499" s="168" t="str">
        <f t="shared" si="308"/>
        <v>-0.00171875749552131-0.00303686288341129i</v>
      </c>
      <c r="AT499" s="190">
        <f t="shared" si="309"/>
        <v>-49.144716954129663</v>
      </c>
      <c r="AU499" s="169">
        <f t="shared" si="310"/>
        <v>-119.50833358390815</v>
      </c>
      <c r="AV499" s="225"/>
      <c r="AX499">
        <f t="shared" si="311"/>
        <v>0</v>
      </c>
      <c r="AY499">
        <f t="shared" si="312"/>
        <v>0</v>
      </c>
    </row>
    <row r="500" spans="14:51" x14ac:dyDescent="0.2">
      <c r="N500" s="170">
        <v>82</v>
      </c>
      <c r="O500" s="199">
        <f t="shared" si="313"/>
        <v>660693.44800759677</v>
      </c>
      <c r="P500" s="189" t="str">
        <f t="shared" si="279"/>
        <v>1757.57575757576</v>
      </c>
      <c r="Q500" s="160" t="str">
        <f t="shared" si="280"/>
        <v>1+239389.290052437i</v>
      </c>
      <c r="R500" s="160">
        <f t="shared" si="288"/>
        <v>239389.29005452563</v>
      </c>
      <c r="S500" s="160">
        <f t="shared" si="289"/>
        <v>1.5707921494985781</v>
      </c>
      <c r="T500" s="160" t="str">
        <f t="shared" si="281"/>
        <v>1+1162.35262221992i</v>
      </c>
      <c r="U500" s="160">
        <f t="shared" si="290"/>
        <v>1162.3530523819018</v>
      </c>
      <c r="V500" s="160">
        <f t="shared" si="291"/>
        <v>1.5699360028844374</v>
      </c>
      <c r="W500" s="98" t="str">
        <f t="shared" si="282"/>
        <v>1-0.748091531413863i</v>
      </c>
      <c r="X500" s="160">
        <f t="shared" si="292"/>
        <v>1.2488558521195066</v>
      </c>
      <c r="Y500" s="160">
        <f t="shared" si="293"/>
        <v>-0.64227856958138207</v>
      </c>
      <c r="Z500" s="98" t="str">
        <f t="shared" si="283"/>
        <v>-173.606332896067-17.5860260764026i</v>
      </c>
      <c r="AA500" s="160">
        <f t="shared" si="294"/>
        <v>174.49477681231591</v>
      </c>
      <c r="AB500" s="160">
        <f t="shared" si="295"/>
        <v>-3.0406387232747791</v>
      </c>
      <c r="AC500" s="171" t="str">
        <f t="shared" si="296"/>
        <v>-0.0449346396673269+0.0413675102435282i</v>
      </c>
      <c r="AD500" s="190">
        <f t="shared" si="297"/>
        <v>-24.282454420931259</v>
      </c>
      <c r="AE500" s="169">
        <f t="shared" si="298"/>
        <v>137.36686097134455</v>
      </c>
      <c r="AF500" s="98" t="str">
        <f t="shared" si="284"/>
        <v>-0.0000114342530449913</v>
      </c>
      <c r="AG500" s="98" t="str">
        <f t="shared" si="285"/>
        <v>0.498358686776792i</v>
      </c>
      <c r="AH500" s="98">
        <f t="shared" si="299"/>
        <v>0.49835868677679201</v>
      </c>
      <c r="AI500" s="98">
        <f t="shared" si="300"/>
        <v>1.5707963267948966</v>
      </c>
      <c r="AJ500" s="98" t="str">
        <f t="shared" si="286"/>
        <v>1+4.56448343348098i</v>
      </c>
      <c r="AK500" s="98">
        <f t="shared" si="301"/>
        <v>4.6727410600762287</v>
      </c>
      <c r="AL500" s="98">
        <f t="shared" si="302"/>
        <v>1.3551210074584612</v>
      </c>
      <c r="AM500" s="98" t="str">
        <f t="shared" si="287"/>
        <v>1+10959.3247237878i</v>
      </c>
      <c r="AN500" s="98">
        <f t="shared" si="303"/>
        <v>10959.324769411047</v>
      </c>
      <c r="AO500" s="98">
        <f t="shared" si="304"/>
        <v>1.5707050802972859</v>
      </c>
      <c r="AP500" s="168" t="str">
        <f t="shared" si="305"/>
        <v>-0.0115113222740607+0.0525661836394978i</v>
      </c>
      <c r="AQ500" s="98">
        <f t="shared" si="306"/>
        <v>-25.382443037387958</v>
      </c>
      <c r="AR500" s="169">
        <f t="shared" si="307"/>
        <v>102.35205750390558</v>
      </c>
      <c r="AS500" s="168" t="str">
        <f t="shared" si="308"/>
        <v>-0.00165727502169072-0.00283823726261613i</v>
      </c>
      <c r="AT500" s="190">
        <f t="shared" si="309"/>
        <v>-49.66489745831921</v>
      </c>
      <c r="AU500" s="169">
        <f t="shared" si="310"/>
        <v>-120.28108152474987</v>
      </c>
      <c r="AV500" s="225"/>
      <c r="AX500">
        <f t="shared" si="311"/>
        <v>0</v>
      </c>
      <c r="AY500">
        <f t="shared" si="312"/>
        <v>0</v>
      </c>
    </row>
    <row r="501" spans="14:51" x14ac:dyDescent="0.2">
      <c r="N501" s="170">
        <v>83</v>
      </c>
      <c r="O501" s="199">
        <f t="shared" si="313"/>
        <v>676082.97539198259</v>
      </c>
      <c r="P501" s="189" t="str">
        <f t="shared" si="279"/>
        <v>1757.57575757576</v>
      </c>
      <c r="Q501" s="160" t="str">
        <f t="shared" si="280"/>
        <v>1+244965.382937724i</v>
      </c>
      <c r="R501" s="160">
        <f t="shared" si="288"/>
        <v>244965.38293976511</v>
      </c>
      <c r="S501" s="160">
        <f t="shared" si="289"/>
        <v>1.5707922445854514</v>
      </c>
      <c r="T501" s="160" t="str">
        <f t="shared" si="281"/>
        <v>1+1189.42729287681i</v>
      </c>
      <c r="U501" s="160">
        <f t="shared" si="290"/>
        <v>1189.4277132471132</v>
      </c>
      <c r="V501" s="160">
        <f t="shared" si="291"/>
        <v>1.5699555862381818</v>
      </c>
      <c r="W501" s="98" t="str">
        <f t="shared" si="282"/>
        <v>1-0.765516821680384i</v>
      </c>
      <c r="X501" s="160">
        <f t="shared" si="292"/>
        <v>1.2593712734041687</v>
      </c>
      <c r="Y501" s="160">
        <f t="shared" si="293"/>
        <v>-0.65335813715821545</v>
      </c>
      <c r="Z501" s="98" t="str">
        <f t="shared" si="283"/>
        <v>-181.835275845951-17.9956572460494i</v>
      </c>
      <c r="AA501" s="160">
        <f t="shared" si="294"/>
        <v>182.72359240582585</v>
      </c>
      <c r="AB501" s="160">
        <f t="shared" si="295"/>
        <v>-3.0429470655203574</v>
      </c>
      <c r="AC501" s="171" t="str">
        <f t="shared" si="296"/>
        <v>-0.0429220577984759+0.0402143636978209i</v>
      </c>
      <c r="AD501" s="190">
        <f t="shared" si="297"/>
        <v>-24.609869044244995</v>
      </c>
      <c r="AE501" s="169">
        <f t="shared" si="298"/>
        <v>136.86542337414699</v>
      </c>
      <c r="AF501" s="98" t="str">
        <f t="shared" si="284"/>
        <v>-0.0000114342530449913</v>
      </c>
      <c r="AG501" s="98" t="str">
        <f t="shared" si="285"/>
        <v>0.509966951820931i</v>
      </c>
      <c r="AH501" s="98">
        <f t="shared" si="299"/>
        <v>0.50996695182093099</v>
      </c>
      <c r="AI501" s="98">
        <f t="shared" si="300"/>
        <v>1.5707963267948966</v>
      </c>
      <c r="AJ501" s="98" t="str">
        <f t="shared" si="286"/>
        <v>1+4.67080391086268i</v>
      </c>
      <c r="AK501" s="98">
        <f t="shared" si="301"/>
        <v>4.7766525071152186</v>
      </c>
      <c r="AL501" s="98">
        <f t="shared" si="302"/>
        <v>1.359884474852129</v>
      </c>
      <c r="AM501" s="98" t="str">
        <f t="shared" si="287"/>
        <v>1+11214.6001899813i</v>
      </c>
      <c r="AN501" s="98">
        <f t="shared" si="303"/>
        <v>11214.600234566036</v>
      </c>
      <c r="AO501" s="98">
        <f t="shared" si="304"/>
        <v>1.5707071573211384</v>
      </c>
      <c r="AP501" s="168" t="str">
        <f t="shared" si="305"/>
        <v>-0.0110159345429095+0.0514756917017634i</v>
      </c>
      <c r="AQ501" s="98">
        <f t="shared" si="306"/>
        <v>-25.573481699516627</v>
      </c>
      <c r="AR501" s="169">
        <f t="shared" si="307"/>
        <v>102.07924993110095</v>
      </c>
      <c r="AS501" s="168" t="str">
        <f t="shared" si="308"/>
        <v>-0.00159723560853663-0.00265244141261957i</v>
      </c>
      <c r="AT501" s="190">
        <f t="shared" si="309"/>
        <v>-50.183350743761608</v>
      </c>
      <c r="AU501" s="169">
        <f t="shared" si="310"/>
        <v>-121.05532669475207</v>
      </c>
      <c r="AV501" s="225"/>
      <c r="AX501">
        <f t="shared" si="311"/>
        <v>0</v>
      </c>
      <c r="AY501">
        <f t="shared" si="312"/>
        <v>0</v>
      </c>
    </row>
    <row r="502" spans="14:51" x14ac:dyDescent="0.2">
      <c r="N502" s="170">
        <v>84</v>
      </c>
      <c r="O502" s="199">
        <f t="shared" si="313"/>
        <v>691830.97091893724</v>
      </c>
      <c r="P502" s="189" t="str">
        <f t="shared" si="279"/>
        <v>1757.57575757576</v>
      </c>
      <c r="Q502" s="160" t="str">
        <f t="shared" si="280"/>
        <v>1+250671.359711544i</v>
      </c>
      <c r="R502" s="160">
        <f t="shared" si="288"/>
        <v>250671.35971353864</v>
      </c>
      <c r="S502" s="160">
        <f t="shared" si="289"/>
        <v>1.5707923375078829</v>
      </c>
      <c r="T502" s="160" t="str">
        <f t="shared" si="281"/>
        <v>1+1217.1326136283i</v>
      </c>
      <c r="U502" s="160">
        <f t="shared" si="290"/>
        <v>1217.1330244298099</v>
      </c>
      <c r="V502" s="160">
        <f t="shared" si="291"/>
        <v>1.5699747238209951</v>
      </c>
      <c r="W502" s="98" t="str">
        <f t="shared" si="282"/>
        <v>1-0.783347999098572i</v>
      </c>
      <c r="X502" s="160">
        <f t="shared" si="292"/>
        <v>1.2702889780249753</v>
      </c>
      <c r="Y502" s="160">
        <f t="shared" si="293"/>
        <v>-0.66450448781553006</v>
      </c>
      <c r="Z502" s="98" t="str">
        <f t="shared" si="283"/>
        <v>-190.452036929056-18.4148299513687i</v>
      </c>
      <c r="AA502" s="160">
        <f t="shared" si="294"/>
        <v>191.3402318713039</v>
      </c>
      <c r="AB502" s="160">
        <f t="shared" si="295"/>
        <v>-3.0452021744021138</v>
      </c>
      <c r="AC502" s="171" t="str">
        <f t="shared" si="296"/>
        <v>-0.0409991877820155+0.0391015991026603i</v>
      </c>
      <c r="AD502" s="190">
        <f t="shared" si="297"/>
        <v>-24.93512765757615</v>
      </c>
      <c r="AE502" s="169">
        <f t="shared" si="298"/>
        <v>136.35708392443917</v>
      </c>
      <c r="AF502" s="98" t="str">
        <f t="shared" si="284"/>
        <v>-0.0000114342530449913</v>
      </c>
      <c r="AG502" s="98" t="str">
        <f t="shared" si="285"/>
        <v>0.521845608093135i</v>
      </c>
      <c r="AH502" s="98">
        <f t="shared" si="299"/>
        <v>0.52184560809313496</v>
      </c>
      <c r="AI502" s="98">
        <f t="shared" si="300"/>
        <v>1.5707963267948966</v>
      </c>
      <c r="AJ502" s="98" t="str">
        <f t="shared" si="286"/>
        <v>1+4.77960091030332i</v>
      </c>
      <c r="AK502" s="98">
        <f t="shared" si="301"/>
        <v>4.8830917318613141</v>
      </c>
      <c r="AL502" s="98">
        <f t="shared" si="302"/>
        <v>1.3645489196919951</v>
      </c>
      <c r="AM502" s="98" t="str">
        <f t="shared" si="287"/>
        <v>1+11475.8217856383i</v>
      </c>
      <c r="AN502" s="98">
        <f t="shared" si="303"/>
        <v>11475.821829208164</v>
      </c>
      <c r="AO502" s="98">
        <f t="shared" si="304"/>
        <v>1.5707091870661567</v>
      </c>
      <c r="AP502" s="168" t="str">
        <f t="shared" si="305"/>
        <v>-0.0105409287441613+0.0504033438010242i</v>
      </c>
      <c r="AQ502" s="98">
        <f t="shared" si="306"/>
        <v>-25.764906392238885</v>
      </c>
      <c r="AR502" s="169">
        <f t="shared" si="307"/>
        <v>101.81211322382801</v>
      </c>
      <c r="AS502" s="168" t="str">
        <f t="shared" si="308"/>
        <v>-0.00153868182576249-0.00247866332726358i</v>
      </c>
      <c r="AT502" s="190">
        <f t="shared" si="309"/>
        <v>-50.700034049815045</v>
      </c>
      <c r="AU502" s="169">
        <f t="shared" si="310"/>
        <v>-121.83080285173281</v>
      </c>
      <c r="AV502" s="225"/>
      <c r="AX502">
        <f t="shared" si="311"/>
        <v>0</v>
      </c>
      <c r="AY502">
        <f t="shared" si="312"/>
        <v>0</v>
      </c>
    </row>
    <row r="503" spans="14:51" x14ac:dyDescent="0.2">
      <c r="N503" s="170">
        <v>85</v>
      </c>
      <c r="O503" s="199">
        <f t="shared" si="313"/>
        <v>707945.78438413853</v>
      </c>
      <c r="P503" s="189" t="str">
        <f t="shared" si="279"/>
        <v>1757.57575757576</v>
      </c>
      <c r="Q503" s="160" t="str">
        <f t="shared" si="280"/>
        <v>1+256510.245758311i</v>
      </c>
      <c r="R503" s="160">
        <f t="shared" si="288"/>
        <v>256510.24576026024</v>
      </c>
      <c r="S503" s="160">
        <f t="shared" si="289"/>
        <v>1.5707924283151418</v>
      </c>
      <c r="T503" s="160" t="str">
        <f t="shared" si="281"/>
        <v>1+1245.4832742022i</v>
      </c>
      <c r="U503" s="160">
        <f t="shared" si="290"/>
        <v>1245.4836756527291</v>
      </c>
      <c r="V503" s="160">
        <f t="shared" si="291"/>
        <v>1.5699934257798209</v>
      </c>
      <c r="W503" s="98" t="str">
        <f t="shared" si="282"/>
        <v>1-0.801594517994721i</v>
      </c>
      <c r="X503" s="160">
        <f t="shared" si="292"/>
        <v>1.2816215397999478</v>
      </c>
      <c r="Y503" s="160">
        <f t="shared" si="293"/>
        <v>-0.67571245333301044</v>
      </c>
      <c r="Z503" s="98" t="str">
        <f t="shared" si="283"/>
        <v>-199.47489345091-18.8437664432774i</v>
      </c>
      <c r="AA503" s="160">
        <f t="shared" si="294"/>
        <v>200.36297225540622</v>
      </c>
      <c r="AB503" s="160">
        <f t="shared" si="295"/>
        <v>-3.0474053074600804</v>
      </c>
      <c r="AC503" s="171" t="str">
        <f t="shared" si="296"/>
        <v>-0.0391620691860143+0.0380273522562863i</v>
      </c>
      <c r="AD503" s="190">
        <f t="shared" si="297"/>
        <v>-25.258205821920487</v>
      </c>
      <c r="AE503" s="169">
        <f t="shared" si="298"/>
        <v>135.84221136972354</v>
      </c>
      <c r="AF503" s="98" t="str">
        <f t="shared" si="284"/>
        <v>-0.0000114342530449913</v>
      </c>
      <c r="AG503" s="98" t="str">
        <f t="shared" si="285"/>
        <v>0.534000953814194i</v>
      </c>
      <c r="AH503" s="98">
        <f t="shared" si="299"/>
        <v>0.53400095381419399</v>
      </c>
      <c r="AI503" s="98">
        <f t="shared" si="300"/>
        <v>1.5707963267948966</v>
      </c>
      <c r="AJ503" s="98" t="str">
        <f t="shared" si="286"/>
        <v>1+4.89093211741211i</v>
      </c>
      <c r="AK503" s="98">
        <f t="shared" si="301"/>
        <v>4.9921154811495807</v>
      </c>
      <c r="AL503" s="98">
        <f t="shared" si="302"/>
        <v>1.3691160028741076</v>
      </c>
      <c r="AM503" s="98" t="str">
        <f t="shared" si="287"/>
        <v>1+11743.1280139065i</v>
      </c>
      <c r="AN503" s="98">
        <f t="shared" si="303"/>
        <v>11743.128056484591</v>
      </c>
      <c r="AO503" s="98">
        <f t="shared" si="304"/>
        <v>1.5707111706085382</v>
      </c>
      <c r="AP503" s="168" t="str">
        <f t="shared" si="305"/>
        <v>-0.0100855455892332+0.0493491312646444i</v>
      </c>
      <c r="AQ503" s="98">
        <f t="shared" si="306"/>
        <v>-25.95670120072468</v>
      </c>
      <c r="AR503" s="169">
        <f t="shared" si="307"/>
        <v>101.55055228141475</v>
      </c>
      <c r="AS503" s="168" t="str">
        <f t="shared" si="308"/>
        <v>-0.00148164596399809-0.00231614068767431i</v>
      </c>
      <c r="AT503" s="190">
        <f t="shared" si="309"/>
        <v>-51.214907022645171</v>
      </c>
      <c r="AU503" s="169">
        <f t="shared" si="310"/>
        <v>-122.60723634886168</v>
      </c>
      <c r="AV503" s="225"/>
      <c r="AX503">
        <f t="shared" si="311"/>
        <v>0</v>
      </c>
      <c r="AY503">
        <f t="shared" si="312"/>
        <v>0</v>
      </c>
    </row>
    <row r="504" spans="14:51" x14ac:dyDescent="0.2">
      <c r="N504" s="170">
        <v>86</v>
      </c>
      <c r="O504" s="199">
        <f t="shared" si="313"/>
        <v>724435.96007499192</v>
      </c>
      <c r="P504" s="189" t="str">
        <f t="shared" si="279"/>
        <v>1757.57575757576</v>
      </c>
      <c r="Q504" s="160" t="str">
        <f t="shared" si="280"/>
        <v>1+262485.136932694i</v>
      </c>
      <c r="R504" s="160">
        <f t="shared" si="288"/>
        <v>262485.13693459891</v>
      </c>
      <c r="S504" s="160">
        <f t="shared" si="289"/>
        <v>1.5707925170553751</v>
      </c>
      <c r="T504" s="160" t="str">
        <f t="shared" si="281"/>
        <v>1+1274.494306494i</v>
      </c>
      <c r="U504" s="160">
        <f t="shared" si="290"/>
        <v>1274.4946988064023</v>
      </c>
      <c r="V504" s="160">
        <f t="shared" si="291"/>
        <v>1.5700117020306332</v>
      </c>
      <c r="W504" s="98" t="str">
        <f t="shared" si="282"/>
        <v>1-0.820266052914668i</v>
      </c>
      <c r="X504" s="160">
        <f t="shared" si="292"/>
        <v>1.293381767910855</v>
      </c>
      <c r="Y504" s="160">
        <f t="shared" si="293"/>
        <v>-0.68697671350567824</v>
      </c>
      <c r="Z504" s="98" t="str">
        <f t="shared" si="283"/>
        <v>-208.922984099911-19.282694149581i</v>
      </c>
      <c r="AA504" s="160">
        <f t="shared" si="294"/>
        <v>209.81095199936047</v>
      </c>
      <c r="AB504" s="160">
        <f t="shared" si="295"/>
        <v>-3.0495576905733301</v>
      </c>
      <c r="AC504" s="171" t="str">
        <f t="shared" si="296"/>
        <v>-0.0374069129281997+0.0369898646380345i</v>
      </c>
      <c r="AD504" s="190">
        <f t="shared" si="297"/>
        <v>-25.579080988080953</v>
      </c>
      <c r="AE504" s="169">
        <f t="shared" si="298"/>
        <v>135.3211813383727</v>
      </c>
      <c r="AF504" s="98" t="str">
        <f t="shared" si="284"/>
        <v>-0.0000114342530449913</v>
      </c>
      <c r="AG504" s="98" t="str">
        <f t="shared" si="285"/>
        <v>0.546439433909304i</v>
      </c>
      <c r="AH504" s="98">
        <f t="shared" si="299"/>
        <v>0.54643943390930405</v>
      </c>
      <c r="AI504" s="98">
        <f t="shared" si="300"/>
        <v>1.5707963267948966</v>
      </c>
      <c r="AJ504" s="98" t="str">
        <f t="shared" si="286"/>
        <v>1+5.00485656146869i</v>
      </c>
      <c r="AK504" s="98">
        <f t="shared" si="301"/>
        <v>5.1037818527907524</v>
      </c>
      <c r="AL504" s="98">
        <f t="shared" si="302"/>
        <v>1.3735873834772856</v>
      </c>
      <c r="AM504" s="98" t="str">
        <f t="shared" si="287"/>
        <v>1+12016.6606040863i</v>
      </c>
      <c r="AN504" s="98">
        <f t="shared" si="303"/>
        <v>12016.660645695198</v>
      </c>
      <c r="AO504" s="98">
        <f t="shared" si="304"/>
        <v>1.5707131089999835</v>
      </c>
      <c r="AP504" s="168" t="str">
        <f t="shared" si="305"/>
        <v>-0.00964904732551101+0.0483130228334455i</v>
      </c>
      <c r="AQ504" s="98">
        <f t="shared" si="306"/>
        <v>-26.148850805759874</v>
      </c>
      <c r="AR504" s="169">
        <f t="shared" si="307"/>
        <v>101.29447210590487</v>
      </c>
      <c r="AS504" s="168" t="str">
        <f t="shared" si="308"/>
        <v>-0.00142615110171795-0.00216415799288546i</v>
      </c>
      <c r="AT504" s="190">
        <f t="shared" si="309"/>
        <v>-51.727931793840831</v>
      </c>
      <c r="AU504" s="169">
        <f t="shared" si="310"/>
        <v>-123.38434655572243</v>
      </c>
      <c r="AV504" s="225"/>
      <c r="AX504">
        <f t="shared" si="311"/>
        <v>0</v>
      </c>
      <c r="AY504">
        <f t="shared" si="312"/>
        <v>0</v>
      </c>
    </row>
    <row r="505" spans="14:51" x14ac:dyDescent="0.2">
      <c r="N505" s="170">
        <v>87</v>
      </c>
      <c r="O505" s="199">
        <f t="shared" si="313"/>
        <v>741310.24130091805</v>
      </c>
      <c r="P505" s="189" t="str">
        <f t="shared" si="279"/>
        <v>1757.57575757576</v>
      </c>
      <c r="Q505" s="160" t="str">
        <f t="shared" si="280"/>
        <v>1+268599.20120108i</v>
      </c>
      <c r="R505" s="160">
        <f t="shared" si="288"/>
        <v>268599.20120294153</v>
      </c>
      <c r="S505" s="160">
        <f t="shared" si="289"/>
        <v>1.5707926037756339</v>
      </c>
      <c r="T505" s="160" t="str">
        <f t="shared" si="281"/>
        <v>1+1304.18109253703i</v>
      </c>
      <c r="U505" s="160">
        <f t="shared" si="290"/>
        <v>1304.1814759193144</v>
      </c>
      <c r="V505" s="160">
        <f t="shared" si="291"/>
        <v>1.5700295622636928</v>
      </c>
      <c r="W505" s="98" t="str">
        <f t="shared" si="282"/>
        <v>1-0.839372503753371i</v>
      </c>
      <c r="X505" s="160">
        <f t="shared" si="292"/>
        <v>1.3055827051769653</v>
      </c>
      <c r="Y505" s="160">
        <f t="shared" si="293"/>
        <v>-0.69829180748469877</v>
      </c>
      <c r="Z505" s="98" t="str">
        <f t="shared" si="283"/>
        <v>-218.81634954305-19.7318457955592i</v>
      </c>
      <c r="AA505" s="160">
        <f t="shared" si="294"/>
        <v>219.70421153415779</v>
      </c>
      <c r="AB505" s="160">
        <f t="shared" si="295"/>
        <v>-3.051660518880964</v>
      </c>
      <c r="AC505" s="171" t="str">
        <f t="shared" si="296"/>
        <v>-0.0357300941839169+0.0359874767639751i</v>
      </c>
      <c r="AD505" s="190">
        <f t="shared" si="297"/>
        <v>-25.89773258662245</v>
      </c>
      <c r="AE505" s="169">
        <f t="shared" si="298"/>
        <v>134.79437574291958</v>
      </c>
      <c r="AF505" s="98" t="str">
        <f t="shared" si="284"/>
        <v>-0.0000114342530449913</v>
      </c>
      <c r="AG505" s="98" t="str">
        <f t="shared" si="285"/>
        <v>0.559167643425252i</v>
      </c>
      <c r="AH505" s="98">
        <f t="shared" si="299"/>
        <v>0.55916764342525205</v>
      </c>
      <c r="AI505" s="98">
        <f t="shared" si="300"/>
        <v>1.5707963267948966</v>
      </c>
      <c r="AJ505" s="98" t="str">
        <f t="shared" si="286"/>
        <v>1+5.12143464672125i</v>
      </c>
      <c r="AK505" s="98">
        <f t="shared" si="301"/>
        <v>5.2181503275238068</v>
      </c>
      <c r="AL505" s="98">
        <f t="shared" si="302"/>
        <v>1.3779647167681457</v>
      </c>
      <c r="AM505" s="98" t="str">
        <f t="shared" si="287"/>
        <v>1+12296.5645867777i</v>
      </c>
      <c r="AN505" s="98">
        <f t="shared" si="303"/>
        <v>12296.564627439464</v>
      </c>
      <c r="AO505" s="98">
        <f t="shared" si="304"/>
        <v>1.5707150032682531</v>
      </c>
      <c r="AP505" s="168" t="str">
        <f t="shared" si="305"/>
        <v>-0.00923071772655396+0.047294966281837i</v>
      </c>
      <c r="AQ505" s="98">
        <f t="shared" si="306"/>
        <v>-26.3413404666086</v>
      </c>
      <c r="AR505" s="169">
        <f t="shared" si="307"/>
        <v>101.04377791639359</v>
      </c>
      <c r="AS505" s="168" t="str">
        <f t="shared" si="308"/>
        <v>-0.00137221208636567-0.00202204383937438i</v>
      </c>
      <c r="AT505" s="190">
        <f t="shared" si="309"/>
        <v>-52.239073053231067</v>
      </c>
      <c r="AU505" s="169">
        <f t="shared" si="310"/>
        <v>-124.16184634068682</v>
      </c>
      <c r="AV505" s="225"/>
      <c r="AX505">
        <f t="shared" si="311"/>
        <v>0</v>
      </c>
      <c r="AY505">
        <f t="shared" si="312"/>
        <v>0</v>
      </c>
    </row>
    <row r="506" spans="14:51" x14ac:dyDescent="0.2">
      <c r="N506" s="170">
        <v>88</v>
      </c>
      <c r="O506" s="199">
        <f t="shared" si="313"/>
        <v>758577.57502918423</v>
      </c>
      <c r="P506" s="189" t="str">
        <f t="shared" si="279"/>
        <v>1757.57575757576</v>
      </c>
      <c r="Q506" s="160" t="str">
        <f t="shared" si="280"/>
        <v>1+274855.680321273i</v>
      </c>
      <c r="R506" s="160">
        <f t="shared" si="288"/>
        <v>274855.68032309209</v>
      </c>
      <c r="S506" s="160">
        <f t="shared" si="289"/>
        <v>1.5707926885218988</v>
      </c>
      <c r="T506" s="160" t="str">
        <f t="shared" si="281"/>
        <v>1+1334.5593726582i</v>
      </c>
      <c r="U506" s="160">
        <f t="shared" si="290"/>
        <v>1334.5597473136406</v>
      </c>
      <c r="V506" s="160">
        <f t="shared" si="291"/>
        <v>1.5700470159486863</v>
      </c>
      <c r="W506" s="98" t="str">
        <f t="shared" si="282"/>
        <v>1-0.858924001003976i</v>
      </c>
      <c r="X506" s="160">
        <f t="shared" si="292"/>
        <v>1.3182376263408195</v>
      </c>
      <c r="Y506" s="160">
        <f t="shared" si="293"/>
        <v>-0.70965214595079584</v>
      </c>
      <c r="Z506" s="98" t="str">
        <f t="shared" si="283"/>
        <v>-229.175974934864-20.1914595273602i</v>
      </c>
      <c r="AA506" s="160">
        <f t="shared" si="294"/>
        <v>230.0637357889992</v>
      </c>
      <c r="AB506" s="160">
        <f t="shared" si="295"/>
        <v>-3.0537149576690252</v>
      </c>
      <c r="AC506" s="171" t="str">
        <f t="shared" si="296"/>
        <v>-0.0341281455570698+0.0350186219783876i</v>
      </c>
      <c r="AD506" s="190">
        <f t="shared" si="297"/>
        <v>-26.214142111327206</v>
      </c>
      <c r="AE506" s="169">
        <f t="shared" si="298"/>
        <v>134.26218213367966</v>
      </c>
      <c r="AF506" s="98" t="str">
        <f t="shared" si="284"/>
        <v>-0.0000114342530449913</v>
      </c>
      <c r="AG506" s="98" t="str">
        <f t="shared" si="285"/>
        <v>0.572192331027204i</v>
      </c>
      <c r="AH506" s="98">
        <f t="shared" si="299"/>
        <v>0.57219233102720402</v>
      </c>
      <c r="AI506" s="98">
        <f t="shared" si="300"/>
        <v>1.5707963267948966</v>
      </c>
      <c r="AJ506" s="98" t="str">
        <f t="shared" si="286"/>
        <v>1+5.24072818441371i</v>
      </c>
      <c r="AK506" s="98">
        <f t="shared" si="301"/>
        <v>5.3352818016397423</v>
      </c>
      <c r="AL506" s="98">
        <f t="shared" si="302"/>
        <v>1.382249652351289</v>
      </c>
      <c r="AM506" s="98" t="str">
        <f t="shared" si="287"/>
        <v>1+12582.9883707773i</v>
      </c>
      <c r="AN506" s="98">
        <f t="shared" si="303"/>
        <v>12582.988410513488</v>
      </c>
      <c r="AO506" s="98">
        <f t="shared" si="304"/>
        <v>1.5707168544177135</v>
      </c>
      <c r="AP506" s="168" t="str">
        <f t="shared" si="305"/>
        <v>-0.00882986201620827+0.0462948899664791i</v>
      </c>
      <c r="AQ506" s="98">
        <f t="shared" si="306"/>
        <v>-26.534156003910901</v>
      </c>
      <c r="AR506" s="169">
        <f t="shared" si="307"/>
        <v>100.79837525504537</v>
      </c>
      <c r="AS506" s="168" t="str">
        <f t="shared" si="308"/>
        <v>-0.00131983643512918-0.00188916834339145i</v>
      </c>
      <c r="AT506" s="190">
        <f t="shared" si="309"/>
        <v>-52.748298115238114</v>
      </c>
      <c r="AU506" s="169">
        <f t="shared" si="310"/>
        <v>-124.93944261127493</v>
      </c>
      <c r="AV506" s="225"/>
      <c r="AX506">
        <f t="shared" si="311"/>
        <v>0</v>
      </c>
      <c r="AY506">
        <f t="shared" si="312"/>
        <v>0</v>
      </c>
    </row>
    <row r="507" spans="14:51" x14ac:dyDescent="0.2">
      <c r="N507" s="170">
        <v>89</v>
      </c>
      <c r="O507" s="199">
        <f t="shared" si="313"/>
        <v>776247.11662869214</v>
      </c>
      <c r="P507" s="189" t="str">
        <f t="shared" si="279"/>
        <v>1757.57575757576</v>
      </c>
      <c r="Q507" s="160" t="str">
        <f t="shared" si="280"/>
        <v>1+281257.891561318i</v>
      </c>
      <c r="R507" s="160">
        <f t="shared" si="288"/>
        <v>281257.89156309568</v>
      </c>
      <c r="S507" s="160">
        <f t="shared" si="289"/>
        <v>1.5707927713391032</v>
      </c>
      <c r="T507" s="160" t="str">
        <f t="shared" si="281"/>
        <v>1+1365.64525382374i</v>
      </c>
      <c r="U507" s="160">
        <f t="shared" si="290"/>
        <v>1365.6456199509839</v>
      </c>
      <c r="V507" s="160">
        <f t="shared" si="291"/>
        <v>1.5700640723397459</v>
      </c>
      <c r="W507" s="98" t="str">
        <f t="shared" si="282"/>
        <v>1-0.878930911129117i</v>
      </c>
      <c r="X507" s="160">
        <f t="shared" si="292"/>
        <v>1.3313600364057274</v>
      </c>
      <c r="Y507" s="160">
        <f t="shared" si="293"/>
        <v>-0.72105202406147229</v>
      </c>
      <c r="Z507" s="98" t="str">
        <f t="shared" si="283"/>
        <v>-240.023834429744-20.6617790382682i</v>
      </c>
      <c r="AA507" s="160">
        <f t="shared" si="294"/>
        <v>240.91149870311997</v>
      </c>
      <c r="AB507" s="160">
        <f t="shared" si="295"/>
        <v>-3.0557221432249584</v>
      </c>
      <c r="AC507" s="171" t="str">
        <f t="shared" si="296"/>
        <v>-0.0325977505073793+0.0340818206520075i</v>
      </c>
      <c r="AD507" s="190">
        <f t="shared" si="297"/>
        <v>-26.528293195462883</v>
      </c>
      <c r="AE507" s="169">
        <f t="shared" si="298"/>
        <v>133.7249930061742</v>
      </c>
      <c r="AF507" s="98" t="str">
        <f t="shared" si="284"/>
        <v>-0.0000114342530449913</v>
      </c>
      <c r="AG507" s="98" t="str">
        <f t="shared" si="285"/>
        <v>0.585520402576927i</v>
      </c>
      <c r="AH507" s="98">
        <f t="shared" si="299"/>
        <v>0.58552040257692695</v>
      </c>
      <c r="AI507" s="98">
        <f t="shared" si="300"/>
        <v>1.5707963267948966</v>
      </c>
      <c r="AJ507" s="98" t="str">
        <f t="shared" si="286"/>
        <v>1+5.3628004255588i</v>
      </c>
      <c r="AK507" s="98">
        <f t="shared" si="301"/>
        <v>5.4552386202964254</v>
      </c>
      <c r="AL507" s="98">
        <f t="shared" si="302"/>
        <v>1.3864438324581134</v>
      </c>
      <c r="AM507" s="98" t="str">
        <f t="shared" si="287"/>
        <v>1+12876.0838217667i</v>
      </c>
      <c r="AN507" s="98">
        <f t="shared" si="303"/>
        <v>12876.083860598383</v>
      </c>
      <c r="AO507" s="98">
        <f t="shared" si="304"/>
        <v>1.570718663429868</v>
      </c>
      <c r="AP507" s="168" t="str">
        <f t="shared" si="305"/>
        <v>-0.0084458067334306+0.0453127043039491i</v>
      </c>
      <c r="AQ507" s="98">
        <f t="shared" si="306"/>
        <v>-26.727283782663896</v>
      </c>
      <c r="AR507" s="169">
        <f t="shared" si="307"/>
        <v>100.55817008516816</v>
      </c>
      <c r="AS507" s="168" t="str">
        <f t="shared" si="308"/>
        <v>-0.00126902516061473-0.00176494070006508i</v>
      </c>
      <c r="AT507" s="190">
        <f t="shared" si="309"/>
        <v>-53.255576978126783</v>
      </c>
      <c r="AU507" s="169">
        <f t="shared" si="310"/>
        <v>-125.71683690865778</v>
      </c>
      <c r="AV507" s="225"/>
      <c r="AX507">
        <f t="shared" si="311"/>
        <v>0</v>
      </c>
      <c r="AY507">
        <f t="shared" si="312"/>
        <v>0</v>
      </c>
    </row>
    <row r="508" spans="14:51" x14ac:dyDescent="0.2">
      <c r="N508" s="170">
        <v>90</v>
      </c>
      <c r="O508" s="199">
        <f t="shared" si="313"/>
        <v>794328.23472428333</v>
      </c>
      <c r="P508" s="189" t="str">
        <f t="shared" si="279"/>
        <v>1757.57575757576</v>
      </c>
      <c r="Q508" s="160" t="str">
        <f t="shared" si="280"/>
        <v>1+287809.229458358i</v>
      </c>
      <c r="R508" s="160">
        <f t="shared" si="288"/>
        <v>287809.22946009523</v>
      </c>
      <c r="S508" s="160">
        <f t="shared" si="289"/>
        <v>1.5707928522711578</v>
      </c>
      <c r="T508" s="160" t="str">
        <f t="shared" si="281"/>
        <v>1+1397.45521817931i</v>
      </c>
      <c r="U508" s="160">
        <f t="shared" si="290"/>
        <v>1397.4555759724824</v>
      </c>
      <c r="V508" s="160">
        <f t="shared" si="291"/>
        <v>1.5700807404803563</v>
      </c>
      <c r="W508" s="98" t="str">
        <f t="shared" si="282"/>
        <v>1-0.899403842057365i</v>
      </c>
      <c r="X508" s="160">
        <f t="shared" si="292"/>
        <v>1.3449636690660269</v>
      </c>
      <c r="Y508" s="160">
        <f t="shared" si="293"/>
        <v>-0.732485635104835</v>
      </c>
      <c r="Z508" s="98" t="str">
        <f t="shared" si="283"/>
        <v>-251.382937792079-21.1430536979133i</v>
      </c>
      <c r="AA508" s="160">
        <f t="shared" si="294"/>
        <v>252.27050983547221</v>
      </c>
      <c r="AB508" s="160">
        <f t="shared" si="295"/>
        <v>-3.0576831836611502</v>
      </c>
      <c r="AC508" s="171" t="str">
        <f t="shared" si="296"/>
        <v>-0.031135737027085+0.0331756747599253i</v>
      </c>
      <c r="AD508" s="190">
        <f t="shared" si="297"/>
        <v>-26.840171680227272</v>
      </c>
      <c r="AE508" s="169">
        <f t="shared" si="298"/>
        <v>133.18320506628771</v>
      </c>
      <c r="AF508" s="98" t="str">
        <f t="shared" si="284"/>
        <v>-0.0000114342530449913</v>
      </c>
      <c r="AG508" s="98" t="str">
        <f t="shared" si="285"/>
        <v>0.599158924794377i</v>
      </c>
      <c r="AH508" s="98">
        <f t="shared" si="299"/>
        <v>0.59915892479437705</v>
      </c>
      <c r="AI508" s="98">
        <f t="shared" si="300"/>
        <v>1.5707963267948966</v>
      </c>
      <c r="AJ508" s="98" t="str">
        <f t="shared" si="286"/>
        <v>1+5.48771609447457i</v>
      </c>
      <c r="AK508" s="98">
        <f t="shared" si="301"/>
        <v>5.5780846115450089</v>
      </c>
      <c r="AL508" s="98">
        <f t="shared" si="302"/>
        <v>1.3905488903677874</v>
      </c>
      <c r="AM508" s="98" t="str">
        <f t="shared" si="287"/>
        <v>1+13176.0063428334i</v>
      </c>
      <c r="AN508" s="98">
        <f t="shared" si="303"/>
        <v>13176.006380781164</v>
      </c>
      <c r="AO508" s="98">
        <f t="shared" si="304"/>
        <v>1.5707204312638792</v>
      </c>
      <c r="AP508" s="168" t="str">
        <f t="shared" si="305"/>
        <v>-0.00807789954419401+0.044348303178205i</v>
      </c>
      <c r="AQ508" s="98">
        <f t="shared" si="306"/>
        <v>-26.920710695332914</v>
      </c>
      <c r="AR508" s="169">
        <f t="shared" si="307"/>
        <v>100.32306888171476</v>
      </c>
      <c r="AS508" s="168" t="str">
        <f t="shared" si="308"/>
        <v>-0.00121977352645546-0.00164880687337556i</v>
      </c>
      <c r="AT508" s="190">
        <f t="shared" si="309"/>
        <v>-53.760882375560172</v>
      </c>
      <c r="AU508" s="169">
        <f t="shared" si="310"/>
        <v>-126.49372605199758</v>
      </c>
      <c r="AV508" s="225"/>
      <c r="AX508">
        <f t="shared" si="311"/>
        <v>0</v>
      </c>
      <c r="AY508">
        <f t="shared" si="312"/>
        <v>0</v>
      </c>
    </row>
    <row r="509" spans="14:51" x14ac:dyDescent="0.2">
      <c r="N509" s="170">
        <v>91</v>
      </c>
      <c r="O509" s="199">
        <f t="shared" si="313"/>
        <v>812830.51616410096</v>
      </c>
      <c r="P509" s="189" t="str">
        <f t="shared" si="279"/>
        <v>1757.57575757576</v>
      </c>
      <c r="Q509" s="160" t="str">
        <f t="shared" si="280"/>
        <v>1+294513.167618461i</v>
      </c>
      <c r="R509" s="160">
        <f t="shared" si="288"/>
        <v>294513.16762015875</v>
      </c>
      <c r="S509" s="160">
        <f t="shared" si="289"/>
        <v>1.5707929313609741</v>
      </c>
      <c r="T509" s="160" t="str">
        <f t="shared" si="281"/>
        <v>1+1430.00613178905i</v>
      </c>
      <c r="U509" s="160">
        <f t="shared" si="290"/>
        <v>1430.0064814378575</v>
      </c>
      <c r="V509" s="160">
        <f t="shared" si="291"/>
        <v>1.5700970292081491</v>
      </c>
      <c r="W509" s="98" t="str">
        <f t="shared" si="282"/>
        <v>1-0.920353648807687i</v>
      </c>
      <c r="X509" s="160">
        <f t="shared" si="292"/>
        <v>1.3590624852719699</v>
      </c>
      <c r="Y509" s="160">
        <f t="shared" si="293"/>
        <v>-0.74394708478486449</v>
      </c>
      <c r="Z509" s="98" t="str">
        <f t="shared" si="283"/>
        <v>-263.27737920304-21.6355386844903i</v>
      </c>
      <c r="AA509" s="160">
        <f t="shared" si="294"/>
        <v>264.16486317106865</v>
      </c>
      <c r="AB509" s="160">
        <f t="shared" si="295"/>
        <v>-3.0595991597089962</v>
      </c>
      <c r="AC509" s="171" t="str">
        <f t="shared" si="296"/>
        <v>-0.0297390715601177+0.0322988628138463i</v>
      </c>
      <c r="AD509" s="190">
        <f t="shared" si="297"/>
        <v>-27.149765674785314</v>
      </c>
      <c r="AE509" s="169">
        <f t="shared" si="298"/>
        <v>132.63721845755381</v>
      </c>
      <c r="AF509" s="98" t="str">
        <f t="shared" si="284"/>
        <v>-0.0000114342530449913</v>
      </c>
      <c r="AG509" s="98" t="str">
        <f t="shared" si="285"/>
        <v>0.613115129004557i</v>
      </c>
      <c r="AH509" s="98">
        <f t="shared" si="299"/>
        <v>0.613115129004557</v>
      </c>
      <c r="AI509" s="98">
        <f t="shared" si="300"/>
        <v>1.5707963267948966</v>
      </c>
      <c r="AJ509" s="98" t="str">
        <f t="shared" si="286"/>
        <v>1+5.61554142310213i</v>
      </c>
      <c r="AK509" s="98">
        <f t="shared" si="301"/>
        <v>5.7038851210885984</v>
      </c>
      <c r="AL509" s="98">
        <f t="shared" si="302"/>
        <v>1.3945664489540026</v>
      </c>
      <c r="AM509" s="98" t="str">
        <f t="shared" si="287"/>
        <v>1+13482.9149568682i</v>
      </c>
      <c r="AN509" s="98">
        <f t="shared" si="303"/>
        <v>13482.914993952169</v>
      </c>
      <c r="AO509" s="98">
        <f t="shared" si="304"/>
        <v>1.5707221588570757</v>
      </c>
      <c r="AP509" s="168" t="str">
        <f t="shared" si="305"/>
        <v>-0.00772550900643825+0.0434015652789525i</v>
      </c>
      <c r="AQ509" s="98">
        <f t="shared" si="306"/>
        <v>-27.114424145130187</v>
      </c>
      <c r="AR509" s="169">
        <f t="shared" si="307"/>
        <v>100.09297871457696</v>
      </c>
      <c r="AS509" s="168" t="str">
        <f t="shared" si="308"/>
        <v>-0.00117207173767028-0.00154024741121797i</v>
      </c>
      <c r="AT509" s="190">
        <f t="shared" si="309"/>
        <v>-54.264189819915515</v>
      </c>
      <c r="AU509" s="169">
        <f t="shared" si="310"/>
        <v>-127.26980282786926</v>
      </c>
      <c r="AV509" s="225"/>
      <c r="AX509">
        <f t="shared" si="311"/>
        <v>0</v>
      </c>
      <c r="AY509">
        <f t="shared" si="312"/>
        <v>0</v>
      </c>
    </row>
    <row r="510" spans="14:51" x14ac:dyDescent="0.2">
      <c r="N510" s="170">
        <v>92</v>
      </c>
      <c r="O510" s="199">
        <f t="shared" si="313"/>
        <v>831763.77110267128</v>
      </c>
      <c r="P510" s="189" t="str">
        <f t="shared" si="279"/>
        <v>1757.57575757576</v>
      </c>
      <c r="Q510" s="160" t="str">
        <f t="shared" si="280"/>
        <v>1+301373.260558377i</v>
      </c>
      <c r="R510" s="160">
        <f t="shared" si="288"/>
        <v>301373.26056003605</v>
      </c>
      <c r="S510" s="160">
        <f t="shared" si="289"/>
        <v>1.5707930086504862</v>
      </c>
      <c r="T510" s="160" t="str">
        <f t="shared" si="281"/>
        <v>1+1463.31525357825i</v>
      </c>
      <c r="U510" s="160">
        <f t="shared" si="290"/>
        <v>1463.3155952680809</v>
      </c>
      <c r="V510" s="160">
        <f t="shared" si="291"/>
        <v>1.5701129471595887</v>
      </c>
      <c r="W510" s="98" t="str">
        <f t="shared" si="282"/>
        <v>1-0.941791439244927i</v>
      </c>
      <c r="X510" s="160">
        <f t="shared" si="292"/>
        <v>1.3736706719716452</v>
      </c>
      <c r="Y510" s="160">
        <f t="shared" si="293"/>
        <v>-0.75543040605584022</v>
      </c>
      <c r="Z510" s="98" t="str">
        <f t="shared" si="283"/>
        <v>-275.732388367576-22.1394951200581i</v>
      </c>
      <c r="AA510" s="160">
        <f t="shared" si="294"/>
        <v>276.61978822755765</v>
      </c>
      <c r="AB510" s="160">
        <f t="shared" si="295"/>
        <v>-3.0614711254848563</v>
      </c>
      <c r="AC510" s="171" t="str">
        <f t="shared" si="296"/>
        <v>-0.0284048531566681+0.0314501351251128i</v>
      </c>
      <c r="AD510" s="190">
        <f t="shared" si="297"/>
        <v>-27.45706560738196</v>
      </c>
      <c r="AE510" s="169">
        <f t="shared" si="298"/>
        <v>132.08743595535688</v>
      </c>
      <c r="AF510" s="98" t="str">
        <f t="shared" si="284"/>
        <v>-0.0000114342530449913</v>
      </c>
      <c r="AG510" s="98" t="str">
        <f t="shared" si="285"/>
        <v>0.627396414971673i</v>
      </c>
      <c r="AH510" s="98">
        <f t="shared" si="299"/>
        <v>0.62739641497167298</v>
      </c>
      <c r="AI510" s="98">
        <f t="shared" si="300"/>
        <v>1.5707963267948966</v>
      </c>
      <c r="AJ510" s="98" t="str">
        <f t="shared" si="286"/>
        <v>1+5.7463441861227i</v>
      </c>
      <c r="AK510" s="98">
        <f t="shared" si="301"/>
        <v>5.832707047794031</v>
      </c>
      <c r="AL510" s="98">
        <f t="shared" si="302"/>
        <v>1.3984981193512298</v>
      </c>
      <c r="AM510" s="98" t="str">
        <f t="shared" si="287"/>
        <v>1+13796.9723908806i</v>
      </c>
      <c r="AN510" s="98">
        <f t="shared" si="303"/>
        <v>13796.972427120434</v>
      </c>
      <c r="AO510" s="98">
        <f t="shared" si="304"/>
        <v>1.5707238471254505</v>
      </c>
      <c r="AP510" s="168" t="str">
        <f t="shared" si="305"/>
        <v>-0.00738802429361559+0.0424723553722475i</v>
      </c>
      <c r="AQ510" s="98">
        <f t="shared" si="306"/>
        <v>-27.308412029498704</v>
      </c>
      <c r="AR510" s="169">
        <f t="shared" si="307"/>
        <v>99.86780732503189</v>
      </c>
      <c r="AS510" s="168" t="str">
        <f t="shared" si="308"/>
        <v>-0.00112590557036095-0.00143877537990834i</v>
      </c>
      <c r="AT510" s="190">
        <f t="shared" si="309"/>
        <v>-54.765477636880661</v>
      </c>
      <c r="AU510" s="169">
        <f t="shared" si="310"/>
        <v>-128.04475671961129</v>
      </c>
      <c r="AV510" s="225"/>
      <c r="AX510">
        <f t="shared" si="311"/>
        <v>0</v>
      </c>
      <c r="AY510">
        <f t="shared" si="312"/>
        <v>0</v>
      </c>
    </row>
    <row r="511" spans="14:51" x14ac:dyDescent="0.2">
      <c r="N511" s="170">
        <v>93</v>
      </c>
      <c r="O511" s="199">
        <f t="shared" si="313"/>
        <v>851138.03820237669</v>
      </c>
      <c r="P511" s="189" t="str">
        <f t="shared" si="279"/>
        <v>1757.57575757576</v>
      </c>
      <c r="Q511" s="160" t="str">
        <f t="shared" si="280"/>
        <v>1+308393.145590189i</v>
      </c>
      <c r="R511" s="160">
        <f t="shared" si="288"/>
        <v>308393.14559181023</v>
      </c>
      <c r="S511" s="160">
        <f t="shared" si="289"/>
        <v>1.5707930841806741</v>
      </c>
      <c r="T511" s="160" t="str">
        <f t="shared" si="281"/>
        <v>1+1497.40024448415i</v>
      </c>
      <c r="U511" s="160">
        <f t="shared" si="290"/>
        <v>1497.4005783961729</v>
      </c>
      <c r="V511" s="160">
        <f t="shared" si="291"/>
        <v>1.5701285027745515</v>
      </c>
      <c r="W511" s="98" t="str">
        <f t="shared" si="282"/>
        <v>1-0.963728579969339i</v>
      </c>
      <c r="X511" s="160">
        <f t="shared" si="292"/>
        <v>1.3888026410724164</v>
      </c>
      <c r="Y511" s="160">
        <f t="shared" si="293"/>
        <v>-0.76692957441726461</v>
      </c>
      <c r="Z511" s="98" t="str">
        <f t="shared" si="283"/>
        <v>-288.774384029997-22.6551902089894i</v>
      </c>
      <c r="AA511" s="160">
        <f t="shared" si="294"/>
        <v>289.66170357040585</v>
      </c>
      <c r="AB511" s="160">
        <f t="shared" si="295"/>
        <v>-3.0633001092291998</v>
      </c>
      <c r="AC511" s="171" t="str">
        <f t="shared" si="296"/>
        <v>-0.0271303078560517+0.0306283093764699i</v>
      </c>
      <c r="AD511" s="190">
        <f t="shared" si="297"/>
        <v>-27.762064267085513</v>
      </c>
      <c r="AE511" s="169">
        <f t="shared" si="298"/>
        <v>131.53426213320995</v>
      </c>
      <c r="AF511" s="98" t="str">
        <f t="shared" si="284"/>
        <v>-0.0000114342530449913</v>
      </c>
      <c r="AG511" s="98" t="str">
        <f t="shared" si="285"/>
        <v>0.642010354822581i</v>
      </c>
      <c r="AH511" s="98">
        <f t="shared" si="299"/>
        <v>0.64201035482258095</v>
      </c>
      <c r="AI511" s="98">
        <f t="shared" si="300"/>
        <v>1.5707963267948966</v>
      </c>
      <c r="AJ511" s="98" t="str">
        <f t="shared" si="286"/>
        <v>1+5.88019373689261i</v>
      </c>
      <c r="AK511" s="98">
        <f t="shared" si="301"/>
        <v>5.9646188799780893</v>
      </c>
      <c r="AL511" s="98">
        <f t="shared" si="302"/>
        <v>1.402345499734341</v>
      </c>
      <c r="AM511" s="98" t="str">
        <f t="shared" si="287"/>
        <v>1+14118.3451622791i</v>
      </c>
      <c r="AN511" s="98">
        <f t="shared" si="303"/>
        <v>14118.345197694014</v>
      </c>
      <c r="AO511" s="98">
        <f t="shared" si="304"/>
        <v>1.5707254969641458</v>
      </c>
      <c r="AP511" s="168" t="str">
        <f t="shared" si="305"/>
        <v>-0.00706485488199453+0.0415605255048989i</v>
      </c>
      <c r="AQ511" s="98">
        <f t="shared" si="306"/>
        <v>-27.502662723829886</v>
      </c>
      <c r="AR511" s="169">
        <f t="shared" si="307"/>
        <v>99.647463195692325</v>
      </c>
      <c r="AS511" s="168" t="str">
        <f t="shared" si="308"/>
        <v>-0.00108125694510587-0.00134393441263279i</v>
      </c>
      <c r="AT511" s="190">
        <f t="shared" si="309"/>
        <v>-55.264726990915392</v>
      </c>
      <c r="AU511" s="169">
        <f t="shared" si="310"/>
        <v>-128.81827467109767</v>
      </c>
      <c r="AV511" s="225"/>
      <c r="AX511">
        <f t="shared" si="311"/>
        <v>0</v>
      </c>
      <c r="AY511">
        <f t="shared" si="312"/>
        <v>0</v>
      </c>
    </row>
    <row r="512" spans="14:51" x14ac:dyDescent="0.2">
      <c r="N512" s="170">
        <v>94</v>
      </c>
      <c r="O512" s="199">
        <f t="shared" si="313"/>
        <v>870963.58995608077</v>
      </c>
      <c r="P512" s="189" t="str">
        <f t="shared" si="279"/>
        <v>1757.57575757576</v>
      </c>
      <c r="Q512" s="160" t="str">
        <f t="shared" si="280"/>
        <v>1+315576.544749859i</v>
      </c>
      <c r="R512" s="160">
        <f t="shared" si="288"/>
        <v>315576.54475144343</v>
      </c>
      <c r="S512" s="160">
        <f t="shared" si="289"/>
        <v>1.5707931579915853</v>
      </c>
      <c r="T512" s="160" t="str">
        <f t="shared" si="281"/>
        <v>1+1532.27917682012i</v>
      </c>
      <c r="U512" s="160">
        <f t="shared" si="290"/>
        <v>1532.2795031313785</v>
      </c>
      <c r="V512" s="160">
        <f t="shared" si="291"/>
        <v>1.5701437043008004</v>
      </c>
      <c r="W512" s="98" t="str">
        <f t="shared" si="282"/>
        <v>1-0.986176702343307i</v>
      </c>
      <c r="X512" s="160">
        <f t="shared" si="292"/>
        <v>1.4044730286640321</v>
      </c>
      <c r="Y512" s="160">
        <f t="shared" si="293"/>
        <v>-0.77843852357526477</v>
      </c>
      <c r="Z512" s="98" t="str">
        <f t="shared" si="283"/>
        <v>-302.431030011674-23.1828973796464i</v>
      </c>
      <c r="AA512" s="160">
        <f t="shared" si="294"/>
        <v>303.31827285021467</v>
      </c>
      <c r="AB512" s="160">
        <f t="shared" si="295"/>
        <v>-3.0650871140201517</v>
      </c>
      <c r="AC512" s="171" t="str">
        <f t="shared" si="296"/>
        <v>-0.0259127832907668+0.0298322664820493i</v>
      </c>
      <c r="AD512" s="190">
        <f t="shared" si="297"/>
        <v>-28.064756835792185</v>
      </c>
      <c r="AE512" s="169">
        <f t="shared" si="298"/>
        <v>130.97810250655962</v>
      </c>
      <c r="AF512" s="98" t="str">
        <f t="shared" si="284"/>
        <v>-0.0000114342530449913</v>
      </c>
      <c r="AG512" s="98" t="str">
        <f t="shared" si="285"/>
        <v>0.656964697061627i</v>
      </c>
      <c r="AH512" s="98">
        <f t="shared" si="299"/>
        <v>0.65696469706162697</v>
      </c>
      <c r="AI512" s="98">
        <f t="shared" si="300"/>
        <v>1.5707963267948966</v>
      </c>
      <c r="AJ512" s="98" t="str">
        <f t="shared" si="286"/>
        <v>1+6.01716104421538i</v>
      </c>
      <c r="AK512" s="98">
        <f t="shared" si="301"/>
        <v>6.0996907324898952</v>
      </c>
      <c r="AL512" s="98">
        <f t="shared" si="302"/>
        <v>1.4061101742056146</v>
      </c>
      <c r="AM512" s="98" t="str">
        <f t="shared" si="287"/>
        <v>1+14447.2036671611i</v>
      </c>
      <c r="AN512" s="98">
        <f t="shared" si="303"/>
        <v>14447.203701769875</v>
      </c>
      <c r="AO512" s="98">
        <f t="shared" si="304"/>
        <v>1.5707271092479276</v>
      </c>
      <c r="AP512" s="168" t="str">
        <f t="shared" si="305"/>
        <v>-0.00675543020650063+0.0406659161443923i</v>
      </c>
      <c r="AQ512" s="98">
        <f t="shared" si="306"/>
        <v>-27.697165065443116</v>
      </c>
      <c r="AR512" s="169">
        <f t="shared" si="307"/>
        <v>99.431855614303728</v>
      </c>
      <c r="AS512" s="168" t="str">
        <f t="shared" si="308"/>
        <v>-0.00103810444817923-0.00125529686649134i</v>
      </c>
      <c r="AT512" s="190">
        <f t="shared" si="309"/>
        <v>-55.761921901235326</v>
      </c>
      <c r="AU512" s="169">
        <f t="shared" si="310"/>
        <v>-129.59004187913672</v>
      </c>
      <c r="AV512" s="225"/>
      <c r="AX512">
        <f t="shared" si="311"/>
        <v>0</v>
      </c>
      <c r="AY512">
        <f t="shared" si="312"/>
        <v>0</v>
      </c>
    </row>
    <row r="513" spans="14:51" x14ac:dyDescent="0.2">
      <c r="N513" s="170">
        <v>95</v>
      </c>
      <c r="O513" s="199">
        <f t="shared" si="313"/>
        <v>891250.93813374708</v>
      </c>
      <c r="P513" s="189" t="str">
        <f t="shared" si="279"/>
        <v>1757.57575757576</v>
      </c>
      <c r="Q513" s="160" t="str">
        <f t="shared" si="280"/>
        <v>1+322927.266770705i</v>
      </c>
      <c r="R513" s="160">
        <f t="shared" si="288"/>
        <v>322927.26677225332</v>
      </c>
      <c r="S513" s="160">
        <f t="shared" si="289"/>
        <v>1.5707932301223548</v>
      </c>
      <c r="T513" s="160" t="str">
        <f t="shared" si="281"/>
        <v>1+1567.97054385776i</v>
      </c>
      <c r="U513" s="160">
        <f t="shared" si="290"/>
        <v>1567.9708627412692</v>
      </c>
      <c r="V513" s="160">
        <f t="shared" si="291"/>
        <v>1.5701585597983576</v>
      </c>
      <c r="W513" s="98" t="str">
        <f t="shared" si="282"/>
        <v>1-1.00914770865845i</v>
      </c>
      <c r="X513" s="160">
        <f t="shared" si="292"/>
        <v>1.4206966945448278</v>
      </c>
      <c r="Y513" s="160">
        <f t="shared" si="293"/>
        <v>-0.78995116137211807</v>
      </c>
      <c r="Z513" s="98" t="str">
        <f t="shared" si="283"/>
        <v>-316.731293889714-23.722896429356i</v>
      </c>
      <c r="AA513" s="160">
        <f t="shared" si="294"/>
        <v>317.61846348102989</v>
      </c>
      <c r="AB513" s="160">
        <f t="shared" si="295"/>
        <v>-3.0668331184625979</v>
      </c>
      <c r="AC513" s="171" t="str">
        <f t="shared" si="296"/>
        <v>-0.0247497435046581+0.0290609467163986i</v>
      </c>
      <c r="AD513" s="190">
        <f t="shared" si="297"/>
        <v>-28.365140910211785</v>
      </c>
      <c r="AE513" s="169">
        <f t="shared" si="298"/>
        <v>130.41936265982434</v>
      </c>
      <c r="AF513" s="98" t="str">
        <f t="shared" si="284"/>
        <v>-0.0000114342530449913</v>
      </c>
      <c r="AG513" s="98" t="str">
        <f t="shared" si="285"/>
        <v>0.672267370679013i</v>
      </c>
      <c r="AH513" s="98">
        <f t="shared" si="299"/>
        <v>0.67226737067901299</v>
      </c>
      <c r="AI513" s="98">
        <f t="shared" si="300"/>
        <v>1.5707963267948966</v>
      </c>
      <c r="AJ513" s="98" t="str">
        <f t="shared" si="286"/>
        <v>1+6.15731872997036i</v>
      </c>
      <c r="AK513" s="98">
        <f t="shared" si="301"/>
        <v>6.2379943846114356</v>
      </c>
      <c r="AL513" s="98">
        <f t="shared" si="302"/>
        <v>1.409793711783297</v>
      </c>
      <c r="AM513" s="98" t="str">
        <f t="shared" si="287"/>
        <v>1+14783.7222706588i</v>
      </c>
      <c r="AN513" s="98">
        <f t="shared" si="303"/>
        <v>14783.722304479781</v>
      </c>
      <c r="AO513" s="98">
        <f t="shared" si="304"/>
        <v>1.5707286848316504</v>
      </c>
      <c r="AP513" s="168" t="str">
        <f t="shared" si="305"/>
        <v>-0.00645919928951029+0.0397883572562008i</v>
      </c>
      <c r="AQ513" s="98">
        <f t="shared" si="306"/>
        <v>-27.891908337850527</v>
      </c>
      <c r="AR513" s="169">
        <f t="shared" si="307"/>
        <v>99.220894731722282</v>
      </c>
      <c r="AS513" s="168" t="str">
        <f t="shared" si="308"/>
        <v>-0.000996423804494633-0.00117246208294573i</v>
      </c>
      <c r="AT513" s="190">
        <f t="shared" si="309"/>
        <v>-56.257049248062302</v>
      </c>
      <c r="AU513" s="169">
        <f t="shared" si="310"/>
        <v>-130.35974260845336</v>
      </c>
      <c r="AV513" s="225"/>
      <c r="AX513">
        <f t="shared" si="311"/>
        <v>0</v>
      </c>
      <c r="AY513">
        <f t="shared" si="312"/>
        <v>0</v>
      </c>
    </row>
    <row r="514" spans="14:51" x14ac:dyDescent="0.2">
      <c r="N514" s="170">
        <v>96</v>
      </c>
      <c r="O514" s="199">
        <f t="shared" si="313"/>
        <v>912010.83935591124</v>
      </c>
      <c r="P514" s="189" t="str">
        <f t="shared" si="279"/>
        <v>1757.57575757576</v>
      </c>
      <c r="Q514" s="160" t="str">
        <f t="shared" si="280"/>
        <v>1+330449.20910284i</v>
      </c>
      <c r="R514" s="160">
        <f t="shared" si="288"/>
        <v>330449.20910435304</v>
      </c>
      <c r="S514" s="160">
        <f t="shared" si="289"/>
        <v>1.5707933006112278</v>
      </c>
      <c r="T514" s="160" t="str">
        <f t="shared" si="281"/>
        <v>1+1604.49326963228i</v>
      </c>
      <c r="U514" s="160">
        <f t="shared" si="290"/>
        <v>1604.4935812571159</v>
      </c>
      <c r="V514" s="160">
        <f t="shared" si="291"/>
        <v>1.5701730771437783</v>
      </c>
      <c r="W514" s="98" t="str">
        <f t="shared" si="282"/>
        <v>1-1.03265377844637i</v>
      </c>
      <c r="X514" s="160">
        <f t="shared" si="292"/>
        <v>1.4374887220912604</v>
      </c>
      <c r="Y514" s="160">
        <f t="shared" si="293"/>
        <v>-0.80146138588234883</v>
      </c>
      <c r="Z514" s="98" t="str">
        <f t="shared" si="283"/>
        <v>-331.70550844107-24.2754736727622i</v>
      </c>
      <c r="AA514" s="160">
        <f t="shared" si="294"/>
        <v>332.59260808410301</v>
      </c>
      <c r="AB514" s="160">
        <f t="shared" si="295"/>
        <v>-3.06853907735394</v>
      </c>
      <c r="AC514" s="171" t="str">
        <f t="shared" si="296"/>
        <v>-0.0236387639781679+0.0283133460946929i</v>
      </c>
      <c r="AD514" s="190">
        <f t="shared" si="297"/>
        <v>-28.663216513637128</v>
      </c>
      <c r="AE514" s="169">
        <f t="shared" si="298"/>
        <v>129.85844736254418</v>
      </c>
      <c r="AF514" s="98" t="str">
        <f t="shared" si="284"/>
        <v>-0.0000114342530449913</v>
      </c>
      <c r="AG514" s="98" t="str">
        <f t="shared" si="285"/>
        <v>0.687926489354842i</v>
      </c>
      <c r="AH514" s="98">
        <f t="shared" si="299"/>
        <v>0.68792648935484202</v>
      </c>
      <c r="AI514" s="98">
        <f t="shared" si="300"/>
        <v>1.5707963267948966</v>
      </c>
      <c r="AJ514" s="98" t="str">
        <f t="shared" si="286"/>
        <v>1+6.3007411076177i</v>
      </c>
      <c r="AK514" s="98">
        <f t="shared" si="301"/>
        <v>6.3796033187983969</v>
      </c>
      <c r="AL514" s="98">
        <f t="shared" si="302"/>
        <v>1.4133976654860723</v>
      </c>
      <c r="AM514" s="98" t="str">
        <f t="shared" si="287"/>
        <v>1+15128.0793993901i</v>
      </c>
      <c r="AN514" s="98">
        <f t="shared" si="303"/>
        <v>15128.079432441222</v>
      </c>
      <c r="AO514" s="98">
        <f t="shared" si="304"/>
        <v>1.5707302245507093</v>
      </c>
      <c r="AP514" s="168" t="str">
        <f t="shared" si="305"/>
        <v>-0.00617563034666502+0.0389276693204651i</v>
      </c>
      <c r="AQ514" s="98">
        <f t="shared" si="306"/>
        <v>-28.086882255325889</v>
      </c>
      <c r="AR514" s="169">
        <f t="shared" si="307"/>
        <v>99.014491614396462</v>
      </c>
      <c r="AS514" s="168" t="str">
        <f t="shared" si="308"/>
        <v>-0.000956188305948861-0.00109505474664466i</v>
      </c>
      <c r="AT514" s="190">
        <f t="shared" si="309"/>
        <v>-56.750098768963007</v>
      </c>
      <c r="AU514" s="169">
        <f t="shared" si="310"/>
        <v>-131.12706102305927</v>
      </c>
      <c r="AV514" s="225"/>
      <c r="AX514">
        <f t="shared" si="311"/>
        <v>0</v>
      </c>
      <c r="AY514">
        <f t="shared" si="312"/>
        <v>0</v>
      </c>
    </row>
    <row r="515" spans="14:51" x14ac:dyDescent="0.2">
      <c r="N515" s="170">
        <v>97</v>
      </c>
      <c r="O515" s="199">
        <f t="shared" si="313"/>
        <v>933254.30079699249</v>
      </c>
      <c r="P515" s="189" t="str">
        <f t="shared" si="279"/>
        <v>1757.57575757576</v>
      </c>
      <c r="Q515" s="160" t="str">
        <f t="shared" si="280"/>
        <v>1+338146.359979654i</v>
      </c>
      <c r="R515" s="160">
        <f t="shared" si="288"/>
        <v>338146.35998113267</v>
      </c>
      <c r="S515" s="160">
        <f t="shared" si="289"/>
        <v>1.5707933694955778</v>
      </c>
      <c r="T515" s="160" t="str">
        <f t="shared" si="281"/>
        <v>1+1641.86671897635i</v>
      </c>
      <c r="U515" s="160">
        <f t="shared" si="290"/>
        <v>1641.86702350774</v>
      </c>
      <c r="V515" s="160">
        <f t="shared" si="291"/>
        <v>1.5701872640343268</v>
      </c>
      <c r="W515" s="98" t="str">
        <f t="shared" si="282"/>
        <v>1-1.05670737493642i</v>
      </c>
      <c r="X515" s="160">
        <f t="shared" si="292"/>
        <v>1.4548644185095119</v>
      </c>
      <c r="Y515" s="160">
        <f t="shared" si="293"/>
        <v>-0.81296310157187424</v>
      </c>
      <c r="Z515" s="98" t="str">
        <f t="shared" si="283"/>
        <v>-347.385435982434-24.8409220936335i</v>
      </c>
      <c r="AA515" s="160">
        <f t="shared" si="294"/>
        <v>348.27246882745084</v>
      </c>
      <c r="AB515" s="160">
        <f t="shared" si="295"/>
        <v>-3.0702059223275349</v>
      </c>
      <c r="AC515" s="171" t="str">
        <f t="shared" si="296"/>
        <v>-0.0225775268537209+0.0275885129874471i</v>
      </c>
      <c r="AD515" s="190">
        <f t="shared" si="297"/>
        <v>-28.958986097395059</v>
      </c>
      <c r="AE515" s="169">
        <f t="shared" si="298"/>
        <v>129.29575968063489</v>
      </c>
      <c r="AF515" s="98" t="str">
        <f t="shared" si="284"/>
        <v>-0.0000114342530449913</v>
      </c>
      <c r="AG515" s="98" t="str">
        <f t="shared" si="285"/>
        <v>0.70395035576111i</v>
      </c>
      <c r="AH515" s="98">
        <f t="shared" si="299"/>
        <v>0.70395035576110998</v>
      </c>
      <c r="AI515" s="98">
        <f t="shared" si="300"/>
        <v>1.5707963267948966</v>
      </c>
      <c r="AJ515" s="98" t="str">
        <f t="shared" si="286"/>
        <v>1+6.44750422160047i</v>
      </c>
      <c r="AK515" s="98">
        <f t="shared" si="301"/>
        <v>6.5245927602844214</v>
      </c>
      <c r="AL515" s="98">
        <f t="shared" si="302"/>
        <v>1.4169235715079889</v>
      </c>
      <c r="AM515" s="98" t="str">
        <f t="shared" si="287"/>
        <v>1+15480.4576360627i</v>
      </c>
      <c r="AN515" s="98">
        <f t="shared" si="303"/>
        <v>15480.457668361487</v>
      </c>
      <c r="AO515" s="98">
        <f t="shared" si="304"/>
        <v>1.5707317292214837</v>
      </c>
      <c r="AP515" s="168" t="str">
        <f t="shared" si="305"/>
        <v>-0.00590421037344044+0.0380836642900988i</v>
      </c>
      <c r="AQ515" s="98">
        <f t="shared" si="306"/>
        <v>-28.282076947795805</v>
      </c>
      <c r="AR515" s="169">
        <f t="shared" si="307"/>
        <v>98.812558291665795</v>
      </c>
      <c r="AS515" s="168" t="str">
        <f t="shared" si="308"/>
        <v>-0.000917369198620597-0.00102272333776608i</v>
      </c>
      <c r="AT515" s="190">
        <f t="shared" si="309"/>
        <v>-57.241063045190863</v>
      </c>
      <c r="AU515" s="169">
        <f t="shared" si="310"/>
        <v>-131.89168202769929</v>
      </c>
      <c r="AV515" s="225"/>
      <c r="AX515">
        <f t="shared" si="311"/>
        <v>0</v>
      </c>
      <c r="AY515">
        <f t="shared" si="312"/>
        <v>0</v>
      </c>
    </row>
    <row r="516" spans="14:51" x14ac:dyDescent="0.2">
      <c r="N516" s="170">
        <v>98</v>
      </c>
      <c r="O516" s="199">
        <f t="shared" si="313"/>
        <v>954992.58602143743</v>
      </c>
      <c r="P516" s="189" t="str">
        <f t="shared" si="279"/>
        <v>1757.57575757576</v>
      </c>
      <c r="Q516" s="160" t="str">
        <f t="shared" si="280"/>
        <v>1+346022.800532425i</v>
      </c>
      <c r="R516" s="160">
        <f t="shared" si="288"/>
        <v>346022.80053387</v>
      </c>
      <c r="S516" s="160">
        <f t="shared" si="289"/>
        <v>1.570793436811929</v>
      </c>
      <c r="T516" s="160" t="str">
        <f t="shared" si="281"/>
        <v>1+1680.11070778749i</v>
      </c>
      <c r="U516" s="160">
        <f t="shared" si="290"/>
        <v>1680.1110053868999</v>
      </c>
      <c r="V516" s="160">
        <f t="shared" si="291"/>
        <v>1.5702011279920571</v>
      </c>
      <c r="W516" s="98" t="str">
        <f t="shared" si="282"/>
        <v>1-1.08132125166382i</v>
      </c>
      <c r="X516" s="160">
        <f t="shared" si="292"/>
        <v>1.4728393155058737</v>
      </c>
      <c r="Y516" s="160">
        <f t="shared" si="293"/>
        <v>-0.82445023541586104</v>
      </c>
      <c r="Z516" s="98" t="str">
        <f t="shared" si="283"/>
        <v>-363.804335742365-25.4195415002073i</v>
      </c>
      <c r="AA516" s="160">
        <f t="shared" si="294"/>
        <v>364.69130479766613</v>
      </c>
      <c r="AB516" s="160">
        <f t="shared" si="295"/>
        <v>-3.0718345624747845</v>
      </c>
      <c r="AC516" s="171" t="str">
        <f t="shared" si="296"/>
        <v>-0.0215638163543883+0.0268855449541712i</v>
      </c>
      <c r="AD516" s="190">
        <f t="shared" si="297"/>
        <v>-29.252454531968276</v>
      </c>
      <c r="AE516" s="169">
        <f t="shared" si="298"/>
        <v>128.7317000887779</v>
      </c>
      <c r="AF516" s="98" t="str">
        <f t="shared" si="284"/>
        <v>-0.0000114342530449913</v>
      </c>
      <c r="AG516" s="98" t="str">
        <f t="shared" si="285"/>
        <v>0.720347465963888i</v>
      </c>
      <c r="AH516" s="98">
        <f t="shared" si="299"/>
        <v>0.72034746596388799</v>
      </c>
      <c r="AI516" s="98">
        <f t="shared" si="300"/>
        <v>1.5707963267948966</v>
      </c>
      <c r="AJ516" s="98" t="str">
        <f t="shared" si="286"/>
        <v>1+6.59768588766434i</v>
      </c>
      <c r="AK516" s="98">
        <f t="shared" si="301"/>
        <v>6.6730397175713847</v>
      </c>
      <c r="AL516" s="98">
        <f t="shared" si="302"/>
        <v>1.420372948478561</v>
      </c>
      <c r="AM516" s="98" t="str">
        <f t="shared" si="287"/>
        <v>1+15841.0438162821i</v>
      </c>
      <c r="AN516" s="98">
        <f t="shared" si="303"/>
        <v>15841.043847845674</v>
      </c>
      <c r="AO516" s="98">
        <f t="shared" si="304"/>
        <v>1.5707331996417702</v>
      </c>
      <c r="AP516" s="168" t="str">
        <f t="shared" si="305"/>
        <v>-0.00564444471589113+0.0372561464924476i</v>
      </c>
      <c r="AQ516" s="98">
        <f t="shared" si="306"/>
        <v>-28.477482946065734</v>
      </c>
      <c r="AR516" s="169">
        <f t="shared" si="307"/>
        <v>98.615007798178908</v>
      </c>
      <c r="AS516" s="168" t="str">
        <f t="shared" si="308"/>
        <v>-0.000879936032065914-0.000955138673185753i</v>
      </c>
      <c r="AT516" s="190">
        <f t="shared" si="309"/>
        <v>-57.72993747803401</v>
      </c>
      <c r="AU516" s="169">
        <f t="shared" si="310"/>
        <v>-132.65329211304319</v>
      </c>
      <c r="AV516" s="225"/>
      <c r="AX516">
        <f t="shared" si="311"/>
        <v>0</v>
      </c>
      <c r="AY516">
        <f t="shared" si="312"/>
        <v>0</v>
      </c>
    </row>
    <row r="517" spans="14:51" x14ac:dyDescent="0.2">
      <c r="N517" s="170">
        <v>99</v>
      </c>
      <c r="O517" s="199">
        <f t="shared" si="313"/>
        <v>977237.22095581202</v>
      </c>
      <c r="P517" s="189" t="str">
        <f t="shared" si="279"/>
        <v>1757.57575757576</v>
      </c>
      <c r="Q517" s="160" t="str">
        <f t="shared" si="280"/>
        <v>1+354082.706954192i</v>
      </c>
      <c r="R517" s="160">
        <f t="shared" si="288"/>
        <v>354082.70695560408</v>
      </c>
      <c r="S517" s="160">
        <f t="shared" si="289"/>
        <v>1.5707935025959725</v>
      </c>
      <c r="T517" s="160" t="str">
        <f t="shared" si="281"/>
        <v>1+1719.2455135348i</v>
      </c>
      <c r="U517" s="160">
        <f t="shared" si="290"/>
        <v>1719.2458043600218</v>
      </c>
      <c r="V517" s="160">
        <f t="shared" si="291"/>
        <v>1.5702146763678022</v>
      </c>
      <c r="W517" s="98" t="str">
        <f t="shared" si="282"/>
        <v>1-1.10650845923185i</v>
      </c>
      <c r="X517" s="160">
        <f t="shared" si="292"/>
        <v>1.4914291704105971</v>
      </c>
      <c r="Y517" s="160">
        <f t="shared" si="293"/>
        <v>-0.83591675287159872</v>
      </c>
      <c r="Z517" s="98" t="str">
        <f t="shared" si="283"/>
        <v>-380.997034408576-26.0116386841519i</v>
      </c>
      <c r="AA517" s="160">
        <f t="shared" si="294"/>
        <v>381.88394254690058</v>
      </c>
      <c r="AB517" s="160">
        <f t="shared" si="295"/>
        <v>-3.0734258849468166</v>
      </c>
      <c r="AC517" s="171" t="str">
        <f t="shared" si="296"/>
        <v>-0.020595514389091+0.0262035857814597i</v>
      </c>
      <c r="AD517" s="190">
        <f t="shared" si="297"/>
        <v>-29.543629087868425</v>
      </c>
      <c r="AE517" s="169">
        <f t="shared" si="298"/>
        <v>128.16666558994433</v>
      </c>
      <c r="AF517" s="98" t="str">
        <f t="shared" si="284"/>
        <v>-0.0000114342530449913</v>
      </c>
      <c r="AG517" s="98" t="str">
        <f t="shared" si="285"/>
        <v>0.737126513928045i</v>
      </c>
      <c r="AH517" s="98">
        <f t="shared" si="299"/>
        <v>0.73712651392804496</v>
      </c>
      <c r="AI517" s="98">
        <f t="shared" si="300"/>
        <v>1.5707963267948966</v>
      </c>
      <c r="AJ517" s="98" t="str">
        <f t="shared" si="286"/>
        <v>1+6.75136573411654i</v>
      </c>
      <c r="AK517" s="98">
        <f t="shared" si="301"/>
        <v>6.8250230238295133</v>
      </c>
      <c r="AL517" s="98">
        <f t="shared" si="302"/>
        <v>1.4237472968029818</v>
      </c>
      <c r="AM517" s="98" t="str">
        <f t="shared" si="287"/>
        <v>1+16210.0291276138i</v>
      </c>
      <c r="AN517" s="98">
        <f t="shared" si="303"/>
        <v>16210.029158458899</v>
      </c>
      <c r="AO517" s="98">
        <f t="shared" si="304"/>
        <v>1.5707346365912049</v>
      </c>
      <c r="AP517" s="168" t="str">
        <f t="shared" si="305"/>
        <v>-0.00539585662869219+0.0364449134766617i</v>
      </c>
      <c r="AQ517" s="98">
        <f t="shared" si="306"/>
        <v>-28.673091167393356</v>
      </c>
      <c r="AR517" s="169">
        <f t="shared" si="307"/>
        <v>98.421754211720511</v>
      </c>
      <c r="AS517" s="168" t="str">
        <f t="shared" si="308"/>
        <v>-0.000843856973745879-0.000891992531952156i</v>
      </c>
      <c r="AT517" s="190">
        <f t="shared" si="309"/>
        <v>-58.216720255261791</v>
      </c>
      <c r="AU517" s="169">
        <f t="shared" si="310"/>
        <v>-133.41158019833514</v>
      </c>
      <c r="AV517" s="225"/>
      <c r="AX517">
        <f t="shared" si="311"/>
        <v>0</v>
      </c>
      <c r="AY517">
        <f t="shared" si="312"/>
        <v>0</v>
      </c>
    </row>
    <row r="518" spans="14:51" x14ac:dyDescent="0.2">
      <c r="N518" s="170">
        <v>100</v>
      </c>
      <c r="O518" s="199">
        <f t="shared" si="313"/>
        <v>1000000</v>
      </c>
      <c r="P518" s="189" t="str">
        <f t="shared" si="279"/>
        <v>1757.57575757576</v>
      </c>
      <c r="Q518" s="160" t="str">
        <f t="shared" si="280"/>
        <v>1+362330.352714024i</v>
      </c>
      <c r="R518" s="160">
        <f t="shared" si="288"/>
        <v>362330.35271540395</v>
      </c>
      <c r="S518" s="160">
        <f t="shared" si="289"/>
        <v>1.5707935668825888</v>
      </c>
      <c r="T518" s="160" t="str">
        <f t="shared" si="281"/>
        <v>1+1759.29188601029i</v>
      </c>
      <c r="U518" s="160">
        <f t="shared" si="290"/>
        <v>1759.2921702155224</v>
      </c>
      <c r="V518" s="160">
        <f t="shared" si="291"/>
        <v>1.5702279163450701</v>
      </c>
      <c r="W518" s="98" t="str">
        <f t="shared" si="282"/>
        <v>1-1.13228235223132i</v>
      </c>
      <c r="X518" s="160">
        <f t="shared" si="292"/>
        <v>1.5106499677868765</v>
      </c>
      <c r="Y518" s="160">
        <f t="shared" si="293"/>
        <v>-0.84735667360414679</v>
      </c>
      <c r="Z518" s="98" t="str">
        <f t="shared" si="283"/>
        <v>-399.000000000001-26.6175275832315i</v>
      </c>
      <c r="AA518" s="160">
        <f t="shared" si="294"/>
        <v>399.88684996464303</v>
      </c>
      <c r="AB518" s="160">
        <f t="shared" si="295"/>
        <v>-3.0749807555366142</v>
      </c>
      <c r="AC518" s="171" t="str">
        <f t="shared" si="296"/>
        <v>-0.0196705963377188+0.0255418227119617i</v>
      </c>
      <c r="AD518" s="190">
        <f t="shared" si="297"/>
        <v>-29.83251940643671</v>
      </c>
      <c r="AE518" s="169">
        <f t="shared" si="298"/>
        <v>127.60104884795598</v>
      </c>
      <c r="AF518" s="98" t="str">
        <f t="shared" si="284"/>
        <v>-0.0000114342530449913</v>
      </c>
      <c r="AG518" s="98" t="str">
        <f t="shared" si="285"/>
        <v>0.754296396126909i</v>
      </c>
      <c r="AH518" s="98">
        <f t="shared" si="299"/>
        <v>0.75429639612690902</v>
      </c>
      <c r="AI518" s="98">
        <f t="shared" si="300"/>
        <v>1.5707963267948966</v>
      </c>
      <c r="AJ518" s="98" t="str">
        <f t="shared" si="286"/>
        <v>1+6.90862524404586i</v>
      </c>
      <c r="AK518" s="98">
        <f t="shared" si="301"/>
        <v>6.9806233792310923</v>
      </c>
      <c r="AL518" s="98">
        <f t="shared" si="302"/>
        <v>1.4270480980775704</v>
      </c>
      <c r="AM518" s="98" t="str">
        <f t="shared" si="287"/>
        <v>1+16587.6092109541i</v>
      </c>
      <c r="AN518" s="98">
        <f t="shared" si="303"/>
        <v>16587.609241097078</v>
      </c>
      <c r="AO518" s="98">
        <f t="shared" si="304"/>
        <v>1.5707360408316773</v>
      </c>
      <c r="AP518" s="168" t="str">
        <f t="shared" si="305"/>
        <v>-0.00515798682332008+0.0356497568089702i</v>
      </c>
      <c r="AQ518" s="98">
        <f t="shared" si="306"/>
        <v>-28.868892901417379</v>
      </c>
      <c r="AR518" s="169">
        <f t="shared" si="307"/>
        <v>98.232712686727723</v>
      </c>
      <c r="AS518" s="168" t="str">
        <f t="shared" si="308"/>
        <v>-0.000809099091422465-0.000832996360718971i</v>
      </c>
      <c r="AT518" s="190">
        <f t="shared" si="309"/>
        <v>-58.701412307854085</v>
      </c>
      <c r="AU518" s="169">
        <f t="shared" si="310"/>
        <v>-134.1662384653163</v>
      </c>
      <c r="AV518" s="225"/>
      <c r="AX518">
        <f t="shared" si="311"/>
        <v>0</v>
      </c>
      <c r="AY518">
        <f t="shared" si="312"/>
        <v>0</v>
      </c>
    </row>
    <row r="519" spans="14:51" x14ac:dyDescent="0.2">
      <c r="N519" s="170">
        <v>1</v>
      </c>
      <c r="O519" s="199">
        <f>10^(6+(N519/100))</f>
        <v>1023292.9922807553</v>
      </c>
      <c r="P519" s="189" t="str">
        <f t="shared" si="279"/>
        <v>1757.57575757576</v>
      </c>
      <c r="Q519" s="160" t="str">
        <f t="shared" si="280"/>
        <v>1+370770.110822875i</v>
      </c>
      <c r="R519" s="160">
        <f t="shared" si="288"/>
        <v>370770.11082422349</v>
      </c>
      <c r="S519" s="160">
        <f t="shared" si="289"/>
        <v>1.5707936297058627</v>
      </c>
      <c r="T519" s="160" t="str">
        <f t="shared" si="281"/>
        <v>1+1800.27105833072i</v>
      </c>
      <c r="U519" s="160">
        <f t="shared" si="290"/>
        <v>1800.2713360666528</v>
      </c>
      <c r="V519" s="160">
        <f t="shared" si="291"/>
        <v>1.5702408549438536</v>
      </c>
      <c r="W519" s="98" t="str">
        <f t="shared" si="282"/>
        <v>1-1.15865659632148i</v>
      </c>
      <c r="X519" s="160">
        <f t="shared" si="292"/>
        <v>1.5305179215544251</v>
      </c>
      <c r="Y519" s="160">
        <f t="shared" si="293"/>
        <v>-0.85876408686586814</v>
      </c>
      <c r="Z519" s="98" t="str">
        <f t="shared" si="283"/>
        <v>-417.851419220362-27.2375294477606i</v>
      </c>
      <c r="AA519" s="160">
        <f t="shared" si="294"/>
        <v>418.73821363100882</v>
      </c>
      <c r="AB519" s="160">
        <f t="shared" si="295"/>
        <v>-3.0765000192424332</v>
      </c>
      <c r="AC519" s="171" t="str">
        <f t="shared" si="296"/>
        <v>-0.0187871270096842+0.0248994838516047i</v>
      </c>
      <c r="AD519" s="190">
        <f t="shared" si="297"/>
        <v>-30.119137460832693</v>
      </c>
      <c r="AE519" s="169">
        <f t="shared" si="298"/>
        <v>127.03523733880333</v>
      </c>
      <c r="AF519" s="98" t="str">
        <f t="shared" si="284"/>
        <v>-0.0000114342530449913</v>
      </c>
      <c r="AG519" s="98" t="str">
        <f t="shared" si="285"/>
        <v>0.771866216259295i</v>
      </c>
      <c r="AH519" s="98">
        <f t="shared" si="299"/>
        <v>0.77186621625929497</v>
      </c>
      <c r="AI519" s="98">
        <f t="shared" si="300"/>
        <v>1.5707963267948966</v>
      </c>
      <c r="AJ519" s="98" t="str">
        <f t="shared" si="286"/>
        <v>1+7.06954779852606i</v>
      </c>
      <c r="AK519" s="98">
        <f t="shared" si="301"/>
        <v>7.1399233942420324</v>
      </c>
      <c r="AL519" s="98">
        <f t="shared" si="302"/>
        <v>1.4302768145757812</v>
      </c>
      <c r="AM519" s="98" t="str">
        <f t="shared" si="287"/>
        <v>1+16973.984264261i</v>
      </c>
      <c r="AN519" s="98">
        <f t="shared" si="303"/>
        <v>16973.98429371784</v>
      </c>
      <c r="AO519" s="98">
        <f t="shared" si="304"/>
        <v>1.5707374131077343</v>
      </c>
      <c r="AP519" s="168" t="str">
        <f t="shared" si="305"/>
        <v>-0.00493039300894953+0.0348704628180482i</v>
      </c>
      <c r="AQ519" s="98">
        <f t="shared" si="306"/>
        <v>-29.064879796449024</v>
      </c>
      <c r="AR519" s="169">
        <f t="shared" si="307"/>
        <v>98.047799483762361</v>
      </c>
      <c r="AS519" s="168" t="str">
        <f t="shared" si="308"/>
        <v>-0.00077562860616918-0.000777880054957546i</v>
      </c>
      <c r="AT519" s="190">
        <f t="shared" si="309"/>
        <v>-59.18401725728171</v>
      </c>
      <c r="AU519" s="169">
        <f t="shared" si="310"/>
        <v>-134.9169631774343</v>
      </c>
      <c r="AV519" s="225"/>
      <c r="AX519">
        <f t="shared" si="311"/>
        <v>0</v>
      </c>
      <c r="AY519">
        <f t="shared" si="312"/>
        <v>0</v>
      </c>
    </row>
    <row r="520" spans="14:51" x14ac:dyDescent="0.2">
      <c r="N520" s="170">
        <v>2</v>
      </c>
      <c r="O520" s="199">
        <f t="shared" ref="O520:O560" si="314">10^(6+(N520/100))</f>
        <v>1047128.5480509007</v>
      </c>
      <c r="P520" s="189" t="str">
        <f t="shared" si="279"/>
        <v>1757.57575757576</v>
      </c>
      <c r="Q520" s="160" t="str">
        <f t="shared" si="280"/>
        <v>1+379406.456152206i</v>
      </c>
      <c r="R520" s="160">
        <f t="shared" si="288"/>
        <v>379406.45615352382</v>
      </c>
      <c r="S520" s="160">
        <f t="shared" si="289"/>
        <v>1.5707936910991045</v>
      </c>
      <c r="T520" s="160" t="str">
        <f t="shared" si="281"/>
        <v>1+1842.20475819568i</v>
      </c>
      <c r="U520" s="160">
        <f t="shared" si="290"/>
        <v>1842.2050296095717</v>
      </c>
      <c r="V520" s="160">
        <f t="shared" si="291"/>
        <v>1.5702534990243513</v>
      </c>
      <c r="W520" s="98" t="str">
        <f t="shared" si="282"/>
        <v>1-1.18564517547564i</v>
      </c>
      <c r="X520" s="160">
        <f t="shared" si="292"/>
        <v>1.5510494776533279</v>
      </c>
      <c r="Y520" s="160">
        <f t="shared" si="293"/>
        <v>-0.87013316643460026</v>
      </c>
      <c r="Z520" s="98" t="str">
        <f t="shared" si="283"/>
        <v>-437.591278457276-27.871973010934i</v>
      </c>
      <c r="AA520" s="160">
        <f t="shared" si="294"/>
        <v>438.47801981558382</v>
      </c>
      <c r="AB520" s="160">
        <f t="shared" si="295"/>
        <v>-3.0779845008132898</v>
      </c>
      <c r="AC520" s="171" t="str">
        <f t="shared" si="296"/>
        <v>-0.0179432567695733+0.0242758357432775i</v>
      </c>
      <c r="AD520" s="190">
        <f t="shared" si="297"/>
        <v>-30.403497507559383</v>
      </c>
      <c r="AE520" s="169">
        <f t="shared" si="298"/>
        <v>126.46961252621617</v>
      </c>
      <c r="AF520" s="98" t="str">
        <f t="shared" si="284"/>
        <v>-0.0000114342530449913</v>
      </c>
      <c r="AG520" s="98" t="str">
        <f t="shared" si="285"/>
        <v>0.789845290076398i</v>
      </c>
      <c r="AH520" s="98">
        <f t="shared" si="299"/>
        <v>0.78984529007639803</v>
      </c>
      <c r="AI520" s="98">
        <f t="shared" si="300"/>
        <v>1.5707963267948966</v>
      </c>
      <c r="AJ520" s="98" t="str">
        <f t="shared" si="286"/>
        <v>1+7.23421872082554i</v>
      </c>
      <c r="AK520" s="98">
        <f t="shared" si="301"/>
        <v>7.3030076338959624</v>
      </c>
      <c r="AL520" s="98">
        <f t="shared" si="302"/>
        <v>1.4334348888003039</v>
      </c>
      <c r="AM520" s="98" t="str">
        <f t="shared" si="287"/>
        <v>1+17369.3591487021i</v>
      </c>
      <c r="AN520" s="98">
        <f t="shared" si="303"/>
        <v>17369.359177488423</v>
      </c>
      <c r="AO520" s="98">
        <f t="shared" si="304"/>
        <v>1.5707387541469748</v>
      </c>
      <c r="AP520" s="168" t="str">
        <f t="shared" si="305"/>
        <v>-0.004712649428398+0.034106813292661i</v>
      </c>
      <c r="AQ520" s="98">
        <f t="shared" si="306"/>
        <v>-29.26104384613091</v>
      </c>
      <c r="AR520" s="169">
        <f t="shared" si="307"/>
        <v>97.866931995196779</v>
      </c>
      <c r="AS520" s="168" t="str">
        <f t="shared" si="308"/>
        <v>-0.000743411118460544-0.000726390811941552i</v>
      </c>
      <c r="AT520" s="190">
        <f t="shared" si="309"/>
        <v>-59.664541353690296</v>
      </c>
      <c r="AU520" s="169">
        <f t="shared" si="310"/>
        <v>-135.66345547858708</v>
      </c>
      <c r="AV520" s="225"/>
      <c r="AX520">
        <f t="shared" si="311"/>
        <v>0</v>
      </c>
      <c r="AY520">
        <f t="shared" si="312"/>
        <v>0</v>
      </c>
    </row>
    <row r="521" spans="14:51" x14ac:dyDescent="0.2">
      <c r="N521" s="170">
        <v>3</v>
      </c>
      <c r="O521" s="199">
        <f t="shared" si="314"/>
        <v>1071519.3052376076</v>
      </c>
      <c r="P521" s="189" t="str">
        <f t="shared" si="279"/>
        <v>1757.57575757576</v>
      </c>
      <c r="Q521" s="160" t="str">
        <f t="shared" si="280"/>
        <v>1+388243.967806628i</v>
      </c>
      <c r="R521" s="160">
        <f t="shared" si="288"/>
        <v>388243.96780791582</v>
      </c>
      <c r="S521" s="160">
        <f t="shared" si="289"/>
        <v>1.5707937510948653</v>
      </c>
      <c r="T521" s="160" t="str">
        <f t="shared" si="281"/>
        <v>1+1885.1152194079i</v>
      </c>
      <c r="U521" s="160">
        <f t="shared" si="290"/>
        <v>1885.1154846436584</v>
      </c>
      <c r="V521" s="160">
        <f t="shared" si="291"/>
        <v>1.5702658552906061</v>
      </c>
      <c r="W521" s="98" t="str">
        <f t="shared" si="282"/>
        <v>1-1.21326239939571i</v>
      </c>
      <c r="X521" s="160">
        <f t="shared" si="292"/>
        <v>1.572261317271221</v>
      </c>
      <c r="Y521" s="160">
        <f t="shared" si="293"/>
        <v>-0.88145818502078177</v>
      </c>
      <c r="Z521" s="98" t="str">
        <f t="shared" si="283"/>
        <v>-458.261448598754-28.5211946631271i</v>
      </c>
      <c r="AA521" s="160">
        <f t="shared" si="294"/>
        <v>459.14813929367114</v>
      </c>
      <c r="AB521" s="160">
        <f t="shared" si="295"/>
        <v>-3.0794350052772561</v>
      </c>
      <c r="AC521" s="171" t="str">
        <f t="shared" si="296"/>
        <v>-0.0171372178237034+0.0236701810959703i</v>
      </c>
      <c r="AD521" s="190">
        <f t="shared" si="297"/>
        <v>-30.685616028952456</v>
      </c>
      <c r="AE521" s="169">
        <f t="shared" si="298"/>
        <v>125.90454906667399</v>
      </c>
      <c r="AF521" s="98" t="str">
        <f t="shared" si="284"/>
        <v>-0.0000114342530449913</v>
      </c>
      <c r="AG521" s="98" t="str">
        <f t="shared" si="285"/>
        <v>0.808243150321137i</v>
      </c>
      <c r="AH521" s="98">
        <f t="shared" si="299"/>
        <v>0.80824315032113703</v>
      </c>
      <c r="AI521" s="98">
        <f t="shared" si="300"/>
        <v>1.5707963267948966</v>
      </c>
      <c r="AJ521" s="98" t="str">
        <f t="shared" si="286"/>
        <v>1+7.40272532164701i</v>
      </c>
      <c r="AK521" s="98">
        <f t="shared" si="301"/>
        <v>7.4699626630762914</v>
      </c>
      <c r="AL521" s="98">
        <f t="shared" si="302"/>
        <v>1.4365237430969826</v>
      </c>
      <c r="AM521" s="98" t="str">
        <f t="shared" si="287"/>
        <v>1+17773.9434972745i</v>
      </c>
      <c r="AN521" s="98">
        <f t="shared" si="303"/>
        <v>17773.943525405564</v>
      </c>
      <c r="AO521" s="98">
        <f t="shared" si="304"/>
        <v>1.5707400646604357</v>
      </c>
      <c r="AP521" s="168" t="str">
        <f t="shared" si="305"/>
        <v>-0.00450434639121642+0.0333585861337497i</v>
      </c>
      <c r="AQ521" s="98">
        <f t="shared" si="306"/>
        <v>-29.457377376466759</v>
      </c>
      <c r="AR521" s="169">
        <f t="shared" si="307"/>
        <v>97.690028767356551</v>
      </c>
      <c r="AS521" s="168" t="str">
        <f t="shared" si="308"/>
        <v>-0.000712411809631691-0.000678292051663913i</v>
      </c>
      <c r="AT521" s="190">
        <f t="shared" si="309"/>
        <v>-60.142993405419212</v>
      </c>
      <c r="AU521" s="169">
        <f t="shared" si="310"/>
        <v>-136.40542216596947</v>
      </c>
      <c r="AV521" s="225"/>
      <c r="AX521">
        <f t="shared" si="311"/>
        <v>0</v>
      </c>
      <c r="AY521">
        <f t="shared" si="312"/>
        <v>0</v>
      </c>
    </row>
    <row r="522" spans="14:51" x14ac:dyDescent="0.2">
      <c r="N522" s="170">
        <v>4</v>
      </c>
      <c r="O522" s="199">
        <f t="shared" si="314"/>
        <v>1096478.196143186</v>
      </c>
      <c r="P522" s="189" t="str">
        <f t="shared" si="279"/>
        <v>1757.57575757576</v>
      </c>
      <c r="Q522" s="160" t="str">
        <f t="shared" si="280"/>
        <v>1+397287.331551797i</v>
      </c>
      <c r="R522" s="160">
        <f t="shared" si="288"/>
        <v>397287.3315530555</v>
      </c>
      <c r="S522" s="160">
        <f t="shared" si="289"/>
        <v>1.5707938097249561</v>
      </c>
      <c r="T522" s="160" t="str">
        <f t="shared" si="281"/>
        <v>1+1929.0251936619i</v>
      </c>
      <c r="U522" s="160">
        <f t="shared" si="290"/>
        <v>1929.0254528601563</v>
      </c>
      <c r="V522" s="160">
        <f t="shared" si="291"/>
        <v>1.570277930294059</v>
      </c>
      <c r="W522" s="98" t="str">
        <f t="shared" si="282"/>
        <v>1-1.24152291109936i</v>
      </c>
      <c r="X522" s="160">
        <f t="shared" si="292"/>
        <v>1.5941703606530355</v>
      </c>
      <c r="Y522" s="160">
        <f t="shared" si="293"/>
        <v>-0.89273352805972461</v>
      </c>
      <c r="Z522" s="98" t="str">
        <f t="shared" si="283"/>
        <v>-479.905773846967-29.1855386302532i</v>
      </c>
      <c r="AA522" s="160">
        <f t="shared" si="294"/>
        <v>480.79241615981664</v>
      </c>
      <c r="AB522" s="160">
        <f t="shared" si="295"/>
        <v>-3.0808523184532808</v>
      </c>
      <c r="AC522" s="171" t="str">
        <f t="shared" si="296"/>
        <v>-0.0163673206615606+0.0230818566591101i</v>
      </c>
      <c r="AD522" s="190">
        <f t="shared" si="297"/>
        <v>-30.965511667132667</v>
      </c>
      <c r="AE522" s="169">
        <f t="shared" si="298"/>
        <v>125.34041404869353</v>
      </c>
      <c r="AF522" s="98" t="str">
        <f t="shared" si="284"/>
        <v>-0.0000114342530449913</v>
      </c>
      <c r="AG522" s="98" t="str">
        <f t="shared" si="285"/>
        <v>0.82706955178254i</v>
      </c>
      <c r="AH522" s="98">
        <f t="shared" si="299"/>
        <v>0.82706955178254005</v>
      </c>
      <c r="AI522" s="98">
        <f t="shared" si="300"/>
        <v>1.5707963267948966</v>
      </c>
      <c r="AJ522" s="98" t="str">
        <f t="shared" si="286"/>
        <v>1+7.57515694542068i</v>
      </c>
      <c r="AK522" s="98">
        <f t="shared" si="301"/>
        <v>7.6408770928313707</v>
      </c>
      <c r="AL522" s="98">
        <f t="shared" si="302"/>
        <v>1.4395447793264735</v>
      </c>
      <c r="AM522" s="98" t="str">
        <f t="shared" si="287"/>
        <v>1+18187.951825955i</v>
      </c>
      <c r="AN522" s="98">
        <f t="shared" si="303"/>
        <v>18187.951853445724</v>
      </c>
      <c r="AO522" s="98">
        <f t="shared" si="304"/>
        <v>1.5707413453429684</v>
      </c>
      <c r="AP522" s="168" t="str">
        <f t="shared" si="305"/>
        <v>-0.00430508980581191+0.0326255559630956i</v>
      </c>
      <c r="AQ522" s="98">
        <f t="shared" si="306"/>
        <v>-29.65387303322272</v>
      </c>
      <c r="AR522" s="169">
        <f t="shared" si="307"/>
        <v>97.517009519354644</v>
      </c>
      <c r="AS522" s="168" t="str">
        <f t="shared" si="308"/>
        <v>-0.000682595620835408-0.000633362402012023i</v>
      </c>
      <c r="AT522" s="190">
        <f t="shared" si="309"/>
        <v>-60.619384700355383</v>
      </c>
      <c r="AU522" s="169">
        <f t="shared" si="310"/>
        <v>-137.1425764319518</v>
      </c>
      <c r="AV522" s="225"/>
      <c r="AX522">
        <f t="shared" si="311"/>
        <v>0</v>
      </c>
      <c r="AY522">
        <f t="shared" si="312"/>
        <v>0</v>
      </c>
    </row>
    <row r="523" spans="14:51" x14ac:dyDescent="0.2">
      <c r="N523" s="170">
        <v>5</v>
      </c>
      <c r="O523" s="199">
        <f t="shared" si="314"/>
        <v>1122018.4543019643</v>
      </c>
      <c r="P523" s="189" t="str">
        <f t="shared" si="279"/>
        <v>1757.57575757576</v>
      </c>
      <c r="Q523" s="160" t="str">
        <f t="shared" si="280"/>
        <v>1+406541.342298874i</v>
      </c>
      <c r="R523" s="160">
        <f t="shared" si="288"/>
        <v>406541.34230010386</v>
      </c>
      <c r="S523" s="160">
        <f t="shared" si="289"/>
        <v>1.5707938670204631</v>
      </c>
      <c r="T523" s="160" t="str">
        <f t="shared" si="281"/>
        <v>1+1973.95796260725i</v>
      </c>
      <c r="U523" s="160">
        <f t="shared" si="290"/>
        <v>1973.9582159054344</v>
      </c>
      <c r="V523" s="160">
        <f t="shared" si="291"/>
        <v>1.5702897304370225</v>
      </c>
      <c r="W523" s="98" t="str">
        <f t="shared" si="282"/>
        <v>1-1.27044169468398i</v>
      </c>
      <c r="X523" s="160">
        <f t="shared" si="292"/>
        <v>1.6167937715093732</v>
      </c>
      <c r="Y523" s="160">
        <f t="shared" si="293"/>
        <v>-0.90395370681240628</v>
      </c>
      <c r="Z523" s="98" t="str">
        <f t="shared" si="283"/>
        <v>-502.570164717668-29.8653571562773i</v>
      </c>
      <c r="AA523" s="160">
        <f t="shared" si="294"/>
        <v>503.45676082700089</v>
      </c>
      <c r="AB523" s="160">
        <f t="shared" si="295"/>
        <v>-3.0822372074471853</v>
      </c>
      <c r="AC523" s="171" t="str">
        <f t="shared" si="296"/>
        <v>-0.0156319506462457+0.0225102312325075i</v>
      </c>
      <c r="AD523" s="190">
        <f t="shared" si="297"/>
        <v>-31.243205149989272</v>
      </c>
      <c r="AE523" s="169">
        <f t="shared" si="298"/>
        <v>124.77756627082611</v>
      </c>
      <c r="AF523" s="98" t="str">
        <f t="shared" si="284"/>
        <v>-0.0000114342530449913</v>
      </c>
      <c r="AG523" s="98" t="str">
        <f t="shared" si="285"/>
        <v>0.846334476467857i</v>
      </c>
      <c r="AH523" s="98">
        <f t="shared" si="299"/>
        <v>0.84633447646785698</v>
      </c>
      <c r="AI523" s="98">
        <f t="shared" si="300"/>
        <v>1.5707963267948966</v>
      </c>
      <c r="AJ523" s="98" t="str">
        <f t="shared" si="286"/>
        <v>1+7.75160501767586i</v>
      </c>
      <c r="AK523" s="98">
        <f t="shared" si="301"/>
        <v>7.8158416277492195</v>
      </c>
      <c r="AL523" s="98">
        <f t="shared" si="302"/>
        <v>1.4424993785897651</v>
      </c>
      <c r="AM523" s="98" t="str">
        <f t="shared" si="287"/>
        <v>1+18611.6036474397i</v>
      </c>
      <c r="AN523" s="98">
        <f t="shared" si="303"/>
        <v>18611.603674304661</v>
      </c>
      <c r="AO523" s="98">
        <f t="shared" si="304"/>
        <v>1.5707425968736077</v>
      </c>
      <c r="AP523" s="168" t="str">
        <f t="shared" si="305"/>
        <v>-0.00411450071228686+0.0319074946906593i</v>
      </c>
      <c r="AQ523" s="98">
        <f t="shared" si="306"/>
        <v>-29.850523769700743</v>
      </c>
      <c r="AR523" s="169">
        <f t="shared" si="307"/>
        <v>97.347795158839133</v>
      </c>
      <c r="AS523" s="168" t="str">
        <f t="shared" si="308"/>
        <v>-0.000653927411468335-0.000591394744689627i</v>
      </c>
      <c r="AT523" s="190">
        <f t="shared" si="309"/>
        <v>-61.093728919690015</v>
      </c>
      <c r="AU523" s="169">
        <f t="shared" si="310"/>
        <v>-137.87463857033472</v>
      </c>
      <c r="AV523" s="225"/>
      <c r="AX523">
        <f t="shared" si="311"/>
        <v>0</v>
      </c>
      <c r="AY523">
        <f t="shared" si="312"/>
        <v>0</v>
      </c>
    </row>
    <row r="524" spans="14:51" x14ac:dyDescent="0.2">
      <c r="N524" s="170">
        <v>6</v>
      </c>
      <c r="O524" s="199">
        <f t="shared" si="314"/>
        <v>1148153.6214968837</v>
      </c>
      <c r="P524" s="189" t="str">
        <f t="shared" si="279"/>
        <v>1757.57575757576</v>
      </c>
      <c r="Q524" s="160" t="str">
        <f t="shared" si="280"/>
        <v>1+416010.90664685i</v>
      </c>
      <c r="R524" s="160">
        <f t="shared" si="288"/>
        <v>416010.90664805187</v>
      </c>
      <c r="S524" s="160">
        <f t="shared" si="289"/>
        <v>1.5707939230117649</v>
      </c>
      <c r="T524" s="160" t="str">
        <f t="shared" si="281"/>
        <v>1+2019.93735019279i</v>
      </c>
      <c r="U524" s="160">
        <f t="shared" si="290"/>
        <v>2019.9375977252048</v>
      </c>
      <c r="V524" s="160">
        <f t="shared" si="291"/>
        <v>1.5703012619760752</v>
      </c>
      <c r="W524" s="98" t="str">
        <f t="shared" si="282"/>
        <v>1-1.3000340832714i</v>
      </c>
      <c r="X524" s="160">
        <f t="shared" si="292"/>
        <v>1.64014896203586</v>
      </c>
      <c r="Y524" s="160">
        <f t="shared" si="293"/>
        <v>-0.91511337070577892</v>
      </c>
      <c r="Z524" s="98" t="str">
        <f t="shared" si="283"/>
        <v>-526.302695422564-30.5610106899804i</v>
      </c>
      <c r="AA524" s="160">
        <f t="shared" si="294"/>
        <v>527.18924740879277</v>
      </c>
      <c r="AB524" s="160">
        <f t="shared" si="295"/>
        <v>-3.0835904211324889</v>
      </c>
      <c r="AC524" s="171" t="str">
        <f t="shared" si="296"/>
        <v>-0.0149295647482257+0.0219547038029781i</v>
      </c>
      <c r="AD524" s="190">
        <f t="shared" si="297"/>
        <v>-31.518719209817672</v>
      </c>
      <c r="AE524" s="169">
        <f t="shared" si="298"/>
        <v>124.21635556235232</v>
      </c>
      <c r="AF524" s="98" t="str">
        <f t="shared" si="284"/>
        <v>-0.0000114342530449913</v>
      </c>
      <c r="AG524" s="98" t="str">
        <f t="shared" si="285"/>
        <v>0.866048138895159i</v>
      </c>
      <c r="AH524" s="98">
        <f t="shared" si="299"/>
        <v>0.86604813889515897</v>
      </c>
      <c r="AI524" s="98">
        <f t="shared" si="300"/>
        <v>1.5707963267948966</v>
      </c>
      <c r="AJ524" s="98" t="str">
        <f t="shared" si="286"/>
        <v>1+7.93216309351604i</v>
      </c>
      <c r="AK524" s="98">
        <f t="shared" si="301"/>
        <v>7.9949491144183007</v>
      </c>
      <c r="AL524" s="98">
        <f t="shared" si="302"/>
        <v>1.4453889010038661</v>
      </c>
      <c r="AM524" s="98" t="str">
        <f t="shared" si="287"/>
        <v>1+19045.123587532i</v>
      </c>
      <c r="AN524" s="98">
        <f t="shared" si="303"/>
        <v>19045.123613785443</v>
      </c>
      <c r="AO524" s="98">
        <f t="shared" si="304"/>
        <v>1.5707438199159318</v>
      </c>
      <c r="AP524" s="168" t="str">
        <f t="shared" si="305"/>
        <v>-0.00393221481749345+0.0312041720426425i</v>
      </c>
      <c r="AQ524" s="98">
        <f t="shared" si="306"/>
        <v>-30.04732283488368</v>
      </c>
      <c r="AR524" s="169">
        <f t="shared" si="307"/>
        <v>97.182307794866048</v>
      </c>
      <c r="AS524" s="168" t="str">
        <f t="shared" si="308"/>
        <v>-0.000626372098891685-0.000552195318533156i</v>
      </c>
      <c r="AT524" s="190">
        <f t="shared" si="309"/>
        <v>-61.566042044701348</v>
      </c>
      <c r="AU524" s="169">
        <f t="shared" si="310"/>
        <v>-138.6013366427816</v>
      </c>
      <c r="AV524" s="225"/>
      <c r="AX524">
        <f t="shared" si="311"/>
        <v>0</v>
      </c>
      <c r="AY524">
        <f t="shared" si="312"/>
        <v>0</v>
      </c>
    </row>
    <row r="525" spans="14:51" x14ac:dyDescent="0.2">
      <c r="N525" s="170">
        <v>7</v>
      </c>
      <c r="O525" s="199">
        <f t="shared" si="314"/>
        <v>1174897.5549395324</v>
      </c>
      <c r="P525" s="189" t="str">
        <f t="shared" si="279"/>
        <v>1757.57575757576</v>
      </c>
      <c r="Q525" s="160" t="str">
        <f t="shared" si="280"/>
        <v>1+425701.045484085i</v>
      </c>
      <c r="R525" s="160">
        <f t="shared" si="288"/>
        <v>425701.04548525944</v>
      </c>
      <c r="S525" s="160">
        <f t="shared" si="289"/>
        <v>1.5707939777285491</v>
      </c>
      <c r="T525" s="160" t="str">
        <f t="shared" si="281"/>
        <v>1+2066.98773529844i</v>
      </c>
      <c r="U525" s="160">
        <f t="shared" si="290"/>
        <v>2066.9879771963297</v>
      </c>
      <c r="V525" s="160">
        <f t="shared" si="291"/>
        <v>1.5703125310253798</v>
      </c>
      <c r="W525" s="98" t="str">
        <f t="shared" si="282"/>
        <v>1-1.33031576713776i</v>
      </c>
      <c r="X525" s="160">
        <f t="shared" si="292"/>
        <v>1.6642535985526143</v>
      </c>
      <c r="Y525" s="160">
        <f t="shared" si="293"/>
        <v>-0.92620731885207452</v>
      </c>
      <c r="Z525" s="98" t="str">
        <f t="shared" si="283"/>
        <v>-551.153705841158-31.2728680760743i</v>
      </c>
      <c r="AA525" s="160">
        <f t="shared" si="294"/>
        <v>552.04021569098131</v>
      </c>
      <c r="AB525" s="160">
        <f t="shared" si="295"/>
        <v>-3.0849126906166484</v>
      </c>
      <c r="AC525" s="171" t="str">
        <f t="shared" si="296"/>
        <v>-0.0142586884168519+0.021414701799298i</v>
      </c>
      <c r="AD525" s="190">
        <f t="shared" si="297"/>
        <v>-31.792078495283796</v>
      </c>
      <c r="AE525" s="169">
        <f t="shared" si="298"/>
        <v>123.65712215017749</v>
      </c>
      <c r="AF525" s="98" t="str">
        <f t="shared" si="284"/>
        <v>-0.0000114342530449913</v>
      </c>
      <c r="AG525" s="98" t="str">
        <f t="shared" si="285"/>
        <v>0.886220991509207i</v>
      </c>
      <c r="AH525" s="98">
        <f t="shared" si="299"/>
        <v>0.88622099150920697</v>
      </c>
      <c r="AI525" s="98">
        <f t="shared" si="300"/>
        <v>1.5707963267948966</v>
      </c>
      <c r="AJ525" s="98" t="str">
        <f t="shared" si="286"/>
        <v>1+8.11692690722301i</v>
      </c>
      <c r="AK525" s="98">
        <f t="shared" si="301"/>
        <v>8.1782945910012863</v>
      </c>
      <c r="AL525" s="98">
        <f t="shared" si="302"/>
        <v>1.4482146855241549</v>
      </c>
      <c r="AM525" s="98" t="str">
        <f t="shared" si="287"/>
        <v>1+19488.7415042424i</v>
      </c>
      <c r="AN525" s="98">
        <f t="shared" si="303"/>
        <v>19488.741529898238</v>
      </c>
      <c r="AO525" s="98">
        <f t="shared" si="304"/>
        <v>1.5707450151184139</v>
      </c>
      <c r="AP525" s="168" t="str">
        <f t="shared" si="305"/>
        <v>-0.00375788203363251+0.0305153560522791i</v>
      </c>
      <c r="AQ525" s="98">
        <f t="shared" si="306"/>
        <v>-30.244263761948037</v>
      </c>
      <c r="AR525" s="169">
        <f t="shared" si="307"/>
        <v>97.020470748097949</v>
      </c>
      <c r="AS525" s="168" t="str">
        <f t="shared" si="308"/>
        <v>-0.000599894781134109-0.000515582877025923i</v>
      </c>
      <c r="AT525" s="190">
        <f t="shared" si="309"/>
        <v>-62.036342257231837</v>
      </c>
      <c r="AU525" s="169">
        <f t="shared" si="310"/>
        <v>-139.32240710172459</v>
      </c>
      <c r="AV525" s="225"/>
      <c r="AX525">
        <f t="shared" si="311"/>
        <v>0</v>
      </c>
      <c r="AY525">
        <f t="shared" si="312"/>
        <v>0</v>
      </c>
    </row>
    <row r="526" spans="14:51" x14ac:dyDescent="0.2">
      <c r="N526" s="170">
        <v>8</v>
      </c>
      <c r="O526" s="199">
        <f t="shared" si="314"/>
        <v>1202264.4346174158</v>
      </c>
      <c r="P526" s="189" t="str">
        <f t="shared" si="279"/>
        <v>1757.57575757576</v>
      </c>
      <c r="Q526" s="160" t="str">
        <f t="shared" si="280"/>
        <v>1+435616.896650455i</v>
      </c>
      <c r="R526" s="160">
        <f t="shared" si="288"/>
        <v>435616.89665160276</v>
      </c>
      <c r="S526" s="160">
        <f t="shared" si="289"/>
        <v>1.5707940311998274</v>
      </c>
      <c r="T526" s="160" t="str">
        <f t="shared" si="281"/>
        <v>1+2115.13406466116i</v>
      </c>
      <c r="U526" s="160">
        <f t="shared" si="290"/>
        <v>2115.1343010527821</v>
      </c>
      <c r="V526" s="160">
        <f t="shared" si="291"/>
        <v>1.5703235435599237</v>
      </c>
      <c r="W526" s="98" t="str">
        <f t="shared" si="282"/>
        <v>1-1.36130280203267i</v>
      </c>
      <c r="X526" s="160">
        <f t="shared" si="292"/>
        <v>1.6891256077692975</v>
      </c>
      <c r="Y526" s="160">
        <f t="shared" si="293"/>
        <v>-0.93723051069525876</v>
      </c>
      <c r="Z526" s="98" t="str">
        <f t="shared" si="283"/>
        <v>-577.175908298375-32.0013067507673i</v>
      </c>
      <c r="AA526" s="160">
        <f t="shared" si="294"/>
        <v>578.06237790900298</v>
      </c>
      <c r="AB526" s="160">
        <f t="shared" si="295"/>
        <v>-3.0862047296932968</v>
      </c>
      <c r="AC526" s="171" t="str">
        <f t="shared" si="296"/>
        <v>-0.0136179125842713+0.0208896794577036i</v>
      </c>
      <c r="AD526" s="190">
        <f t="shared" si="297"/>
        <v>-32.063309477429286</v>
      </c>
      <c r="AE526" s="169">
        <f t="shared" si="298"/>
        <v>123.10019607493034</v>
      </c>
      <c r="AF526" s="98" t="str">
        <f t="shared" si="284"/>
        <v>-0.0000114342530449913</v>
      </c>
      <c r="AG526" s="98" t="str">
        <f t="shared" si="285"/>
        <v>0.906863730223473i</v>
      </c>
      <c r="AH526" s="98">
        <f t="shared" si="299"/>
        <v>0.906863730223473</v>
      </c>
      <c r="AI526" s="98">
        <f t="shared" si="300"/>
        <v>1.5707963267948966</v>
      </c>
      <c r="AJ526" s="98" t="str">
        <f t="shared" si="286"/>
        <v>1+8.3059944230164i</v>
      </c>
      <c r="AK526" s="98">
        <f t="shared" si="301"/>
        <v>8.3659753379495179</v>
      </c>
      <c r="AL526" s="98">
        <f t="shared" si="302"/>
        <v>1.4509780498100664</v>
      </c>
      <c r="AM526" s="98" t="str">
        <f t="shared" si="287"/>
        <v>1+19942.6926096624i</v>
      </c>
      <c r="AN526" s="98">
        <f t="shared" si="303"/>
        <v>19942.692634734241</v>
      </c>
      <c r="AO526" s="98">
        <f t="shared" si="304"/>
        <v>1.570746183114766</v>
      </c>
      <c r="AP526" s="168" t="str">
        <f t="shared" si="305"/>
        <v>-0.00359116602156613+0.0298408135152937i</v>
      </c>
      <c r="AQ526" s="98">
        <f t="shared" si="306"/>
        <v>-30.441340357142622</v>
      </c>
      <c r="AR526" s="169">
        <f t="shared" si="307"/>
        <v>96.862208558519512</v>
      </c>
      <c r="AS526" s="168" t="str">
        <f t="shared" si="308"/>
        <v>-0.000574460844134302-0.000481387896964724i</v>
      </c>
      <c r="AT526" s="190">
        <f t="shared" si="309"/>
        <v>-62.504649834571914</v>
      </c>
      <c r="AU526" s="169">
        <f t="shared" si="310"/>
        <v>-140.03759536655019</v>
      </c>
      <c r="AV526" s="225"/>
      <c r="AX526">
        <f t="shared" si="311"/>
        <v>0</v>
      </c>
      <c r="AY526">
        <f t="shared" si="312"/>
        <v>0</v>
      </c>
    </row>
    <row r="527" spans="14:51" x14ac:dyDescent="0.2">
      <c r="N527" s="170">
        <v>9</v>
      </c>
      <c r="O527" s="199">
        <f t="shared" si="314"/>
        <v>1230268.770812382</v>
      </c>
      <c r="P527" s="189" t="str">
        <f t="shared" si="279"/>
        <v>1757.57575757576</v>
      </c>
      <c r="Q527" s="160" t="str">
        <f t="shared" si="280"/>
        <v>1+445763.717661499i</v>
      </c>
      <c r="R527" s="160">
        <f t="shared" si="288"/>
        <v>445763.71766262065</v>
      </c>
      <c r="S527" s="160">
        <f t="shared" si="289"/>
        <v>1.5707940834539509</v>
      </c>
      <c r="T527" s="160" t="str">
        <f t="shared" si="281"/>
        <v>1+2164.40186610207i</v>
      </c>
      <c r="U527" s="160">
        <f t="shared" si="290"/>
        <v>2164.4020971127625</v>
      </c>
      <c r="V527" s="160">
        <f t="shared" si="291"/>
        <v>1.5703343054186878</v>
      </c>
      <c r="W527" s="98" t="str">
        <f t="shared" si="282"/>
        <v>1-1.39301161769218i</v>
      </c>
      <c r="X527" s="160">
        <f t="shared" si="292"/>
        <v>1.7147831836781537</v>
      </c>
      <c r="Y527" s="160">
        <f t="shared" si="293"/>
        <v>-0.94817807574201818</v>
      </c>
      <c r="Z527" s="98" t="str">
        <f t="shared" si="283"/>
        <v>-604.424499374485-32.7467129418869i</v>
      </c>
      <c r="AA527" s="160">
        <f t="shared" si="294"/>
        <v>605.31093055767224</v>
      </c>
      <c r="AB527" s="160">
        <f t="shared" si="295"/>
        <v>-3.0874672352810109</v>
      </c>
      <c r="AC527" s="171" t="str">
        <f t="shared" si="296"/>
        <v>-0.0130058907965285+0.0203791162906741i</v>
      </c>
      <c r="AD527" s="190">
        <f t="shared" si="297"/>
        <v>-32.332440350458725</v>
      </c>
      <c r="AE527" s="169">
        <f t="shared" si="298"/>
        <v>122.54589665873996</v>
      </c>
      <c r="AF527" s="98" t="str">
        <f t="shared" si="284"/>
        <v>-0.0000114342530449913</v>
      </c>
      <c r="AG527" s="98" t="str">
        <f t="shared" si="285"/>
        <v>0.927987300091263i</v>
      </c>
      <c r="AH527" s="98">
        <f t="shared" si="299"/>
        <v>0.92798730009126296</v>
      </c>
      <c r="AI527" s="98">
        <f t="shared" si="300"/>
        <v>1.5707963267948966</v>
      </c>
      <c r="AJ527" s="98" t="str">
        <f t="shared" si="286"/>
        <v>1+8.49946588699569i</v>
      </c>
      <c r="AK527" s="98">
        <f t="shared" si="301"/>
        <v>8.5580909298863741</v>
      </c>
      <c r="AL527" s="98">
        <f t="shared" si="302"/>
        <v>1.4536802901309658</v>
      </c>
      <c r="AM527" s="98" t="str">
        <f t="shared" si="287"/>
        <v>1+20407.2175946767i</v>
      </c>
      <c r="AN527" s="98">
        <f t="shared" si="303"/>
        <v>20407.217619177831</v>
      </c>
      <c r="AO527" s="98">
        <f t="shared" si="304"/>
        <v>1.5707473245242753</v>
      </c>
      <c r="AP527" s="168" t="str">
        <f t="shared" si="305"/>
        <v>-0.00343174373986834+0.0291803104119131i</v>
      </c>
      <c r="AQ527" s="98">
        <f t="shared" si="306"/>
        <v>-30.638546689028388</v>
      </c>
      <c r="AR527" s="169">
        <f t="shared" si="307"/>
        <v>96.707446990849476</v>
      </c>
      <c r="AS527" s="168" t="str">
        <f t="shared" si="308"/>
        <v>-0.000550036054959947-0.000449451835380715i</v>
      </c>
      <c r="AT527" s="190">
        <f t="shared" si="309"/>
        <v>-62.97098703948712</v>
      </c>
      <c r="AU527" s="169">
        <f t="shared" si="310"/>
        <v>-140.74665635041052</v>
      </c>
      <c r="AV527" s="225"/>
      <c r="AX527">
        <f t="shared" si="311"/>
        <v>0</v>
      </c>
      <c r="AY527">
        <f t="shared" si="312"/>
        <v>0</v>
      </c>
    </row>
    <row r="528" spans="14:51" x14ac:dyDescent="0.2">
      <c r="N528" s="170">
        <v>10</v>
      </c>
      <c r="O528" s="199">
        <f t="shared" si="314"/>
        <v>1258925.4117941677</v>
      </c>
      <c r="P528" s="189" t="str">
        <f t="shared" si="279"/>
        <v>1757.57575757576</v>
      </c>
      <c r="Q528" s="160" t="str">
        <f t="shared" si="280"/>
        <v>1+456146.888496028i</v>
      </c>
      <c r="R528" s="160">
        <f t="shared" si="288"/>
        <v>456146.88849712414</v>
      </c>
      <c r="S528" s="160">
        <f t="shared" si="289"/>
        <v>1.5707941345186252</v>
      </c>
      <c r="T528" s="160" t="str">
        <f t="shared" si="281"/>
        <v>1+2214.81726206163i</v>
      </c>
      <c r="U528" s="160">
        <f t="shared" si="290"/>
        <v>2214.8174878138775</v>
      </c>
      <c r="V528" s="160">
        <f t="shared" si="291"/>
        <v>1.5703448223077423</v>
      </c>
      <c r="W528" s="98" t="str">
        <f t="shared" si="282"/>
        <v>1-1.42545902655008i</v>
      </c>
      <c r="X528" s="160">
        <f t="shared" si="292"/>
        <v>1.7412447950742311</v>
      </c>
      <c r="Y528" s="160">
        <f t="shared" si="293"/>
        <v>-0.95904532234390505</v>
      </c>
      <c r="Z528" s="98" t="str">
        <f t="shared" si="283"/>
        <v>-632.957276984447-33.5094818736623i</v>
      </c>
      <c r="AA528" s="160">
        <f t="shared" si="294"/>
        <v>633.84367147034561</v>
      </c>
      <c r="AB528" s="160">
        <f t="shared" si="295"/>
        <v>-3.0887008878491358</v>
      </c>
      <c r="AC528" s="171" t="str">
        <f t="shared" si="296"/>
        <v>-0.012421336466817+0.019882515652215i</v>
      </c>
      <c r="AD528" s="190">
        <f t="shared" si="297"/>
        <v>-32.599500928072594</v>
      </c>
      <c r="AE528" s="169">
        <f t="shared" si="298"/>
        <v>121.994532026629</v>
      </c>
      <c r="AF528" s="98" t="str">
        <f t="shared" si="284"/>
        <v>-0.0000114342530449913</v>
      </c>
      <c r="AG528" s="98" t="str">
        <f t="shared" si="285"/>
        <v>0.949602901108926i</v>
      </c>
      <c r="AH528" s="98">
        <f t="shared" si="299"/>
        <v>0.94960290110892598</v>
      </c>
      <c r="AI528" s="98">
        <f t="shared" si="300"/>
        <v>1.5707963267948966</v>
      </c>
      <c r="AJ528" s="98" t="str">
        <f t="shared" si="286"/>
        <v>1+8.69744388029201i</v>
      </c>
      <c r="AK528" s="98">
        <f t="shared" si="301"/>
        <v>8.7547432886880792</v>
      </c>
      <c r="AL528" s="98">
        <f t="shared" si="302"/>
        <v>1.4563226813092274</v>
      </c>
      <c r="AM528" s="98" t="str">
        <f t="shared" si="287"/>
        <v>1+20882.5627565811i</v>
      </c>
      <c r="AN528" s="98">
        <f t="shared" si="303"/>
        <v>20882.56278052452</v>
      </c>
      <c r="AO528" s="98">
        <f t="shared" si="304"/>
        <v>1.5707484399521325</v>
      </c>
      <c r="AP528" s="168" t="str">
        <f t="shared" si="305"/>
        <v>-0.00327930500050513+0.0285336122972524i</v>
      </c>
      <c r="AQ528" s="98">
        <f t="shared" si="306"/>
        <v>-30.835877078074375</v>
      </c>
      <c r="AR528" s="169">
        <f t="shared" si="307"/>
        <v>96.556113037821049</v>
      </c>
      <c r="AS528" s="168" t="str">
        <f t="shared" si="308"/>
        <v>-0.000526586642325765-0.000419626431958809i</v>
      </c>
      <c r="AT528" s="190">
        <f t="shared" si="309"/>
        <v>-63.435378006146976</v>
      </c>
      <c r="AU528" s="169">
        <f t="shared" si="310"/>
        <v>-141.44935493554993</v>
      </c>
      <c r="AV528" s="225"/>
      <c r="AX528">
        <f t="shared" si="311"/>
        <v>0</v>
      </c>
      <c r="AY528">
        <f t="shared" si="312"/>
        <v>0</v>
      </c>
    </row>
    <row r="529" spans="14:51" x14ac:dyDescent="0.2">
      <c r="N529" s="170">
        <v>11</v>
      </c>
      <c r="O529" s="199">
        <f t="shared" si="314"/>
        <v>1288249.5516931366</v>
      </c>
      <c r="P529" s="189" t="str">
        <f t="shared" si="279"/>
        <v>1757.57575757576</v>
      </c>
      <c r="Q529" s="160" t="str">
        <f t="shared" si="280"/>
        <v>1+466771.914448657i</v>
      </c>
      <c r="R529" s="160">
        <f t="shared" si="288"/>
        <v>466771.91444972815</v>
      </c>
      <c r="S529" s="160">
        <f t="shared" si="289"/>
        <v>1.5707941844209254</v>
      </c>
      <c r="T529" s="160" t="str">
        <f t="shared" si="281"/>
        <v>1+2266.40698345012i</v>
      </c>
      <c r="U529" s="160">
        <f t="shared" si="290"/>
        <v>2266.4072040636192</v>
      </c>
      <c r="V529" s="160">
        <f t="shared" si="291"/>
        <v>1.5703550998032714</v>
      </c>
      <c r="W529" s="98" t="str">
        <f t="shared" si="282"/>
        <v>1-1.45866223265205i</v>
      </c>
      <c r="X529" s="160">
        <f t="shared" si="292"/>
        <v>1.7685291936989513</v>
      </c>
      <c r="Y529" s="160">
        <f t="shared" si="293"/>
        <v>-0.96982774550653594</v>
      </c>
      <c r="Z529" s="98" t="str">
        <f t="shared" si="283"/>
        <v>-662.834762975027-34.2900179762777i</v>
      </c>
      <c r="AA529" s="160">
        <f t="shared" si="294"/>
        <v>663.72112241586353</v>
      </c>
      <c r="AB529" s="160">
        <f t="shared" si="295"/>
        <v>-3.0899063518311456</v>
      </c>
      <c r="AC529" s="171" t="str">
        <f t="shared" si="296"/>
        <v>-0.0118630202460082+0.0193994033933116i</v>
      </c>
      <c r="AD529" s="190">
        <f t="shared" si="297"/>
        <v>-32.864522536120361</v>
      </c>
      <c r="AE529" s="169">
        <f t="shared" si="298"/>
        <v>121.44639868293709</v>
      </c>
      <c r="AF529" s="98" t="str">
        <f t="shared" si="284"/>
        <v>-0.0000114342530449913</v>
      </c>
      <c r="AG529" s="98" t="str">
        <f t="shared" si="285"/>
        <v>0.97172199415424i</v>
      </c>
      <c r="AH529" s="98">
        <f t="shared" si="299"/>
        <v>0.97172199415423999</v>
      </c>
      <c r="AI529" s="98">
        <f t="shared" si="300"/>
        <v>1.5707963267948966</v>
      </c>
      <c r="AJ529" s="98" t="str">
        <f t="shared" si="286"/>
        <v>1+8.90003337345796i</v>
      </c>
      <c r="AK529" s="98">
        <f t="shared" si="301"/>
        <v>8.9560367377911909</v>
      </c>
      <c r="AL529" s="98">
        <f t="shared" si="302"/>
        <v>1.4589064766977047</v>
      </c>
      <c r="AM529" s="98" t="str">
        <f t="shared" si="287"/>
        <v>1+21368.9801296725i</v>
      </c>
      <c r="AN529" s="98">
        <f t="shared" si="303"/>
        <v>21368.980153070901</v>
      </c>
      <c r="AO529" s="98">
        <f t="shared" si="304"/>
        <v>1.5707495299897518</v>
      </c>
      <c r="AP529" s="168" t="str">
        <f t="shared" si="305"/>
        <v>-0.00313355203191182+0.0279004846618318i</v>
      </c>
      <c r="AQ529" s="98">
        <f t="shared" si="306"/>
        <v>-31.033326086604131</v>
      </c>
      <c r="AR529" s="169">
        <f t="shared" si="307"/>
        <v>96.408134921491055</v>
      </c>
      <c r="AS529" s="168" t="str">
        <f t="shared" si="308"/>
        <v>-0.000504079365627288-0.000391773054337741i</v>
      </c>
      <c r="AT529" s="190">
        <f t="shared" si="309"/>
        <v>-63.897848622724496</v>
      </c>
      <c r="AU529" s="169">
        <f t="shared" si="310"/>
        <v>-142.14546639557182</v>
      </c>
      <c r="AV529" s="225"/>
      <c r="AX529">
        <f t="shared" si="311"/>
        <v>0</v>
      </c>
      <c r="AY529">
        <f t="shared" si="312"/>
        <v>0</v>
      </c>
    </row>
    <row r="530" spans="14:51" x14ac:dyDescent="0.2">
      <c r="N530" s="170">
        <v>12</v>
      </c>
      <c r="O530" s="199">
        <f t="shared" si="314"/>
        <v>1318256.7385564097</v>
      </c>
      <c r="P530" s="189" t="str">
        <f t="shared" si="279"/>
        <v>1757.57575757576</v>
      </c>
      <c r="Q530" s="160" t="str">
        <f t="shared" si="280"/>
        <v>1+477644.429048783i</v>
      </c>
      <c r="R530" s="160">
        <f t="shared" si="288"/>
        <v>477644.42904982978</v>
      </c>
      <c r="S530" s="160">
        <f t="shared" si="289"/>
        <v>1.5707942331873108</v>
      </c>
      <c r="T530" s="160" t="str">
        <f t="shared" si="281"/>
        <v>1+2319.19838382067i</v>
      </c>
      <c r="U530" s="160">
        <f t="shared" si="290"/>
        <v>2319.1985994123938</v>
      </c>
      <c r="V530" s="160">
        <f t="shared" si="291"/>
        <v>1.5703651433545307</v>
      </c>
      <c r="W530" s="98" t="str">
        <f t="shared" si="282"/>
        <v>1-1.49263884077744i</v>
      </c>
      <c r="X530" s="160">
        <f t="shared" si="292"/>
        <v>1.7966554230005876</v>
      </c>
      <c r="Y530" s="160">
        <f t="shared" si="293"/>
        <v>-0.98052103371098598</v>
      </c>
      <c r="Z530" s="98" t="str">
        <f t="shared" si="283"/>
        <v>-694.120331499755-35.0887351003061i</v>
      </c>
      <c r="AA530" s="160">
        <f t="shared" si="294"/>
        <v>695.00665747334347</v>
      </c>
      <c r="AB530" s="160">
        <f t="shared" si="295"/>
        <v>-3.0910842760260171</v>
      </c>
      <c r="AC530" s="171" t="str">
        <f t="shared" si="296"/>
        <v>-0.0113297675057449+0.0189293266016463i</v>
      </c>
      <c r="AD530" s="190">
        <f t="shared" si="297"/>
        <v>-33.127537902349872</v>
      </c>
      <c r="AE530" s="169">
        <f t="shared" si="298"/>
        <v>120.90178114364785</v>
      </c>
      <c r="AF530" s="98" t="str">
        <f t="shared" si="284"/>
        <v>-0.0000114342530449913</v>
      </c>
      <c r="AG530" s="98" t="str">
        <f t="shared" si="285"/>
        <v>0.994356307063113i</v>
      </c>
      <c r="AH530" s="98">
        <f t="shared" si="299"/>
        <v>0.99435630706311295</v>
      </c>
      <c r="AI530" s="98">
        <f t="shared" si="300"/>
        <v>1.5707963267948966</v>
      </c>
      <c r="AJ530" s="98" t="str">
        <f t="shared" si="286"/>
        <v>1+9.10734178212438i</v>
      </c>
      <c r="AK530" s="98">
        <f t="shared" si="301"/>
        <v>9.1620780577567924</v>
      </c>
      <c r="AL530" s="98">
        <f t="shared" si="302"/>
        <v>1.4614329081889292</v>
      </c>
      <c r="AM530" s="98" t="str">
        <f t="shared" si="287"/>
        <v>1+21866.7276188806i</v>
      </c>
      <c r="AN530" s="98">
        <f t="shared" si="303"/>
        <v>21866.727641746387</v>
      </c>
      <c r="AO530" s="98">
        <f t="shared" si="304"/>
        <v>1.5707505952150858</v>
      </c>
      <c r="AP530" s="168" t="str">
        <f t="shared" si="305"/>
        <v>-0.00299419905012397+0.0272806932639119i</v>
      </c>
      <c r="AQ530" s="98">
        <f t="shared" si="306"/>
        <v>-31.230888509086917</v>
      </c>
      <c r="AR530" s="169">
        <f t="shared" si="307"/>
        <v>96.263442092730799</v>
      </c>
      <c r="AS530" s="168" t="str">
        <f t="shared" si="308"/>
        <v>-0.000482481573608094-0.000365762083805799i</v>
      </c>
      <c r="AT530" s="190">
        <f t="shared" si="309"/>
        <v>-64.358426411436781</v>
      </c>
      <c r="AU530" s="169">
        <f t="shared" si="310"/>
        <v>-142.83477676362133</v>
      </c>
      <c r="AV530" s="225"/>
      <c r="AX530">
        <f t="shared" si="311"/>
        <v>0</v>
      </c>
      <c r="AY530">
        <f t="shared" si="312"/>
        <v>0</v>
      </c>
    </row>
    <row r="531" spans="14:51" x14ac:dyDescent="0.2">
      <c r="N531" s="170">
        <v>13</v>
      </c>
      <c r="O531" s="199">
        <f t="shared" si="314"/>
        <v>1348962.8825916562</v>
      </c>
      <c r="P531" s="189" t="str">
        <f t="shared" ref="P531:P560" si="315">COMPLEX(Adc,0)</f>
        <v>1757.57575757576</v>
      </c>
      <c r="Q531" s="160" t="str">
        <f t="shared" ref="Q531:Q560" si="316">IMSUM(COMPLEX(1,0),IMDIV(COMPLEX(0,2*PI()*O531),COMPLEX(wp_lf,0)))</f>
        <v>1+488770.197047561i</v>
      </c>
      <c r="R531" s="160">
        <f t="shared" si="288"/>
        <v>488770.197048584</v>
      </c>
      <c r="S531" s="160">
        <f t="shared" si="289"/>
        <v>1.5707942808436377</v>
      </c>
      <c r="T531" s="160" t="str">
        <f t="shared" ref="T531:T560" si="317">IMSUM(COMPLEX(1,0),IMDIV(COMPLEX(0,2*PI()*O531),COMPLEX(wz_esr,0)))</f>
        <v>1+2373.21945387254i</v>
      </c>
      <c r="U531" s="160">
        <f t="shared" si="290"/>
        <v>2373.2196645567969</v>
      </c>
      <c r="V531" s="160">
        <f t="shared" si="291"/>
        <v>1.5703749582867359</v>
      </c>
      <c r="W531" s="98" t="str">
        <f t="shared" ref="W531:W560" si="318">IMSUB(COMPLEX(1,0),IMDIV(COMPLEX(0,2*PI()*O531),COMPLEX(wz_rhp,0)))</f>
        <v>1-1.52740686577362i</v>
      </c>
      <c r="X531" s="160">
        <f t="shared" si="292"/>
        <v>1.8256428275027929</v>
      </c>
      <c r="Y531" s="160">
        <f t="shared" si="293"/>
        <v>-0.99112107474148203</v>
      </c>
      <c r="Z531" s="98" t="str">
        <f t="shared" ref="Z531:Z560" si="319">IF(Dc_Mode_Loop="CCM",IMSUM(COMPLEX(1,0),IMDIV(COMPLEX(0,2*PI()*O531),COMPLEX(Q*(wsl/2),0)),IMDIV(IMPOWER(COMPLEX(0,2*PI()*O531),2),IMPOWER(COMPLEX(wsl/2,0),2))),COMPLEX(1,0))</f>
        <v>-726.880343443997-35.9060567361389i</v>
      </c>
      <c r="AA531" s="160">
        <f t="shared" si="294"/>
        <v>727.76663745709163</v>
      </c>
      <c r="AB531" s="160">
        <f t="shared" si="295"/>
        <v>-3.0922352939880491</v>
      </c>
      <c r="AC531" s="171" t="str">
        <f t="shared" si="296"/>
        <v>-0.0108204559295523+0.0184718524200674i</v>
      </c>
      <c r="AD531" s="190">
        <f t="shared" si="297"/>
        <v>-33.388581044020668</v>
      </c>
      <c r="AE531" s="169">
        <f t="shared" si="298"/>
        <v>120.3609516249884</v>
      </c>
      <c r="AF531" s="98" t="str">
        <f t="shared" ref="AF531:AF560" si="320">COMPLEX(Adc_ea,0)</f>
        <v>-0.0000114342530449913</v>
      </c>
      <c r="AG531" s="98" t="str">
        <f t="shared" ref="AG531:AG560" si="321">COMPLEX(0,2*PI()*O531*wp0_ea)</f>
        <v>1.01751784084785i</v>
      </c>
      <c r="AH531" s="98">
        <f t="shared" si="299"/>
        <v>1.01751784084785</v>
      </c>
      <c r="AI531" s="98">
        <f t="shared" si="300"/>
        <v>1.5707963267948966</v>
      </c>
      <c r="AJ531" s="98" t="str">
        <f t="shared" ref="AJ531:AJ560" si="322">IMSUM(COMPLEX(1,0),IMDIV(COMPLEX(0,2*PI()*O531),COMPLEX(wp1_ea,0)))</f>
        <v>1+9.31947902395358i</v>
      </c>
      <c r="AK531" s="98">
        <f t="shared" si="301"/>
        <v>9.3729765431217622</v>
      </c>
      <c r="AL531" s="98">
        <f t="shared" si="302"/>
        <v>1.4639031862535359</v>
      </c>
      <c r="AM531" s="98" t="str">
        <f t="shared" ref="AM531:AM560" si="323">IMSUM(COMPLEX(1,0),IMDIV(COMPLEX(0,2*PI()*O531),COMPLEX(wz_ea,0)))</f>
        <v>1+22376.0691365125i</v>
      </c>
      <c r="AN531" s="98">
        <f t="shared" si="303"/>
        <v>22376.069158857801</v>
      </c>
      <c r="AO531" s="98">
        <f t="shared" si="304"/>
        <v>1.570751636192931</v>
      </c>
      <c r="AP531" s="168" t="str">
        <f t="shared" si="305"/>
        <v>-0.00286097183851658+0.0266740044352709i</v>
      </c>
      <c r="AQ531" s="98">
        <f t="shared" si="306"/>
        <v>-31.428559362766965</v>
      </c>
      <c r="AR531" s="169">
        <f t="shared" si="307"/>
        <v>96.121965229042175</v>
      </c>
      <c r="AS531" s="168" t="str">
        <f t="shared" si="308"/>
        <v>-0.000461761253686189-0.000341472339035579i</v>
      </c>
      <c r="AT531" s="190">
        <f t="shared" si="309"/>
        <v>-64.817140406787615</v>
      </c>
      <c r="AU531" s="169">
        <f t="shared" si="310"/>
        <v>-143.51708314596942</v>
      </c>
      <c r="AV531" s="225"/>
      <c r="AX531">
        <f t="shared" si="311"/>
        <v>0</v>
      </c>
      <c r="AY531">
        <f t="shared" si="312"/>
        <v>0</v>
      </c>
    </row>
    <row r="532" spans="14:51" x14ac:dyDescent="0.2">
      <c r="N532" s="170">
        <v>14</v>
      </c>
      <c r="O532" s="199">
        <f t="shared" si="314"/>
        <v>1380384.2646028849</v>
      </c>
      <c r="P532" s="189" t="str">
        <f t="shared" si="315"/>
        <v>1757.57575757576</v>
      </c>
      <c r="Q532" s="160" t="str">
        <f t="shared" si="316"/>
        <v>1+500155.117474451i</v>
      </c>
      <c r="R532" s="160">
        <f t="shared" ref="R532:R560" si="324">IMABS(Q532)</f>
        <v>500155.11747545062</v>
      </c>
      <c r="S532" s="160">
        <f t="shared" ref="S532:S560" si="325">IMARGUMENT(Q532)</f>
        <v>1.5707943274151741</v>
      </c>
      <c r="T532" s="160" t="str">
        <f t="shared" si="317"/>
        <v>1+2428.49883629213i</v>
      </c>
      <c r="U532" s="160">
        <f t="shared" ref="U532:U560" si="326">IMABS(T532)</f>
        <v>2428.4990421806283</v>
      </c>
      <c r="V532" s="160">
        <f t="shared" ref="V532:V560" si="327">IMARGUMENT(T532)</f>
        <v>1.5703845498038864</v>
      </c>
      <c r="W532" s="98" t="str">
        <f t="shared" si="318"/>
        <v>1-1.56298474210766i</v>
      </c>
      <c r="X532" s="160">
        <f t="shared" ref="X532:X560" si="328">IMABS(W532)</f>
        <v>1.8555110627698632</v>
      </c>
      <c r="Y532" s="160">
        <f t="shared" ref="Y532:Y560" si="329">IMARGUMENT(W532)</f>
        <v>-1.0016239605219885</v>
      </c>
      <c r="Z532" s="98" t="str">
        <f t="shared" si="319"/>
        <v>-761.1842871853-36.742416238526i</v>
      </c>
      <c r="AA532" s="160">
        <f t="shared" ref="AA532:AA560" si="330">IMABS(Z532)</f>
        <v>762.07055067679823</v>
      </c>
      <c r="AB532" s="160">
        <f t="shared" ref="AB532:AB560" si="331">IMARGUMENT(Z532)</f>
        <v>-3.0933600244055612</v>
      </c>
      <c r="AC532" s="171" t="str">
        <f t="shared" ref="AC532:AC560" si="332">(IMDIV(IMPRODUCT(P532,T532,W532),IMPRODUCT(Q532,Z532)))</f>
        <v>-0.0103340132075715+0.0180265669386591i</v>
      </c>
      <c r="AD532" s="190">
        <f t="shared" ref="AD532:AD560" si="333">20*LOG(IMABS(AC532))</f>
        <v>-33.64768715413679</v>
      </c>
      <c r="AE532" s="169">
        <f t="shared" ref="AE532:AE560" si="334">(180/PI())*IMARGUMENT(AC532)</f>
        <v>119.8241697881701</v>
      </c>
      <c r="AF532" s="98" t="str">
        <f t="shared" si="320"/>
        <v>-0.0000114342530449913</v>
      </c>
      <c r="AG532" s="98" t="str">
        <f t="shared" si="321"/>
        <v>1.04121887606025i</v>
      </c>
      <c r="AH532" s="98">
        <f t="shared" ref="AH532:AH560" si="335">IMABS(AG532)</f>
        <v>1.0412188760602501</v>
      </c>
      <c r="AI532" s="98">
        <f t="shared" ref="AI532:AI560" si="336">IMARGUMENT(AG532)</f>
        <v>1.5707963267948966</v>
      </c>
      <c r="AJ532" s="98" t="str">
        <f t="shared" si="322"/>
        <v>1+9.53655757691917i</v>
      </c>
      <c r="AK532" s="98">
        <f t="shared" ref="AK532:AK560" si="337">IMABS(AJ532)</f>
        <v>9.5888440605682206</v>
      </c>
      <c r="AL532" s="98">
        <f t="shared" ref="AL532:AL560" si="338">IMARGUMENT(AJ532)</f>
        <v>1.4663185000055508</v>
      </c>
      <c r="AM532" s="98" t="str">
        <f t="shared" si="323"/>
        <v>1+22897.2747421829i</v>
      </c>
      <c r="AN532" s="98">
        <f t="shared" ref="AN532:AN560" si="339">IMABS(AM532)</f>
        <v>22897.274764019559</v>
      </c>
      <c r="AO532" s="98">
        <f t="shared" ref="AO532:AO560" si="340">IMARGUMENT(AM532)</f>
        <v>1.5707526534752276</v>
      </c>
      <c r="AP532" s="168" t="str">
        <f t="shared" ref="AP532:AP560" si="341">IMPRODUCT(AF532,IMDIV(AM532,IMPRODUCT(AG532,AJ532)))</f>
        <v>-0.00273360733661284+0.0260801853619809i</v>
      </c>
      <c r="AQ532" s="98">
        <f t="shared" ref="AQ532:AQ560" si="342">20*LOG(IMABS(AP532))</f>
        <v>-31.626333878623051</v>
      </c>
      <c r="AR532" s="169">
        <f t="shared" ref="AR532:AR560" si="343">(180/PI())*IMARGUMENT(AP532)</f>
        <v>95.98363623083398</v>
      </c>
      <c r="AS532" s="168" t="str">
        <f t="shared" ref="AS532:AS560" si="344">IMPRODUCT(AC532,AP532)</f>
        <v>-0.000441887072879514-0.000318790535624084i</v>
      </c>
      <c r="AT532" s="190">
        <f t="shared" ref="AT532:AT560" si="345">20*LOG(IMABS(AS532))</f>
        <v>-65.274021032759862</v>
      </c>
      <c r="AU532" s="169">
        <f t="shared" ref="AU532:AU560" si="346">(180/PI())*IMARGUMENT(AS532)</f>
        <v>-144.19219398099591</v>
      </c>
      <c r="AV532" s="225"/>
      <c r="AX532">
        <f t="shared" ref="AX532:AX559" si="347">SUM((AT533&lt;0)*(AT532&gt;0))*O532</f>
        <v>0</v>
      </c>
      <c r="AY532">
        <f t="shared" ref="AY532:AY559" si="348">IF(AX532&gt;0,AU532,0)</f>
        <v>0</v>
      </c>
    </row>
    <row r="533" spans="14:51" x14ac:dyDescent="0.2">
      <c r="N533" s="170">
        <v>15</v>
      </c>
      <c r="O533" s="199">
        <f t="shared" si="314"/>
        <v>1412537.5446227565</v>
      </c>
      <c r="P533" s="189" t="str">
        <f t="shared" si="315"/>
        <v>1757.57575757576</v>
      </c>
      <c r="Q533" s="160" t="str">
        <f t="shared" si="316"/>
        <v>1+511805.226764964i</v>
      </c>
      <c r="R533" s="160">
        <f t="shared" si="324"/>
        <v>511805.2267659409</v>
      </c>
      <c r="S533" s="160">
        <f t="shared" si="325"/>
        <v>1.5707943729266129</v>
      </c>
      <c r="T533" s="160" t="str">
        <f t="shared" si="317"/>
        <v>1+2485.06584093971i</v>
      </c>
      <c r="U533" s="160">
        <f t="shared" si="326"/>
        <v>2485.0660421416142</v>
      </c>
      <c r="V533" s="160">
        <f t="shared" si="327"/>
        <v>1.5703939229915247</v>
      </c>
      <c r="W533" s="98" t="str">
        <f t="shared" si="318"/>
        <v>1-1.59939133364051i</v>
      </c>
      <c r="X533" s="160">
        <f t="shared" si="328"/>
        <v>1.8862801059557326</v>
      </c>
      <c r="Y533" s="160">
        <f t="shared" si="329"/>
        <v>-1.0120259909725096</v>
      </c>
      <c r="Z533" s="98" t="str">
        <f t="shared" si="319"/>
        <v>-797.104925987555-37.5982570563463i</v>
      </c>
      <c r="AA533" s="160">
        <f t="shared" si="330"/>
        <v>797.99116033155451</v>
      </c>
      <c r="AB533" s="160">
        <f t="shared" si="331"/>
        <v>-3.0944590714688629</v>
      </c>
      <c r="AC533" s="171" t="str">
        <f t="shared" si="332"/>
        <v>-0.0098694148306829+0.01759307415561i</v>
      </c>
      <c r="AD533" s="190">
        <f t="shared" si="333"/>
        <v>-33.904892487028441</v>
      </c>
      <c r="AE533" s="169">
        <f t="shared" si="334"/>
        <v>119.29168253968105</v>
      </c>
      <c r="AF533" s="98" t="str">
        <f t="shared" si="320"/>
        <v>-0.0000114342530449913</v>
      </c>
      <c r="AG533" s="98" t="str">
        <f t="shared" si="321"/>
        <v>1.0654719793029i</v>
      </c>
      <c r="AH533" s="98">
        <f t="shared" si="335"/>
        <v>1.0654719793028999</v>
      </c>
      <c r="AI533" s="98">
        <f t="shared" si="336"/>
        <v>1.5707963267948966</v>
      </c>
      <c r="AJ533" s="98" t="str">
        <f t="shared" si="322"/>
        <v>1+9.75869253894333i</v>
      </c>
      <c r="AK533" s="98">
        <f t="shared" si="337"/>
        <v>9.8097951084427955</v>
      </c>
      <c r="AL533" s="98">
        <f t="shared" si="338"/>
        <v>1.4686800172923178</v>
      </c>
      <c r="AM533" s="98" t="str">
        <f t="shared" si="323"/>
        <v>1+23430.6207860029i</v>
      </c>
      <c r="AN533" s="98">
        <f t="shared" si="339"/>
        <v>23430.620807342497</v>
      </c>
      <c r="AO533" s="98">
        <f t="shared" si="340"/>
        <v>1.5707536476013522</v>
      </c>
      <c r="AP533" s="168" t="str">
        <f t="shared" si="341"/>
        <v>-0.00261185323833996+0.0254990043416688i</v>
      </c>
      <c r="AQ533" s="98">
        <f t="shared" si="342"/>
        <v>-31.824207492651833</v>
      </c>
      <c r="AR533" s="169">
        <f t="shared" si="343"/>
        <v>95.848388216286295</v>
      </c>
      <c r="AS533" s="168" t="str">
        <f t="shared" si="344"/>
        <v>-0.000422828411191161-0.000297610779322999i</v>
      </c>
      <c r="AT533" s="190">
        <f t="shared" si="345"/>
        <v>-65.729099979680271</v>
      </c>
      <c r="AU533" s="169">
        <f t="shared" si="346"/>
        <v>-144.85992924403263</v>
      </c>
      <c r="AV533" s="225"/>
      <c r="AX533">
        <f t="shared" si="347"/>
        <v>0</v>
      </c>
      <c r="AY533">
        <f t="shared" si="348"/>
        <v>0</v>
      </c>
    </row>
    <row r="534" spans="14:51" x14ac:dyDescent="0.2">
      <c r="N534" s="170">
        <v>16</v>
      </c>
      <c r="O534" s="199">
        <f t="shared" si="314"/>
        <v>1445439.7707459298</v>
      </c>
      <c r="P534" s="189" t="str">
        <f t="shared" si="315"/>
        <v>1757.57575757576</v>
      </c>
      <c r="Q534" s="160" t="str">
        <f t="shared" si="316"/>
        <v>1+523726.701961251i</v>
      </c>
      <c r="R534" s="160">
        <f t="shared" si="324"/>
        <v>523726.70196220558</v>
      </c>
      <c r="S534" s="160">
        <f t="shared" si="325"/>
        <v>1.5707944174020849</v>
      </c>
      <c r="T534" s="160" t="str">
        <f t="shared" si="317"/>
        <v>1+2542.95046038988i</v>
      </c>
      <c r="U534" s="160">
        <f t="shared" si="326"/>
        <v>2542.9506570118706</v>
      </c>
      <c r="V534" s="160">
        <f t="shared" si="327"/>
        <v>1.5704030828194322</v>
      </c>
      <c r="W534" s="98" t="str">
        <f t="shared" si="318"/>
        <v>1-1.6366459436289i</v>
      </c>
      <c r="X534" s="160">
        <f t="shared" si="328"/>
        <v>1.917970266922022</v>
      </c>
      <c r="Y534" s="160">
        <f t="shared" si="329"/>
        <v>-1.0223236769034796</v>
      </c>
      <c r="Z534" s="98" t="str">
        <f t="shared" si="319"/>
        <v>-834.71845234162-38.4740329677297i</v>
      </c>
      <c r="AA534" s="160">
        <f t="shared" si="330"/>
        <v>835.60465885033898</v>
      </c>
      <c r="AB534" s="160">
        <f t="shared" si="331"/>
        <v>-3.0955330252278861</v>
      </c>
      <c r="AC534" s="171" t="str">
        <f t="shared" si="332"/>
        <v>-0.00942568197993359+0.0171709950023972i</v>
      </c>
      <c r="AD534" s="190">
        <f t="shared" si="333"/>
        <v>-34.16023424398302</v>
      </c>
      <c r="AE534" s="169">
        <f t="shared" si="334"/>
        <v>118.76372388609272</v>
      </c>
      <c r="AF534" s="98" t="str">
        <f t="shared" si="320"/>
        <v>-0.0000114342530449913</v>
      </c>
      <c r="AG534" s="98" t="str">
        <f t="shared" si="321"/>
        <v>1.09029000989216i</v>
      </c>
      <c r="AH534" s="98">
        <f t="shared" si="335"/>
        <v>1.09029000989216</v>
      </c>
      <c r="AI534" s="98">
        <f t="shared" si="336"/>
        <v>1.5707963267948966</v>
      </c>
      <c r="AJ534" s="98" t="str">
        <f t="shared" si="322"/>
        <v>1+9.9860016889232i</v>
      </c>
      <c r="AK534" s="98">
        <f t="shared" si="337"/>
        <v>10.03594687765818</v>
      </c>
      <c r="AL534" s="98">
        <f t="shared" si="338"/>
        <v>1.4709888848069779</v>
      </c>
      <c r="AM534" s="98" t="str">
        <f t="shared" si="323"/>
        <v>1+23976.3900551046i</v>
      </c>
      <c r="AN534" s="98">
        <f t="shared" si="339"/>
        <v>23976.390075958443</v>
      </c>
      <c r="AO534" s="98">
        <f t="shared" si="340"/>
        <v>1.5707546190984034</v>
      </c>
      <c r="AP534" s="168" t="str">
        <f t="shared" si="341"/>
        <v>-0.00249546760003317+0.0249302310186851i</v>
      </c>
      <c r="AQ534" s="98">
        <f t="shared" si="342"/>
        <v>-32.022175837466769</v>
      </c>
      <c r="AR534" s="169">
        <f t="shared" si="343"/>
        <v>95.716155514922249</v>
      </c>
      <c r="AS534" s="168" t="str">
        <f t="shared" si="344"/>
        <v>-0.000404555388241309-0.000277834090957215i</v>
      </c>
      <c r="AT534" s="190">
        <f t="shared" si="345"/>
        <v>-66.182410081449788</v>
      </c>
      <c r="AU534" s="169">
        <f t="shared" si="346"/>
        <v>-145.52012059898507</v>
      </c>
      <c r="AV534" s="225"/>
      <c r="AX534">
        <f t="shared" si="347"/>
        <v>0</v>
      </c>
      <c r="AY534">
        <f t="shared" si="348"/>
        <v>0</v>
      </c>
    </row>
    <row r="535" spans="14:51" x14ac:dyDescent="0.2">
      <c r="N535" s="170">
        <v>17</v>
      </c>
      <c r="O535" s="199">
        <f t="shared" si="314"/>
        <v>1479108.3881682095</v>
      </c>
      <c r="P535" s="189" t="str">
        <f t="shared" si="315"/>
        <v>1757.57575757576</v>
      </c>
      <c r="Q535" s="160" t="str">
        <f t="shared" si="316"/>
        <v>1+535925.863987258i</v>
      </c>
      <c r="R535" s="160">
        <f t="shared" si="324"/>
        <v>535925.86398819101</v>
      </c>
      <c r="S535" s="160">
        <f t="shared" si="325"/>
        <v>1.5707944608651716</v>
      </c>
      <c r="T535" s="160" t="str">
        <f t="shared" si="317"/>
        <v>1+2602.18338583408i</v>
      </c>
      <c r="U535" s="160">
        <f t="shared" si="326"/>
        <v>2602.1835779804073</v>
      </c>
      <c r="V535" s="160">
        <f t="shared" si="327"/>
        <v>1.5704120341442644</v>
      </c>
      <c r="W535" s="98" t="str">
        <f t="shared" si="318"/>
        <v>1-1.67476832496018i</v>
      </c>
      <c r="X535" s="160">
        <f t="shared" si="328"/>
        <v>1.9506021999090246</v>
      </c>
      <c r="Y535" s="160">
        <f t="shared" si="329"/>
        <v>-1.0325137419735357</v>
      </c>
      <c r="Z535" s="98" t="str">
        <f t="shared" si="319"/>
        <v>-874.104649579824-39.3702083206564i</v>
      </c>
      <c r="AA535" s="160">
        <f t="shared" si="330"/>
        <v>874.9908295063891</v>
      </c>
      <c r="AB535" s="160">
        <f t="shared" si="331"/>
        <v>-3.0965824619398421</v>
      </c>
      <c r="AC535" s="171" t="str">
        <f t="shared" si="332"/>
        <v>-0.0090018795073338+0.0167599664290935i</v>
      </c>
      <c r="AD535" s="190">
        <f t="shared" si="333"/>
        <v>-34.413750459592784</v>
      </c>
      <c r="AE535" s="169">
        <f t="shared" si="334"/>
        <v>118.24051484195849</v>
      </c>
      <c r="AF535" s="98" t="str">
        <f t="shared" si="320"/>
        <v>-0.0000114342530449913</v>
      </c>
      <c r="AG535" s="98" t="str">
        <f t="shared" si="321"/>
        <v>1.11568612667636i</v>
      </c>
      <c r="AH535" s="98">
        <f t="shared" si="335"/>
        <v>1.11568612667636</v>
      </c>
      <c r="AI535" s="98">
        <f t="shared" si="336"/>
        <v>1.5707963267948966</v>
      </c>
      <c r="AJ535" s="98" t="str">
        <f t="shared" si="322"/>
        <v>1+10.2186055491789i</v>
      </c>
      <c r="AK535" s="98">
        <f t="shared" si="337"/>
        <v>10.267419314010205</v>
      </c>
      <c r="AL535" s="98">
        <f t="shared" si="338"/>
        <v>1.4732462282215415</v>
      </c>
      <c r="AM535" s="98" t="str">
        <f t="shared" si="323"/>
        <v>1+24534.8719235785i</v>
      </c>
      <c r="AN535" s="98">
        <f t="shared" si="339"/>
        <v>24534.871943957656</v>
      </c>
      <c r="AO535" s="98">
        <f t="shared" si="340"/>
        <v>1.570755568481482</v>
      </c>
      <c r="AP535" s="168" t="str">
        <f t="shared" si="341"/>
        <v>-0.00238421845842008+0.0243736365985338i</v>
      </c>
      <c r="AQ535" s="98">
        <f t="shared" si="342"/>
        <v>-32.220234734205697</v>
      </c>
      <c r="AR535" s="169">
        <f t="shared" si="343"/>
        <v>95.586873659999654</v>
      </c>
      <c r="AS535" s="168" t="str">
        <f t="shared" si="344"/>
        <v>-0.000387038883864492-0.000259367961138288i</v>
      </c>
      <c r="AT535" s="190">
        <f t="shared" si="345"/>
        <v>-66.633985193798495</v>
      </c>
      <c r="AU535" s="169">
        <f t="shared" si="346"/>
        <v>-146.17261149804182</v>
      </c>
      <c r="AV535" s="225"/>
      <c r="AX535">
        <f t="shared" si="347"/>
        <v>0</v>
      </c>
      <c r="AY535">
        <f t="shared" si="348"/>
        <v>0</v>
      </c>
    </row>
    <row r="536" spans="14:51" x14ac:dyDescent="0.2">
      <c r="N536" s="170">
        <v>18</v>
      </c>
      <c r="O536" s="199">
        <f t="shared" si="314"/>
        <v>1513561.2484362102</v>
      </c>
      <c r="P536" s="189" t="str">
        <f t="shared" si="315"/>
        <v>1757.57575757576</v>
      </c>
      <c r="Q536" s="160" t="str">
        <f t="shared" si="316"/>
        <v>1+548409.18100017i</v>
      </c>
      <c r="R536" s="160">
        <f t="shared" si="324"/>
        <v>548409.1810010816</v>
      </c>
      <c r="S536" s="160">
        <f t="shared" si="325"/>
        <v>1.5707945033389177</v>
      </c>
      <c r="T536" s="160" t="str">
        <f t="shared" si="317"/>
        <v>1+2662.79602335342i</v>
      </c>
      <c r="U536" s="160">
        <f t="shared" si="326"/>
        <v>2662.7962111259635</v>
      </c>
      <c r="V536" s="160">
        <f t="shared" si="327"/>
        <v>1.5704207817121272</v>
      </c>
      <c r="W536" s="98" t="str">
        <f t="shared" si="318"/>
        <v>1-1.71377869062553i</v>
      </c>
      <c r="X536" s="160">
        <f t="shared" si="328"/>
        <v>1.9841969157425268</v>
      </c>
      <c r="Y536" s="160">
        <f t="shared" si="329"/>
        <v>-1.0425931237422692</v>
      </c>
      <c r="Z536" s="98" t="str">
        <f t="shared" si="319"/>
        <v>-915.347061107114-40.2872582791612i</v>
      </c>
      <c r="AA536" s="160">
        <f t="shared" si="330"/>
        <v>916.23321564822265</v>
      </c>
      <c r="AB536" s="160">
        <f t="shared" si="331"/>
        <v>-3.0976079444072493</v>
      </c>
      <c r="AC536" s="171" t="str">
        <f t="shared" si="332"/>
        <v>-0.00859711400423326+0.0163596405458925i</v>
      </c>
      <c r="AD536" s="190">
        <f t="shared" si="333"/>
        <v>-34.665479889442246</v>
      </c>
      <c r="AE536" s="169">
        <f t="shared" si="334"/>
        <v>117.72226338900926</v>
      </c>
      <c r="AF536" s="98" t="str">
        <f t="shared" si="320"/>
        <v>-0.0000114342530449913</v>
      </c>
      <c r="AG536" s="98" t="str">
        <f t="shared" si="321"/>
        <v>1.14167379501278i</v>
      </c>
      <c r="AH536" s="98">
        <f t="shared" si="335"/>
        <v>1.14167379501278</v>
      </c>
      <c r="AI536" s="98">
        <f t="shared" si="336"/>
        <v>1.5707963267948966</v>
      </c>
      <c r="AJ536" s="98" t="str">
        <f t="shared" si="322"/>
        <v>1+10.456627449356i</v>
      </c>
      <c r="AK536" s="98">
        <f t="shared" si="337"/>
        <v>10.504335181943947</v>
      </c>
      <c r="AL536" s="98">
        <f t="shared" si="338"/>
        <v>1.4754531523387069</v>
      </c>
      <c r="AM536" s="98" t="str">
        <f t="shared" si="323"/>
        <v>1+25106.3625059037i</v>
      </c>
      <c r="AN536" s="98">
        <f t="shared" si="339"/>
        <v>25106.362525818968</v>
      </c>
      <c r="AO536" s="98">
        <f t="shared" si="340"/>
        <v>1.5707564962539635</v>
      </c>
      <c r="AP536" s="168" t="str">
        <f t="shared" si="341"/>
        <v>-0.00227788345875646+0.0238289940428601i</v>
      </c>
      <c r="AQ536" s="98">
        <f t="shared" si="342"/>
        <v>-32.418380184737231</v>
      </c>
      <c r="AR536" s="169">
        <f t="shared" si="343"/>
        <v>95.460479379827959</v>
      </c>
      <c r="AS536" s="168" t="str">
        <f t="shared" si="344"/>
        <v>-0.000370250553328118-0.000242125932983354i</v>
      </c>
      <c r="AT536" s="190">
        <f t="shared" si="345"/>
        <v>-67.083860074179483</v>
      </c>
      <c r="AU536" s="169">
        <f t="shared" si="346"/>
        <v>-146.81725723116267</v>
      </c>
      <c r="AV536" s="225"/>
      <c r="AX536">
        <f t="shared" si="347"/>
        <v>0</v>
      </c>
      <c r="AY536">
        <f t="shared" si="348"/>
        <v>0</v>
      </c>
    </row>
    <row r="537" spans="14:51" x14ac:dyDescent="0.2">
      <c r="N537" s="170">
        <v>19</v>
      </c>
      <c r="O537" s="199">
        <f t="shared" si="314"/>
        <v>1548816.6189124861</v>
      </c>
      <c r="P537" s="189" t="str">
        <f t="shared" si="315"/>
        <v>1757.57575757576</v>
      </c>
      <c r="Q537" s="160" t="str">
        <f t="shared" si="316"/>
        <v>1+561183.271819903i</v>
      </c>
      <c r="R537" s="160">
        <f t="shared" si="324"/>
        <v>561183.27182079398</v>
      </c>
      <c r="S537" s="160">
        <f t="shared" si="325"/>
        <v>1.5707945448458431</v>
      </c>
      <c r="T537" s="160" t="str">
        <f t="shared" si="317"/>
        <v>1+2724.82051057062i</v>
      </c>
      <c r="U537" s="160">
        <f t="shared" si="326"/>
        <v>2724.8206940689388</v>
      </c>
      <c r="V537" s="160">
        <f t="shared" si="327"/>
        <v>1.5704293301610908</v>
      </c>
      <c r="W537" s="98" t="str">
        <f t="shared" si="318"/>
        <v>1-1.75369772443719i</v>
      </c>
      <c r="X537" s="160">
        <f t="shared" si="328"/>
        <v>2.0187757945587168</v>
      </c>
      <c r="Y537" s="160">
        <f t="shared" si="329"/>
        <v>-1.0525589738551333</v>
      </c>
      <c r="Z537" s="98" t="str">
        <f t="shared" si="319"/>
        <v>-958.533167607804-41.2256690752705i</v>
      </c>
      <c r="AA537" s="160">
        <f t="shared" si="330"/>
        <v>959.41929790626693</v>
      </c>
      <c r="AB537" s="160">
        <f t="shared" si="331"/>
        <v>-3.0986100223066675</v>
      </c>
      <c r="AC537" s="171" t="str">
        <f t="shared" si="332"/>
        <v>-0.00821053195362985+0.0159696838172025i</v>
      </c>
      <c r="AD537" s="190">
        <f t="shared" si="333"/>
        <v>-34.915461899714266</v>
      </c>
      <c r="AE537" s="169">
        <f t="shared" si="334"/>
        <v>117.20916448453755</v>
      </c>
      <c r="AF537" s="98" t="str">
        <f t="shared" si="320"/>
        <v>-0.0000114342530449913</v>
      </c>
      <c r="AG537" s="98" t="str">
        <f t="shared" si="321"/>
        <v>1.16826679390715i</v>
      </c>
      <c r="AH537" s="98">
        <f t="shared" si="335"/>
        <v>1.16826679390715</v>
      </c>
      <c r="AI537" s="98">
        <f t="shared" si="336"/>
        <v>1.5707963267948966</v>
      </c>
      <c r="AJ537" s="98" t="str">
        <f t="shared" si="322"/>
        <v>1+10.7001935918166i</v>
      </c>
      <c r="AK537" s="98">
        <f t="shared" si="337"/>
        <v>10.746820129803655</v>
      </c>
      <c r="AL537" s="98">
        <f t="shared" si="338"/>
        <v>1.4776107412607078</v>
      </c>
      <c r="AM537" s="98" t="str">
        <f t="shared" si="323"/>
        <v>1+25691.1648139515i</v>
      </c>
      <c r="AN537" s="98">
        <f t="shared" si="339"/>
        <v>25691.164833413441</v>
      </c>
      <c r="AO537" s="98">
        <f t="shared" si="340"/>
        <v>1.5707574029077651</v>
      </c>
      <c r="AP537" s="168" t="str">
        <f t="shared" si="341"/>
        <v>-0.00217624949322802+0.023296078246218i</v>
      </c>
      <c r="AQ537" s="98">
        <f t="shared" si="342"/>
        <v>-32.616608364160079</v>
      </c>
      <c r="AR537" s="169">
        <f t="shared" si="343"/>
        <v>95.336910588109461</v>
      </c>
      <c r="AS537" s="168" t="str">
        <f t="shared" si="344"/>
        <v>-0.000354162837769691-0.000226027211149033i</v>
      </c>
      <c r="AT537" s="190">
        <f t="shared" si="345"/>
        <v>-67.532070263874346</v>
      </c>
      <c r="AU537" s="169">
        <f t="shared" si="346"/>
        <v>-147.45392492735294</v>
      </c>
      <c r="AV537" s="225"/>
      <c r="AX537">
        <f t="shared" si="347"/>
        <v>0</v>
      </c>
      <c r="AY537">
        <f t="shared" si="348"/>
        <v>0</v>
      </c>
    </row>
    <row r="538" spans="14:51" x14ac:dyDescent="0.2">
      <c r="N538" s="170">
        <v>20</v>
      </c>
      <c r="O538" s="199">
        <f t="shared" si="314"/>
        <v>1584893.1924611153</v>
      </c>
      <c r="P538" s="189" t="str">
        <f t="shared" si="315"/>
        <v>1757.57575757576</v>
      </c>
      <c r="Q538" s="160" t="str">
        <f t="shared" si="316"/>
        <v>1+574254.909438491i</v>
      </c>
      <c r="R538" s="160">
        <f t="shared" si="324"/>
        <v>574254.90943936165</v>
      </c>
      <c r="S538" s="160">
        <f t="shared" si="325"/>
        <v>1.5707945854079557</v>
      </c>
      <c r="T538" s="160" t="str">
        <f t="shared" si="317"/>
        <v>1+2788.28973368978i</v>
      </c>
      <c r="U538" s="160">
        <f t="shared" si="326"/>
        <v>2788.2899130111673</v>
      </c>
      <c r="V538" s="160">
        <f t="shared" si="327"/>
        <v>1.5704376840236514</v>
      </c>
      <c r="W538" s="98" t="str">
        <f t="shared" si="318"/>
        <v>1-1.79454659199528i</v>
      </c>
      <c r="X538" s="160">
        <f t="shared" si="328"/>
        <v>2.0543605990287768</v>
      </c>
      <c r="Y538" s="160">
        <f t="shared" si="329"/>
        <v>-1.0624086574024312</v>
      </c>
      <c r="Z538" s="98" t="str">
        <f t="shared" si="319"/>
        <v>-1003.75457260384-42.1859382668096i</v>
      </c>
      <c r="AA538" s="160">
        <f t="shared" si="330"/>
        <v>1004.6406797510084</v>
      </c>
      <c r="AB538" s="160">
        <f t="shared" si="331"/>
        <v>-3.0995892325084591</v>
      </c>
      <c r="AC538" s="171" t="str">
        <f t="shared" si="332"/>
        <v>-0.00784131796289936+0.0155897763048977i</v>
      </c>
      <c r="AD538" s="190">
        <f t="shared" si="333"/>
        <v>-35.163736359247956</v>
      </c>
      <c r="AE538" s="169">
        <f t="shared" si="334"/>
        <v>116.70140011658624</v>
      </c>
      <c r="AF538" s="98" t="str">
        <f t="shared" si="320"/>
        <v>-0.0000114342530449913</v>
      </c>
      <c r="AG538" s="98" t="str">
        <f t="shared" si="321"/>
        <v>1.19547922331949i</v>
      </c>
      <c r="AH538" s="98">
        <f t="shared" si="335"/>
        <v>1.19547922331949</v>
      </c>
      <c r="AI538" s="98">
        <f t="shared" si="336"/>
        <v>1.5707963267948966</v>
      </c>
      <c r="AJ538" s="98" t="str">
        <f t="shared" si="322"/>
        <v>1+10.9494331185533i</v>
      </c>
      <c r="AK538" s="98">
        <f t="shared" si="337"/>
        <v>10.995002756601375</v>
      </c>
      <c r="AL538" s="98">
        <f t="shared" si="338"/>
        <v>1.4797200585735684</v>
      </c>
      <c r="AM538" s="98" t="str">
        <f t="shared" si="323"/>
        <v>1+26289.5889176464i</v>
      </c>
      <c r="AN538" s="98">
        <f t="shared" si="339"/>
        <v>26289.588936665335</v>
      </c>
      <c r="AO538" s="98">
        <f t="shared" si="340"/>
        <v>1.5707582889236065</v>
      </c>
      <c r="AP538" s="168" t="str">
        <f t="shared" si="341"/>
        <v>-0.00207911234968394+0.0227746661957904i</v>
      </c>
      <c r="AQ538" s="98">
        <f t="shared" si="342"/>
        <v>-32.814915613585129</v>
      </c>
      <c r="AR538" s="169">
        <f t="shared" si="343"/>
        <v>95.216106373396983</v>
      </c>
      <c r="AS538" s="168" t="str">
        <f t="shared" si="344"/>
        <v>-0.000338748970396625-0.000210996295584411i</v>
      </c>
      <c r="AT538" s="190">
        <f t="shared" si="345"/>
        <v>-67.978651972833092</v>
      </c>
      <c r="AU538" s="169">
        <f t="shared" si="346"/>
        <v>-148.08249351001677</v>
      </c>
      <c r="AV538" s="225"/>
      <c r="AX538">
        <f t="shared" si="347"/>
        <v>0</v>
      </c>
      <c r="AY538">
        <f t="shared" si="348"/>
        <v>0</v>
      </c>
    </row>
    <row r="539" spans="14:51" x14ac:dyDescent="0.2">
      <c r="N539" s="170">
        <v>21</v>
      </c>
      <c r="O539" s="199">
        <f t="shared" si="314"/>
        <v>1621810.0973589318</v>
      </c>
      <c r="P539" s="189" t="str">
        <f t="shared" si="315"/>
        <v>1757.57575757576</v>
      </c>
      <c r="Q539" s="160" t="str">
        <f t="shared" si="316"/>
        <v>1+587631.024611225i</v>
      </c>
      <c r="R539" s="160">
        <f t="shared" si="324"/>
        <v>587631.02461207588</v>
      </c>
      <c r="S539" s="160">
        <f t="shared" si="325"/>
        <v>1.5707946250467619</v>
      </c>
      <c r="T539" s="160" t="str">
        <f t="shared" si="317"/>
        <v>1+2853.23734493311i</v>
      </c>
      <c r="U539" s="160">
        <f t="shared" si="326"/>
        <v>2853.237520172645</v>
      </c>
      <c r="V539" s="160">
        <f t="shared" si="327"/>
        <v>1.5704458477291328</v>
      </c>
      <c r="W539" s="98" t="str">
        <f t="shared" si="318"/>
        <v>1-1.83634695191007i</v>
      </c>
      <c r="X539" s="160">
        <f t="shared" si="328"/>
        <v>2.0909734880646869</v>
      </c>
      <c r="Y539" s="160">
        <f t="shared" si="329"/>
        <v>-1.0721397514984117</v>
      </c>
      <c r="Z539" s="98" t="str">
        <f t="shared" si="319"/>
        <v>-1051.10719675815-43.1685750012146i</v>
      </c>
      <c r="AA539" s="160">
        <f t="shared" si="330"/>
        <v>1051.9932817962344</v>
      </c>
      <c r="AB539" s="160">
        <f t="shared" si="331"/>
        <v>-3.1005460993878731</v>
      </c>
      <c r="AC539" s="171" t="str">
        <f t="shared" si="332"/>
        <v>-0.00748869307357129+0.0152196109575487i</v>
      </c>
      <c r="AD539" s="190">
        <f t="shared" si="333"/>
        <v>-35.410343534527087</v>
      </c>
      <c r="AE539" s="169">
        <f t="shared" si="334"/>
        <v>116.19913940332113</v>
      </c>
      <c r="AF539" s="98" t="str">
        <f t="shared" si="320"/>
        <v>-0.0000114342530449913</v>
      </c>
      <c r="AG539" s="98" t="str">
        <f t="shared" si="321"/>
        <v>1.22332551164007i</v>
      </c>
      <c r="AH539" s="98">
        <f t="shared" si="335"/>
        <v>1.2233255116400701</v>
      </c>
      <c r="AI539" s="98">
        <f t="shared" si="336"/>
        <v>1.5707963267948966</v>
      </c>
      <c r="AJ539" s="98" t="str">
        <f t="shared" si="322"/>
        <v>1+11.2044781796624i</v>
      </c>
      <c r="AK539" s="98">
        <f t="shared" si="337"/>
        <v>11.249014680341158</v>
      </c>
      <c r="AL539" s="98">
        <f t="shared" si="338"/>
        <v>1.4817821475452619</v>
      </c>
      <c r="AM539" s="98" t="str">
        <f t="shared" si="323"/>
        <v>1+26901.9521093693i</v>
      </c>
      <c r="AN539" s="98">
        <f t="shared" si="339"/>
        <v>26901.952127955308</v>
      </c>
      <c r="AO539" s="98">
        <f t="shared" si="340"/>
        <v>1.5707591547712652</v>
      </c>
      <c r="AP539" s="168" t="str">
        <f t="shared" si="341"/>
        <v>-0.00198627637072335+0.0222645371151645i</v>
      </c>
      <c r="AQ539" s="98">
        <f t="shared" si="342"/>
        <v>-33.013298433193647</v>
      </c>
      <c r="AR539" s="169">
        <f t="shared" si="343"/>
        <v>95.098006987755028</v>
      </c>
      <c r="AS539" s="168" t="str">
        <f t="shared" si="344"/>
        <v>-0.000323982978943073-0.000196962638497184i</v>
      </c>
      <c r="AT539" s="190">
        <f t="shared" si="345"/>
        <v>-68.423641967720741</v>
      </c>
      <c r="AU539" s="169">
        <f t="shared" si="346"/>
        <v>-148.70285360892387</v>
      </c>
      <c r="AV539" s="225"/>
      <c r="AX539">
        <f t="shared" si="347"/>
        <v>0</v>
      </c>
      <c r="AY539">
        <f t="shared" si="348"/>
        <v>0</v>
      </c>
    </row>
    <row r="540" spans="14:51" x14ac:dyDescent="0.2">
      <c r="N540" s="170">
        <v>22</v>
      </c>
      <c r="O540" s="199">
        <f t="shared" si="314"/>
        <v>1659586.9074375622</v>
      </c>
      <c r="P540" s="189" t="str">
        <f t="shared" si="315"/>
        <v>1757.57575757576</v>
      </c>
      <c r="Q540" s="160" t="str">
        <f t="shared" si="316"/>
        <v>1+601318.709531428i</v>
      </c>
      <c r="R540" s="160">
        <f t="shared" si="324"/>
        <v>601318.70953225938</v>
      </c>
      <c r="S540" s="160">
        <f t="shared" si="325"/>
        <v>1.5707946637832788</v>
      </c>
      <c r="T540" s="160" t="str">
        <f t="shared" si="317"/>
        <v>1+2919.69778038381i</v>
      </c>
      <c r="U540" s="160">
        <f t="shared" si="326"/>
        <v>2919.6979516344063</v>
      </c>
      <c r="V540" s="160">
        <f t="shared" si="327"/>
        <v>1.5704538256060352</v>
      </c>
      <c r="W540" s="98" t="str">
        <f t="shared" si="318"/>
        <v>1-1.87912096728571i</v>
      </c>
      <c r="X540" s="160">
        <f t="shared" si="328"/>
        <v>2.1286370309878531</v>
      </c>
      <c r="Y540" s="160">
        <f t="shared" si="329"/>
        <v>-1.0817500431297931</v>
      </c>
      <c r="Z540" s="98" t="str">
        <f t="shared" si="319"/>
        <v>-1100.69148133527-44.1741002854892i</v>
      </c>
      <c r="AA540" s="160">
        <f t="shared" si="330"/>
        <v>1101.5775452595535</v>
      </c>
      <c r="AB540" s="160">
        <f t="shared" si="331"/>
        <v>-3.1014811351277483</v>
      </c>
      <c r="AC540" s="171" t="str">
        <f t="shared" si="332"/>
        <v>-0.00715191314490404+0.014858892942659i</v>
      </c>
      <c r="AD540" s="190">
        <f t="shared" si="333"/>
        <v>-35.655323988028357</v>
      </c>
      <c r="AE540" s="169">
        <f t="shared" si="334"/>
        <v>115.70253873377889</v>
      </c>
      <c r="AF540" s="98" t="str">
        <f t="shared" si="320"/>
        <v>-0.0000114342530449913</v>
      </c>
      <c r="AG540" s="98" t="str">
        <f t="shared" si="321"/>
        <v>1.25182042333956i</v>
      </c>
      <c r="AH540" s="98">
        <f t="shared" si="335"/>
        <v>1.25182042333956</v>
      </c>
      <c r="AI540" s="98">
        <f t="shared" si="336"/>
        <v>1.5707963267948966</v>
      </c>
      <c r="AJ540" s="98" t="str">
        <f t="shared" si="322"/>
        <v>1+11.4654640034111i</v>
      </c>
      <c r="AK540" s="98">
        <f t="shared" si="337"/>
        <v>11.508990607934116</v>
      </c>
      <c r="AL540" s="98">
        <f t="shared" si="338"/>
        <v>1.4837980313363499</v>
      </c>
      <c r="AM540" s="98" t="str">
        <f t="shared" si="323"/>
        <v>1+27528.5790721901i</v>
      </c>
      <c r="AN540" s="98">
        <f t="shared" si="339"/>
        <v>27528.57909035304</v>
      </c>
      <c r="AO540" s="98">
        <f t="shared" si="340"/>
        <v>1.570760000909825</v>
      </c>
      <c r="AP540" s="168" t="str">
        <f t="shared" si="341"/>
        <v>-0.00189755412311707+0.021765472593216i</v>
      </c>
      <c r="AQ540" s="98">
        <f t="shared" si="342"/>
        <v>-33.211753475562006</v>
      </c>
      <c r="AR540" s="169">
        <f t="shared" si="343"/>
        <v>94.982553834705172</v>
      </c>
      <c r="AS540" s="168" t="str">
        <f t="shared" si="344"/>
        <v>-0.000309839684832687-0.000183860323112768i</v>
      </c>
      <c r="AT540" s="190">
        <f t="shared" si="345"/>
        <v>-68.867077463590377</v>
      </c>
      <c r="AU540" s="169">
        <f t="shared" si="346"/>
        <v>-149.31490743151591</v>
      </c>
      <c r="AV540" s="225"/>
      <c r="AX540">
        <f t="shared" si="347"/>
        <v>0</v>
      </c>
      <c r="AY540">
        <f t="shared" si="348"/>
        <v>0</v>
      </c>
    </row>
    <row r="541" spans="14:51" x14ac:dyDescent="0.2">
      <c r="N541" s="170">
        <v>23</v>
      </c>
      <c r="O541" s="199">
        <f t="shared" si="314"/>
        <v>1698243.6524617488</v>
      </c>
      <c r="P541" s="189" t="str">
        <f t="shared" si="315"/>
        <v>1757.57575757576</v>
      </c>
      <c r="Q541" s="160" t="str">
        <f t="shared" si="316"/>
        <v>1+615325.22159082i</v>
      </c>
      <c r="R541" s="160">
        <f t="shared" si="324"/>
        <v>615325.22159163258</v>
      </c>
      <c r="S541" s="160">
        <f t="shared" si="325"/>
        <v>1.5707947016380448</v>
      </c>
      <c r="T541" s="160" t="str">
        <f t="shared" si="317"/>
        <v>1+2987.70627824444i</v>
      </c>
      <c r="U541" s="160">
        <f t="shared" si="326"/>
        <v>2987.7064455968971</v>
      </c>
      <c r="V541" s="160">
        <f t="shared" si="327"/>
        <v>1.5704616218843306</v>
      </c>
      <c r="W541" s="98" t="str">
        <f t="shared" si="318"/>
        <v>1-1.92289131747131i</v>
      </c>
      <c r="X541" s="160">
        <f t="shared" si="328"/>
        <v>2.1673742221422105</v>
      </c>
      <c r="Y541" s="160">
        <f t="shared" si="329"/>
        <v>-1.0912375263255303</v>
      </c>
      <c r="Z541" s="98" t="str">
        <f t="shared" si="319"/>
        <v>-1152.61260125066-45.2030472624487i</v>
      </c>
      <c r="AA541" s="160">
        <f t="shared" si="330"/>
        <v>1153.4986450116116</v>
      </c>
      <c r="AB541" s="160">
        <f t="shared" si="331"/>
        <v>-3.1023948400131074</v>
      </c>
      <c r="AC541" s="171" t="str">
        <f t="shared" si="332"/>
        <v>-0.0068302673081412+0.0145073390191344i</v>
      </c>
      <c r="AD541" s="190">
        <f t="shared" si="333"/>
        <v>-35.89871848030387</v>
      </c>
      <c r="AE541" s="169">
        <f t="shared" si="334"/>
        <v>115.21174194703728</v>
      </c>
      <c r="AF541" s="98" t="str">
        <f t="shared" si="320"/>
        <v>-0.0000114342530449913</v>
      </c>
      <c r="AG541" s="98" t="str">
        <f t="shared" si="321"/>
        <v>1.2809790667973i</v>
      </c>
      <c r="AH541" s="98">
        <f t="shared" si="335"/>
        <v>1.2809790667973</v>
      </c>
      <c r="AI541" s="98">
        <f t="shared" si="336"/>
        <v>1.5707963267948966</v>
      </c>
      <c r="AJ541" s="98" t="str">
        <f t="shared" si="322"/>
        <v>1+11.7325289679379i</v>
      </c>
      <c r="AK541" s="98">
        <f t="shared" si="337"/>
        <v>11.775068406744056</v>
      </c>
      <c r="AL541" s="98">
        <f t="shared" si="338"/>
        <v>1.4857687132217987</v>
      </c>
      <c r="AM541" s="98" t="str">
        <f t="shared" si="323"/>
        <v>1+28169.802052019i</v>
      </c>
      <c r="AN541" s="98">
        <f t="shared" si="339"/>
        <v>28169.802069768502</v>
      </c>
      <c r="AO541" s="98">
        <f t="shared" si="340"/>
        <v>1.5707608277879197</v>
      </c>
      <c r="AP541" s="168" t="str">
        <f t="shared" si="341"/>
        <v>-0.00181276607751178+0.0212772566990927i</v>
      </c>
      <c r="AQ541" s="98">
        <f t="shared" si="342"/>
        <v>-33.41027753924574</v>
      </c>
      <c r="AR541" s="169">
        <f t="shared" si="343"/>
        <v>94.86968945653112</v>
      </c>
      <c r="AS541" s="168" t="str">
        <f t="shared" si="344"/>
        <v>-0.00029629469945435-0.000171627762887591i</v>
      </c>
      <c r="AT541" s="190">
        <f t="shared" si="345"/>
        <v>-69.308996019549625</v>
      </c>
      <c r="AU541" s="169">
        <f t="shared" si="346"/>
        <v>-149.91856859643158</v>
      </c>
      <c r="AV541" s="225"/>
      <c r="AX541">
        <f t="shared" si="347"/>
        <v>0</v>
      </c>
      <c r="AY541">
        <f t="shared" si="348"/>
        <v>0</v>
      </c>
    </row>
    <row r="542" spans="14:51" x14ac:dyDescent="0.2">
      <c r="N542" s="170">
        <v>24</v>
      </c>
      <c r="O542" s="199">
        <f t="shared" si="314"/>
        <v>1737800.8287493798</v>
      </c>
      <c r="P542" s="189" t="str">
        <f t="shared" si="315"/>
        <v>1757.57575757576</v>
      </c>
      <c r="Q542" s="160" t="str">
        <f t="shared" si="316"/>
        <v>1+629657.987227485i</v>
      </c>
      <c r="R542" s="160">
        <f t="shared" si="324"/>
        <v>629657.987228279</v>
      </c>
      <c r="S542" s="160">
        <f t="shared" si="325"/>
        <v>1.5707947386311312</v>
      </c>
      <c r="T542" s="160" t="str">
        <f t="shared" si="317"/>
        <v>1+3057.29889752073i</v>
      </c>
      <c r="U542" s="160">
        <f t="shared" si="326"/>
        <v>3057.2990610637798</v>
      </c>
      <c r="V542" s="160">
        <f t="shared" si="327"/>
        <v>1.570469240697705</v>
      </c>
      <c r="W542" s="98" t="str">
        <f t="shared" si="318"/>
        <v>1-1.96768121008588i</v>
      </c>
      <c r="X542" s="160">
        <f t="shared" si="328"/>
        <v>2.2072084959344087</v>
      </c>
      <c r="Y542" s="160">
        <f t="shared" si="329"/>
        <v>-1.1006003987016024</v>
      </c>
      <c r="Z542" s="98" t="str">
        <f t="shared" si="319"/>
        <v>-1206.98068816081-46.2559614933991i</v>
      </c>
      <c r="AA542" s="160">
        <f t="shared" si="330"/>
        <v>1207.8667126661041</v>
      </c>
      <c r="AB542" s="160">
        <f t="shared" si="331"/>
        <v>-3.1032877027179144</v>
      </c>
      <c r="AC542" s="171" t="str">
        <f t="shared" si="332"/>
        <v>-0.00652307648845023+0.0141646769473937i</v>
      </c>
      <c r="AD542" s="190">
        <f t="shared" si="333"/>
        <v>-36.140567876120869</v>
      </c>
      <c r="AE542" s="169">
        <f t="shared" si="334"/>
        <v>114.72688054674238</v>
      </c>
      <c r="AF542" s="98" t="str">
        <f t="shared" si="320"/>
        <v>-0.0000114342530449913</v>
      </c>
      <c r="AG542" s="98" t="str">
        <f t="shared" si="321"/>
        <v>1.31081690231201i</v>
      </c>
      <c r="AH542" s="98">
        <f t="shared" si="335"/>
        <v>1.31081690231201</v>
      </c>
      <c r="AI542" s="98">
        <f t="shared" si="336"/>
        <v>1.5707963267948966</v>
      </c>
      <c r="AJ542" s="98" t="str">
        <f t="shared" si="322"/>
        <v>1+12.0058146746218i</v>
      </c>
      <c r="AK542" s="98">
        <f t="shared" si="337"/>
        <v>12.04738917779965</v>
      </c>
      <c r="AL542" s="98">
        <f t="shared" si="338"/>
        <v>1.4876951768227249</v>
      </c>
      <c r="AM542" s="98" t="str">
        <f t="shared" si="323"/>
        <v>1+28825.9610337668i</v>
      </c>
      <c r="AN542" s="98">
        <f t="shared" si="339"/>
        <v>28825.96105111227</v>
      </c>
      <c r="AO542" s="98">
        <f t="shared" si="340"/>
        <v>1.5707616358439713</v>
      </c>
      <c r="AP542" s="168" t="str">
        <f t="shared" si="341"/>
        <v>-0.00173174029833383+0.0207996760842388i</v>
      </c>
      <c r="AQ542" s="98">
        <f t="shared" si="342"/>
        <v>-33.608867562614336</v>
      </c>
      <c r="AR542" s="169">
        <f t="shared" si="343"/>
        <v>94.759357521013825</v>
      </c>
      <c r="AS542" s="168" t="str">
        <f t="shared" si="344"/>
        <v>-0.00028332441791951-0.000160207419915161i</v>
      </c>
      <c r="AT542" s="190">
        <f t="shared" si="345"/>
        <v>-69.749435438735205</v>
      </c>
      <c r="AU542" s="169">
        <f t="shared" si="346"/>
        <v>-150.51376193224368</v>
      </c>
      <c r="AV542" s="225"/>
      <c r="AX542">
        <f t="shared" si="347"/>
        <v>0</v>
      </c>
      <c r="AY542">
        <f t="shared" si="348"/>
        <v>0</v>
      </c>
    </row>
    <row r="543" spans="14:51" x14ac:dyDescent="0.2">
      <c r="N543" s="170">
        <v>25</v>
      </c>
      <c r="O543" s="199">
        <f t="shared" si="314"/>
        <v>1778279.4100389241</v>
      </c>
      <c r="P543" s="189" t="str">
        <f t="shared" si="315"/>
        <v>1757.57575757576</v>
      </c>
      <c r="Q543" s="160" t="str">
        <f t="shared" si="316"/>
        <v>1+644324.605863487i</v>
      </c>
      <c r="R543" s="160">
        <f t="shared" si="324"/>
        <v>644324.60586426302</v>
      </c>
      <c r="S543" s="160">
        <f t="shared" si="325"/>
        <v>1.570794774782152</v>
      </c>
      <c r="T543" s="160" t="str">
        <f t="shared" si="317"/>
        <v>1+3128.51253714062i</v>
      </c>
      <c r="U543" s="160">
        <f t="shared" si="326"/>
        <v>3128.5126969609764</v>
      </c>
      <c r="V543" s="160">
        <f t="shared" si="327"/>
        <v>1.5704766860857509</v>
      </c>
      <c r="W543" s="98" t="str">
        <f t="shared" si="318"/>
        <v>1-2.01351439332339i</v>
      </c>
      <c r="X543" s="160">
        <f t="shared" si="328"/>
        <v>2.2481637422840137</v>
      </c>
      <c r="Y543" s="160">
        <f t="shared" si="329"/>
        <v>-1.1098370574356562</v>
      </c>
      <c r="Z543" s="98" t="str">
        <f t="shared" si="319"/>
        <v>-1263.91106406735-47.3334012474035i</v>
      </c>
      <c r="AA543" s="160">
        <f t="shared" si="330"/>
        <v>1264.7970701837939</v>
      </c>
      <c r="AB543" s="160">
        <f t="shared" si="331"/>
        <v>-3.1041602005842432</v>
      </c>
      <c r="AC543" s="171" t="str">
        <f t="shared" si="332"/>
        <v>-0.00622969199166506+0.0138306449347004i</v>
      </c>
      <c r="AD543" s="190">
        <f t="shared" si="333"/>
        <v>-36.380913054928826</v>
      </c>
      <c r="AE543" s="169">
        <f t="shared" si="334"/>
        <v>114.2480739478641</v>
      </c>
      <c r="AF543" s="98" t="str">
        <f t="shared" si="320"/>
        <v>-0.0000114342530449913</v>
      </c>
      <c r="AG543" s="98" t="str">
        <f t="shared" si="321"/>
        <v>1.34134975029905i</v>
      </c>
      <c r="AH543" s="98">
        <f t="shared" si="335"/>
        <v>1.3413497502990499</v>
      </c>
      <c r="AI543" s="98">
        <f t="shared" si="336"/>
        <v>1.5707963267948966</v>
      </c>
      <c r="AJ543" s="98" t="str">
        <f t="shared" si="322"/>
        <v>1+12.2854660231618i</v>
      </c>
      <c r="AK543" s="98">
        <f t="shared" si="337"/>
        <v>12.326097330715143</v>
      </c>
      <c r="AL543" s="98">
        <f t="shared" si="338"/>
        <v>1.4895783863469423</v>
      </c>
      <c r="AM543" s="98" t="str">
        <f t="shared" si="323"/>
        <v>1+29497.4039216115i</v>
      </c>
      <c r="AN543" s="98">
        <f t="shared" si="339"/>
        <v>29497.403938562144</v>
      </c>
      <c r="AO543" s="98">
        <f t="shared" si="340"/>
        <v>1.5707624255064214</v>
      </c>
      <c r="AP543" s="168" t="str">
        <f t="shared" si="341"/>
        <v>-0.00165431214378318+0.0203325200723477i</v>
      </c>
      <c r="AQ543" s="98">
        <f t="shared" si="342"/>
        <v>-33.807520617928709</v>
      </c>
      <c r="AR543" s="169">
        <f t="shared" si="343"/>
        <v>94.651502807662965</v>
      </c>
      <c r="AS543" s="168" t="str">
        <f t="shared" si="344"/>
        <v>-0.00027090601063447-0.000149545541336902i</v>
      </c>
      <c r="AT543" s="190">
        <f t="shared" si="345"/>
        <v>-70.188433672857514</v>
      </c>
      <c r="AU543" s="169">
        <f t="shared" si="346"/>
        <v>-151.10042324447292</v>
      </c>
      <c r="AV543" s="225"/>
      <c r="AX543">
        <f t="shared" si="347"/>
        <v>0</v>
      </c>
      <c r="AY543">
        <f t="shared" si="348"/>
        <v>0</v>
      </c>
    </row>
    <row r="544" spans="14:51" x14ac:dyDescent="0.2">
      <c r="N544" s="170">
        <v>26</v>
      </c>
      <c r="O544" s="199">
        <f t="shared" si="314"/>
        <v>1819700.8586099846</v>
      </c>
      <c r="P544" s="189" t="str">
        <f t="shared" si="315"/>
        <v>1757.57575757576</v>
      </c>
      <c r="Q544" s="160" t="str">
        <f t="shared" si="316"/>
        <v>1+659332.853934166i</v>
      </c>
      <c r="R544" s="160">
        <f t="shared" si="324"/>
        <v>659332.85393492435</v>
      </c>
      <c r="S544" s="160">
        <f t="shared" si="325"/>
        <v>1.5707948101102751</v>
      </c>
      <c r="T544" s="160" t="str">
        <f t="shared" si="317"/>
        <v>1+3201.38495551848i</v>
      </c>
      <c r="U544" s="160">
        <f t="shared" si="326"/>
        <v>3201.3851117008808</v>
      </c>
      <c r="V544" s="160">
        <f t="shared" si="327"/>
        <v>1.5704839619961077</v>
      </c>
      <c r="W544" s="98" t="str">
        <f t="shared" si="318"/>
        <v>1-2.06041516854426i</v>
      </c>
      <c r="X544" s="160">
        <f t="shared" si="328"/>
        <v>2.2902643224674466</v>
      </c>
      <c r="Y544" s="160">
        <f t="shared" si="329"/>
        <v>-1.1189460947268639</v>
      </c>
      <c r="Z544" s="98" t="str">
        <f t="shared" si="319"/>
        <v>-1323.52448593036-48.4359377972811i</v>
      </c>
      <c r="AA544" s="160">
        <f t="shared" si="330"/>
        <v>1324.4104744857334</v>
      </c>
      <c r="AB544" s="160">
        <f t="shared" si="331"/>
        <v>-3.1050127998941006</v>
      </c>
      <c r="AC544" s="171" t="str">
        <f t="shared" si="332"/>
        <v>-0.0059494941530702+0.0135049911134569i</v>
      </c>
      <c r="AD544" s="190">
        <f t="shared" si="333"/>
        <v>-36.619794825872091</v>
      </c>
      <c r="AE544" s="169">
        <f t="shared" si="334"/>
        <v>113.77542975252453</v>
      </c>
      <c r="AF544" s="98" t="str">
        <f t="shared" si="320"/>
        <v>-0.0000114342530449913</v>
      </c>
      <c r="AG544" s="98" t="str">
        <f t="shared" si="321"/>
        <v>1.37259379967855i</v>
      </c>
      <c r="AH544" s="98">
        <f t="shared" si="335"/>
        <v>1.37259379967855</v>
      </c>
      <c r="AI544" s="98">
        <f t="shared" si="336"/>
        <v>1.5707963267948966</v>
      </c>
      <c r="AJ544" s="98" t="str">
        <f t="shared" si="322"/>
        <v>1+12.5716312884048i</v>
      </c>
      <c r="AK544" s="98">
        <f t="shared" si="337"/>
        <v>12.611340660357985</v>
      </c>
      <c r="AL544" s="98">
        <f t="shared" si="338"/>
        <v>1.4914192868372314</v>
      </c>
      <c r="AM544" s="98" t="str">
        <f t="shared" si="323"/>
        <v>1+30184.48672346i</v>
      </c>
      <c r="AN544" s="98">
        <f t="shared" si="339"/>
        <v>30184.4867400248</v>
      </c>
      <c r="AO544" s="98">
        <f t="shared" si="340"/>
        <v>1.5707631971939597</v>
      </c>
      <c r="AP544" s="168" t="str">
        <f t="shared" si="341"/>
        <v>-0.00158032397578454+0.0198755807380817i</v>
      </c>
      <c r="AQ544" s="98">
        <f t="shared" si="342"/>
        <v>-34.006233905653417</v>
      </c>
      <c r="AR544" s="169">
        <f t="shared" si="343"/>
        <v>94.546071193504844</v>
      </c>
      <c r="AS544" s="168" t="str">
        <f t="shared" si="344"/>
        <v>-0.000259017412988702-0.000139591912639445i</v>
      </c>
      <c r="AT544" s="190">
        <f t="shared" si="345"/>
        <v>-70.626028731525494</v>
      </c>
      <c r="AU544" s="169">
        <f t="shared" si="346"/>
        <v>-151.67849905397063</v>
      </c>
      <c r="AV544" s="225"/>
      <c r="AX544">
        <f t="shared" si="347"/>
        <v>0</v>
      </c>
      <c r="AY544">
        <f t="shared" si="348"/>
        <v>0</v>
      </c>
    </row>
    <row r="545" spans="14:51" x14ac:dyDescent="0.2">
      <c r="N545" s="170">
        <v>27</v>
      </c>
      <c r="O545" s="199">
        <f t="shared" si="314"/>
        <v>1862087.1366628683</v>
      </c>
      <c r="P545" s="189" t="str">
        <f t="shared" si="315"/>
        <v>1757.57575757576</v>
      </c>
      <c r="Q545" s="160" t="str">
        <f t="shared" si="316"/>
        <v>1+674690.689011301i</v>
      </c>
      <c r="R545" s="160">
        <f t="shared" si="324"/>
        <v>674690.68901204213</v>
      </c>
      <c r="S545" s="160">
        <f t="shared" si="325"/>
        <v>1.5707948446342321</v>
      </c>
      <c r="T545" s="160" t="str">
        <f t="shared" si="317"/>
        <v>1+3275.9547905751i</v>
      </c>
      <c r="U545" s="160">
        <f t="shared" si="326"/>
        <v>3275.9549432023555</v>
      </c>
      <c r="V545" s="160">
        <f t="shared" si="327"/>
        <v>1.570491072286557</v>
      </c>
      <c r="W545" s="98" t="str">
        <f t="shared" si="318"/>
        <v>1-2.10840840316031i</v>
      </c>
      <c r="X545" s="160">
        <f t="shared" si="328"/>
        <v>2.3335350853409098</v>
      </c>
      <c r="Y545" s="160">
        <f t="shared" si="329"/>
        <v>-1.1279262927963987</v>
      </c>
      <c r="Z545" s="98" t="str">
        <f t="shared" si="319"/>
        <v>-1385.94740181012-49.5641557225043i</v>
      </c>
      <c r="AA545" s="160">
        <f t="shared" si="330"/>
        <v>1386.8333735949343</v>
      </c>
      <c r="AB545" s="160">
        <f t="shared" si="331"/>
        <v>-3.1058459561341398</v>
      </c>
      <c r="AC545" s="171" t="str">
        <f t="shared" si="332"/>
        <v>-0.00568189104557094+0.0131874730503501i</v>
      </c>
      <c r="AD545" s="190">
        <f t="shared" si="333"/>
        <v>-36.857253847518706</v>
      </c>
      <c r="AE545" s="169">
        <f t="shared" si="334"/>
        <v>113.30904405173467</v>
      </c>
      <c r="AF545" s="98" t="str">
        <f t="shared" si="320"/>
        <v>-0.0000114342530449913</v>
      </c>
      <c r="AG545" s="98" t="str">
        <f t="shared" si="321"/>
        <v>1.40456561645908i</v>
      </c>
      <c r="AH545" s="98">
        <f t="shared" si="335"/>
        <v>1.4045656164590801</v>
      </c>
      <c r="AI545" s="98">
        <f t="shared" si="336"/>
        <v>1.5707963267948966</v>
      </c>
      <c r="AJ545" s="98" t="str">
        <f t="shared" si="322"/>
        <v>1+12.8644621989621i</v>
      </c>
      <c r="AK545" s="98">
        <f t="shared" si="337"/>
        <v>12.903270425303997</v>
      </c>
      <c r="AL545" s="98">
        <f t="shared" si="338"/>
        <v>1.493218804426335</v>
      </c>
      <c r="AM545" s="98" t="str">
        <f t="shared" si="323"/>
        <v>1+30887.573739708i</v>
      </c>
      <c r="AN545" s="98">
        <f t="shared" si="339"/>
        <v>30887.573755895737</v>
      </c>
      <c r="AO545" s="98">
        <f t="shared" si="340"/>
        <v>1.5707639513157452</v>
      </c>
      <c r="AP545" s="168" t="str">
        <f t="shared" si="341"/>
        <v>-0.00150962487974341+0.0194286529753485i</v>
      </c>
      <c r="AQ545" s="98">
        <f t="shared" si="342"/>
        <v>-34.205004748995933</v>
      </c>
      <c r="AR545" s="169">
        <f t="shared" si="343"/>
        <v>94.443009638485208</v>
      </c>
      <c r="AS545" s="168" t="str">
        <f t="shared" si="344"/>
        <v>-0.000247637313430627-0.000130299626785892i</v>
      </c>
      <c r="AT545" s="190">
        <f t="shared" si="345"/>
        <v>-71.062258596514653</v>
      </c>
      <c r="AU545" s="169">
        <f t="shared" si="346"/>
        <v>-152.24794630978008</v>
      </c>
      <c r="AV545" s="225"/>
      <c r="AX545">
        <f t="shared" si="347"/>
        <v>0</v>
      </c>
      <c r="AY545">
        <f t="shared" si="348"/>
        <v>0</v>
      </c>
    </row>
    <row r="546" spans="14:51" x14ac:dyDescent="0.2">
      <c r="N546" s="170">
        <v>28</v>
      </c>
      <c r="O546" s="199">
        <f t="shared" si="314"/>
        <v>1905460.7179632513</v>
      </c>
      <c r="P546" s="189" t="str">
        <f t="shared" si="315"/>
        <v>1757.57575757576</v>
      </c>
      <c r="Q546" s="160" t="str">
        <f t="shared" si="316"/>
        <v>1+690406.254022344i</v>
      </c>
      <c r="R546" s="160">
        <f t="shared" si="324"/>
        <v>690406.25402306824</v>
      </c>
      <c r="S546" s="160">
        <f t="shared" si="325"/>
        <v>1.5707948783723278</v>
      </c>
      <c r="T546" s="160" t="str">
        <f t="shared" si="317"/>
        <v>1+3352.26158022409i</v>
      </c>
      <c r="U546" s="160">
        <f t="shared" si="326"/>
        <v>3352.2617293771254</v>
      </c>
      <c r="V546" s="160">
        <f t="shared" si="327"/>
        <v>1.5704980207270656</v>
      </c>
      <c r="W546" s="98" t="str">
        <f t="shared" si="318"/>
        <v>1-2.15751954381982i</v>
      </c>
      <c r="X546" s="160">
        <f t="shared" si="328"/>
        <v>2.3780013839282104</v>
      </c>
      <c r="Y546" s="160">
        <f t="shared" si="329"/>
        <v>-1.1367766184832342</v>
      </c>
      <c r="Z546" s="98" t="str">
        <f t="shared" si="319"/>
        <v>-1451.31221908043-50.7186532191511i</v>
      </c>
      <c r="AA546" s="160">
        <f t="shared" si="330"/>
        <v>1452.1981748496059</v>
      </c>
      <c r="AB546" s="160">
        <f t="shared" si="331"/>
        <v>-3.1066601142534873</v>
      </c>
      <c r="AC546" s="171" t="str">
        <f t="shared" si="332"/>
        <v>-0.00542631724470431+0.012877857284375i</v>
      </c>
      <c r="AD546" s="190">
        <f t="shared" si="333"/>
        <v>-37.093330552429229</v>
      </c>
      <c r="AE546" s="169">
        <f t="shared" si="334"/>
        <v>112.84900174992261</v>
      </c>
      <c r="AF546" s="98" t="str">
        <f t="shared" si="320"/>
        <v>-0.0000114342530449913</v>
      </c>
      <c r="AG546" s="98" t="str">
        <f t="shared" si="321"/>
        <v>1.43728215252107i</v>
      </c>
      <c r="AH546" s="98">
        <f t="shared" si="335"/>
        <v>1.4372821525210699</v>
      </c>
      <c r="AI546" s="98">
        <f t="shared" si="336"/>
        <v>1.5707963267948966</v>
      </c>
      <c r="AJ546" s="98" t="str">
        <f t="shared" si="322"/>
        <v>1+13.1641140176587i</v>
      </c>
      <c r="AK546" s="98">
        <f t="shared" si="337"/>
        <v>13.202041428124604</v>
      </c>
      <c r="AL546" s="98">
        <f t="shared" si="338"/>
        <v>1.4949778465977748</v>
      </c>
      <c r="AM546" s="98" t="str">
        <f t="shared" si="323"/>
        <v>1+31607.0377563985i</v>
      </c>
      <c r="AN546" s="98">
        <f t="shared" si="339"/>
        <v>31607.037772217762</v>
      </c>
      <c r="AO546" s="98">
        <f t="shared" si="340"/>
        <v>1.5707646882716231</v>
      </c>
      <c r="AP546" s="168" t="str">
        <f t="shared" si="341"/>
        <v>-0.00144207039393679+0.0189915345558816i</v>
      </c>
      <c r="AQ546" s="98">
        <f t="shared" si="342"/>
        <v>-34.403830588664597</v>
      </c>
      <c r="AR546" s="169">
        <f t="shared" si="343"/>
        <v>94.342266170537712</v>
      </c>
      <c r="AS546" s="168" t="str">
        <f t="shared" si="344"/>
        <v>-0.000236745140175223-0.000121624868191119i</v>
      </c>
      <c r="AT546" s="190">
        <f t="shared" si="345"/>
        <v>-71.497161141093812</v>
      </c>
      <c r="AU546" s="169">
        <f t="shared" si="346"/>
        <v>-152.80873207953962</v>
      </c>
      <c r="AV546" s="225"/>
      <c r="AX546">
        <f t="shared" si="347"/>
        <v>0</v>
      </c>
      <c r="AY546">
        <f t="shared" si="348"/>
        <v>0</v>
      </c>
    </row>
    <row r="547" spans="14:51" x14ac:dyDescent="0.2">
      <c r="N547" s="170">
        <v>29</v>
      </c>
      <c r="O547" s="199">
        <f t="shared" si="314"/>
        <v>1949844.5997580495</v>
      </c>
      <c r="P547" s="189" t="str">
        <f t="shared" si="315"/>
        <v>1757.57575757576</v>
      </c>
      <c r="Q547" s="160" t="str">
        <f t="shared" si="316"/>
        <v>1+706487.881567866i</v>
      </c>
      <c r="R547" s="160">
        <f t="shared" si="324"/>
        <v>706487.88156857365</v>
      </c>
      <c r="S547" s="160">
        <f t="shared" si="325"/>
        <v>1.5707949113424506</v>
      </c>
      <c r="T547" s="160" t="str">
        <f t="shared" si="317"/>
        <v>1+3430.3457833353i</v>
      </c>
      <c r="U547" s="160">
        <f t="shared" si="326"/>
        <v>3430.3459290931974</v>
      </c>
      <c r="V547" s="160">
        <f t="shared" si="327"/>
        <v>1.5705048110017858</v>
      </c>
      <c r="W547" s="98" t="str">
        <f t="shared" si="318"/>
        <v>1-2.20777462989958i</v>
      </c>
      <c r="X547" s="160">
        <f t="shared" si="328"/>
        <v>2.4236890923606991</v>
      </c>
      <c r="Y547" s="160">
        <f t="shared" si="329"/>
        <v>-1.1454962174889012</v>
      </c>
      <c r="Z547" s="98" t="str">
        <f t="shared" si="319"/>
        <v>-1519.75758528224-51.9000424170747i</v>
      </c>
      <c r="AA547" s="160">
        <f t="shared" si="330"/>
        <v>1520.6435257567102</v>
      </c>
      <c r="AB547" s="160">
        <f t="shared" si="331"/>
        <v>-3.1074557089148906</v>
      </c>
      <c r="AC547" s="171" t="str">
        <f t="shared" si="332"/>
        <v>-0.005182232648049+0.0125759188918992i</v>
      </c>
      <c r="AD547" s="190">
        <f t="shared" si="333"/>
        <v>-37.328065076642062</v>
      </c>
      <c r="AE547" s="169">
        <f t="shared" si="334"/>
        <v>112.39537690918721</v>
      </c>
      <c r="AF547" s="98" t="str">
        <f t="shared" si="320"/>
        <v>-0.0000114342530449913</v>
      </c>
      <c r="AG547" s="98" t="str">
        <f t="shared" si="321"/>
        <v>1.47076075460501i</v>
      </c>
      <c r="AH547" s="98">
        <f t="shared" si="335"/>
        <v>1.4707607546050101</v>
      </c>
      <c r="AI547" s="98">
        <f t="shared" si="336"/>
        <v>1.5707963267948966</v>
      </c>
      <c r="AJ547" s="98" t="str">
        <f t="shared" si="322"/>
        <v>1+13.4707456238549i</v>
      </c>
      <c r="AK547" s="98">
        <f t="shared" si="337"/>
        <v>13.507812097545846</v>
      </c>
      <c r="AL547" s="98">
        <f t="shared" si="338"/>
        <v>1.4966973024516108</v>
      </c>
      <c r="AM547" s="98" t="str">
        <f t="shared" si="323"/>
        <v>1+32343.2602428756i</v>
      </c>
      <c r="AN547" s="98">
        <f t="shared" si="339"/>
        <v>32343.260258334769</v>
      </c>
      <c r="AO547" s="98">
        <f t="shared" si="340"/>
        <v>1.570765408452337</v>
      </c>
      <c r="AP547" s="168" t="str">
        <f t="shared" si="341"/>
        <v>-0.0013775222483549+0.0185640261788233i</v>
      </c>
      <c r="AQ547" s="98">
        <f t="shared" si="342"/>
        <v>-34.602708977838624</v>
      </c>
      <c r="AR547" s="169">
        <f t="shared" si="343"/>
        <v>94.243789870369213</v>
      </c>
      <c r="AS547" s="168" t="str">
        <f t="shared" si="344"/>
        <v>-0.000226321046763137-0.000113526710610232i</v>
      </c>
      <c r="AT547" s="190">
        <f t="shared" si="345"/>
        <v>-71.930774054480679</v>
      </c>
      <c r="AU547" s="169">
        <f t="shared" si="346"/>
        <v>-153.36083322044368</v>
      </c>
      <c r="AV547" s="225"/>
      <c r="AX547">
        <f t="shared" si="347"/>
        <v>0</v>
      </c>
      <c r="AY547">
        <f t="shared" si="348"/>
        <v>0</v>
      </c>
    </row>
    <row r="548" spans="14:51" x14ac:dyDescent="0.2">
      <c r="N548" s="170">
        <v>30</v>
      </c>
      <c r="O548" s="199">
        <f t="shared" si="314"/>
        <v>1995262.31496888</v>
      </c>
      <c r="P548" s="189" t="str">
        <f t="shared" si="315"/>
        <v>1757.57575757576</v>
      </c>
      <c r="Q548" s="160" t="str">
        <f t="shared" si="316"/>
        <v>1+722944.098339674i</v>
      </c>
      <c r="R548" s="160">
        <f t="shared" si="324"/>
        <v>722944.09834036545</v>
      </c>
      <c r="S548" s="160">
        <f t="shared" si="325"/>
        <v>1.570794943562082</v>
      </c>
      <c r="T548" s="160" t="str">
        <f t="shared" si="317"/>
        <v>1+3510.24880118685i</v>
      </c>
      <c r="U548" s="160">
        <f t="shared" si="326"/>
        <v>3510.2489436268929</v>
      </c>
      <c r="V548" s="160">
        <f t="shared" si="327"/>
        <v>1.5705114467110093</v>
      </c>
      <c r="W548" s="98" t="str">
        <f t="shared" si="318"/>
        <v>1-2.25920030731148i</v>
      </c>
      <c r="X548" s="160">
        <f t="shared" si="328"/>
        <v>2.4706246231583391</v>
      </c>
      <c r="Y548" s="160">
        <f t="shared" si="329"/>
        <v>-1.1540844083234449</v>
      </c>
      <c r="Z548" s="98" t="str">
        <f t="shared" si="319"/>
        <v>-1591.42868221399-53.1089497044665i</v>
      </c>
      <c r="AA548" s="160">
        <f t="shared" si="330"/>
        <v>1592.314608082231</v>
      </c>
      <c r="AB548" s="160">
        <f t="shared" si="331"/>
        <v>-3.1082331647394068</v>
      </c>
      <c r="AC548" s="171" t="str">
        <f t="shared" si="332"/>
        <v>-0.00494912134668774+0.0122814410770399i</v>
      </c>
      <c r="AD548" s="190">
        <f t="shared" si="333"/>
        <v>-37.56149719411831</v>
      </c>
      <c r="AE548" s="169">
        <f t="shared" si="334"/>
        <v>111.94823311030123</v>
      </c>
      <c r="AF548" s="98" t="str">
        <f t="shared" si="320"/>
        <v>-0.0000114342530449913</v>
      </c>
      <c r="AG548" s="98" t="str">
        <f t="shared" si="321"/>
        <v>1.50501917350886i</v>
      </c>
      <c r="AH548" s="98">
        <f t="shared" si="335"/>
        <v>1.5050191735088601</v>
      </c>
      <c r="AI548" s="98">
        <f t="shared" si="336"/>
        <v>1.5707963267948966</v>
      </c>
      <c r="AJ548" s="98" t="str">
        <f t="shared" si="322"/>
        <v>1+13.7845195976874i</v>
      </c>
      <c r="AK548" s="98">
        <f t="shared" si="337"/>
        <v>13.820744572526765</v>
      </c>
      <c r="AL548" s="98">
        <f t="shared" si="338"/>
        <v>1.4983780429743745</v>
      </c>
      <c r="AM548" s="98" t="str">
        <f t="shared" si="323"/>
        <v>1+33096.6315540474i</v>
      </c>
      <c r="AN548" s="98">
        <f t="shared" si="339"/>
        <v>33096.631569154677</v>
      </c>
      <c r="AO548" s="98">
        <f t="shared" si="340"/>
        <v>1.5707661122397367</v>
      </c>
      <c r="AP548" s="168" t="str">
        <f t="shared" si="341"/>
        <v>-0.00131584811279721+0.0181459315119719i</v>
      </c>
      <c r="AQ548" s="98">
        <f t="shared" si="342"/>
        <v>-34.801637577342312</v>
      </c>
      <c r="AR548" s="169">
        <f t="shared" si="343"/>
        <v>94.147530856005943</v>
      </c>
      <c r="AS548" s="168" t="str">
        <f t="shared" si="344"/>
        <v>-0.000216345896668241-0.000105966928065087i</v>
      </c>
      <c r="AT548" s="190">
        <f t="shared" si="345"/>
        <v>-72.363134771460622</v>
      </c>
      <c r="AU548" s="169">
        <f t="shared" si="346"/>
        <v>-153.90423603369283</v>
      </c>
      <c r="AV548" s="225"/>
      <c r="AX548">
        <f t="shared" si="347"/>
        <v>0</v>
      </c>
      <c r="AY548">
        <f t="shared" si="348"/>
        <v>0</v>
      </c>
    </row>
    <row r="549" spans="14:51" x14ac:dyDescent="0.2">
      <c r="N549" s="170">
        <v>31</v>
      </c>
      <c r="O549" s="199">
        <f t="shared" si="314"/>
        <v>2041737.9446695296</v>
      </c>
      <c r="P549" s="189" t="str">
        <f t="shared" si="315"/>
        <v>1757.57575757576</v>
      </c>
      <c r="Q549" s="160" t="str">
        <f t="shared" si="316"/>
        <v>1+739783.629641715i</v>
      </c>
      <c r="R549" s="160">
        <f t="shared" si="324"/>
        <v>739783.62964239076</v>
      </c>
      <c r="S549" s="160">
        <f t="shared" si="325"/>
        <v>1.5707949750483048</v>
      </c>
      <c r="T549" s="160" t="str">
        <f t="shared" si="317"/>
        <v>1+3592.01299941641i</v>
      </c>
      <c r="U549" s="160">
        <f t="shared" si="326"/>
        <v>3592.013138614122</v>
      </c>
      <c r="V549" s="160">
        <f t="shared" si="327"/>
        <v>1.5705179313730739</v>
      </c>
      <c r="W549" s="98" t="str">
        <f t="shared" si="318"/>
        <v>1-2.31182384263035i</v>
      </c>
      <c r="X549" s="160">
        <f t="shared" si="328"/>
        <v>2.5188349448413958</v>
      </c>
      <c r="Y549" s="160">
        <f t="shared" si="329"/>
        <v>-1.1625406760027774</v>
      </c>
      <c r="Z549" s="98" t="str">
        <f t="shared" si="319"/>
        <v>-1666.47753388133-54.3460160599714i</v>
      </c>
      <c r="AA549" s="160">
        <f t="shared" si="330"/>
        <v>1667.3634458008219</v>
      </c>
      <c r="AB549" s="160">
        <f t="shared" si="331"/>
        <v>-3.1089928965448101</v>
      </c>
      <c r="AC549" s="171" t="str">
        <f t="shared" si="332"/>
        <v>-0.00472649054647988+0.0119942147857564i</v>
      </c>
      <c r="AD549" s="190">
        <f t="shared" si="333"/>
        <v>-37.793666256139169</v>
      </c>
      <c r="AE549" s="169">
        <f t="shared" si="334"/>
        <v>111.50762382759433</v>
      </c>
      <c r="AF549" s="98" t="str">
        <f t="shared" si="320"/>
        <v>-0.0000114342530449913</v>
      </c>
      <c r="AG549" s="98" t="str">
        <f t="shared" si="321"/>
        <v>1.54007557349979i</v>
      </c>
      <c r="AH549" s="98">
        <f t="shared" si="335"/>
        <v>1.54007557349979</v>
      </c>
      <c r="AI549" s="98">
        <f t="shared" si="336"/>
        <v>1.5707963267948966</v>
      </c>
      <c r="AJ549" s="98" t="str">
        <f t="shared" si="322"/>
        <v>1+14.1056023062702i</v>
      </c>
      <c r="AK549" s="98">
        <f t="shared" si="337"/>
        <v>14.141004788297584</v>
      </c>
      <c r="AL549" s="98">
        <f t="shared" si="338"/>
        <v>1.5000209213124136</v>
      </c>
      <c r="AM549" s="98" t="str">
        <f t="shared" si="323"/>
        <v>1+33867.5511373547i</v>
      </c>
      <c r="AN549" s="98">
        <f t="shared" si="339"/>
        <v>33867.551152118089</v>
      </c>
      <c r="AO549" s="98">
        <f t="shared" si="340"/>
        <v>1.5707668000069794</v>
      </c>
      <c r="AP549" s="168" t="str">
        <f t="shared" si="341"/>
        <v>-0.00125692135401697+0.0177370572253151i</v>
      </c>
      <c r="AQ549" s="98">
        <f t="shared" si="342"/>
        <v>-35.000614151015341</v>
      </c>
      <c r="AR549" s="169">
        <f t="shared" si="343"/>
        <v>94.053440267143131</v>
      </c>
      <c r="AS549" s="168" t="str">
        <f t="shared" si="344"/>
        <v>-0.000206801247130252-0.0000989098179867078i</v>
      </c>
      <c r="AT549" s="190">
        <f t="shared" si="345"/>
        <v>-72.794280407154503</v>
      </c>
      <c r="AU549" s="169">
        <f t="shared" si="346"/>
        <v>-154.43893590526255</v>
      </c>
      <c r="AV549" s="225"/>
      <c r="AX549">
        <f t="shared" si="347"/>
        <v>0</v>
      </c>
      <c r="AY549">
        <f t="shared" si="348"/>
        <v>0</v>
      </c>
    </row>
    <row r="550" spans="14:51" x14ac:dyDescent="0.2">
      <c r="N550" s="170">
        <v>32</v>
      </c>
      <c r="O550" s="199">
        <f t="shared" si="314"/>
        <v>2089296.1308540432</v>
      </c>
      <c r="P550" s="189" t="str">
        <f t="shared" si="315"/>
        <v>1757.57575757576</v>
      </c>
      <c r="Q550" s="160" t="str">
        <f t="shared" si="316"/>
        <v>1+757015.404016392i</v>
      </c>
      <c r="R550" s="160">
        <f t="shared" si="324"/>
        <v>757015.40401705238</v>
      </c>
      <c r="S550" s="160">
        <f t="shared" si="325"/>
        <v>1.5707950058178139</v>
      </c>
      <c r="T550" s="160" t="str">
        <f t="shared" si="317"/>
        <v>1+3675.68173048421i</v>
      </c>
      <c r="U550" s="160">
        <f t="shared" si="326"/>
        <v>3675.6818665133951</v>
      </c>
      <c r="V550" s="160">
        <f t="shared" si="327"/>
        <v>1.5705242684262315</v>
      </c>
      <c r="W550" s="98" t="str">
        <f t="shared" si="318"/>
        <v>1-2.36567313755122i</v>
      </c>
      <c r="X550" s="160">
        <f t="shared" si="328"/>
        <v>2.56834759986483</v>
      </c>
      <c r="Y550" s="160">
        <f t="shared" si="329"/>
        <v>-1.1708646655456798</v>
      </c>
      <c r="Z550" s="98" t="str">
        <f t="shared" si="319"/>
        <v>-1745.06332896068-55.6118973925464i</v>
      </c>
      <c r="AA550" s="160">
        <f t="shared" si="330"/>
        <v>1745.9492275593038</v>
      </c>
      <c r="AB550" s="160">
        <f t="shared" si="331"/>
        <v>-3.1097353095779234</v>
      </c>
      <c r="AC550" s="171" t="str">
        <f t="shared" si="332"/>
        <v>-0.00451386953698485+0.0117140383421471i</v>
      </c>
      <c r="AD550" s="190">
        <f t="shared" si="333"/>
        <v>-38.024611135627623</v>
      </c>
      <c r="AE550" s="169">
        <f t="shared" si="334"/>
        <v>111.07359281496539</v>
      </c>
      <c r="AF550" s="98" t="str">
        <f t="shared" si="320"/>
        <v>-0.0000114342530449913</v>
      </c>
      <c r="AG550" s="98" t="str">
        <f t="shared" si="321"/>
        <v>1.5759485419451i</v>
      </c>
      <c r="AH550" s="98">
        <f t="shared" si="335"/>
        <v>1.5759485419451</v>
      </c>
      <c r="AI550" s="98">
        <f t="shared" si="336"/>
        <v>1.5707963267948966</v>
      </c>
      <c r="AJ550" s="98" t="str">
        <f t="shared" si="322"/>
        <v>1+14.4341639919056i</v>
      </c>
      <c r="AK550" s="98">
        <f t="shared" si="337"/>
        <v>14.468762564408337</v>
      </c>
      <c r="AL550" s="98">
        <f t="shared" si="338"/>
        <v>1.5016267730479929</v>
      </c>
      <c r="AM550" s="98" t="str">
        <f t="shared" si="323"/>
        <v>1+34656.4277445653i</v>
      </c>
      <c r="AN550" s="98">
        <f t="shared" si="339"/>
        <v>34656.427758992635</v>
      </c>
      <c r="AO550" s="98">
        <f t="shared" si="340"/>
        <v>1.5707674721187281</v>
      </c>
      <c r="AP550" s="168" t="str">
        <f t="shared" si="341"/>
        <v>-0.00120062080169968+0.0173372130174288i</v>
      </c>
      <c r="AQ550" s="98">
        <f t="shared" si="342"/>
        <v>-35.199636561273806</v>
      </c>
      <c r="AR550" s="169">
        <f t="shared" si="343"/>
        <v>93.961470249337239</v>
      </c>
      <c r="AS550" s="168" t="str">
        <f t="shared" si="344"/>
        <v>-0.00019766933236987-0.0000923220358010785i</v>
      </c>
      <c r="AT550" s="190">
        <f t="shared" si="345"/>
        <v>-73.224247696901443</v>
      </c>
      <c r="AU550" s="169">
        <f t="shared" si="346"/>
        <v>-154.96493693569732</v>
      </c>
      <c r="AV550" s="225"/>
      <c r="AX550">
        <f t="shared" si="347"/>
        <v>0</v>
      </c>
      <c r="AY550">
        <f t="shared" si="348"/>
        <v>0</v>
      </c>
    </row>
    <row r="551" spans="14:51" x14ac:dyDescent="0.2">
      <c r="N551" s="170">
        <v>33</v>
      </c>
      <c r="O551" s="199">
        <f t="shared" si="314"/>
        <v>2137962.0895022359</v>
      </c>
      <c r="P551" s="189" t="str">
        <f t="shared" si="315"/>
        <v>1757.57575757576</v>
      </c>
      <c r="Q551" s="160" t="str">
        <f t="shared" si="316"/>
        <v>1+774648.557978555i</v>
      </c>
      <c r="R551" s="160">
        <f t="shared" si="324"/>
        <v>774648.55797920038</v>
      </c>
      <c r="S551" s="160">
        <f t="shared" si="325"/>
        <v>1.5707950358869234</v>
      </c>
      <c r="T551" s="160" t="str">
        <f t="shared" si="317"/>
        <v>1+3761.29935665887i</v>
      </c>
      <c r="U551" s="160">
        <f t="shared" si="326"/>
        <v>3761.2994895916527</v>
      </c>
      <c r="V551" s="160">
        <f t="shared" si="327"/>
        <v>1.5705304612304691</v>
      </c>
      <c r="W551" s="98" t="str">
        <f t="shared" si="318"/>
        <v>1-2.42077674368298i</v>
      </c>
      <c r="X551" s="160">
        <f t="shared" si="328"/>
        <v>2.619190722867728</v>
      </c>
      <c r="Y551" s="160">
        <f t="shared" si="329"/>
        <v>-1.1790561753160675</v>
      </c>
      <c r="Z551" s="98" t="str">
        <f t="shared" si="319"/>
        <v>-1827.35275845951-56.907264889229i</v>
      </c>
      <c r="AA551" s="160">
        <f t="shared" si="330"/>
        <v>1828.23864433688</v>
      </c>
      <c r="AB551" s="160">
        <f t="shared" si="331"/>
        <v>-3.1104607997410487</v>
      </c>
      <c r="AC551" s="171" t="str">
        <f t="shared" si="332"/>
        <v>-0.00431080870597515+0.011440717105554i</v>
      </c>
      <c r="AD551" s="190">
        <f t="shared" si="333"/>
        <v>-38.254370176324024</v>
      </c>
      <c r="AE551" s="169">
        <f t="shared" si="334"/>
        <v>110.64617450042023</v>
      </c>
      <c r="AF551" s="98" t="str">
        <f t="shared" si="320"/>
        <v>-0.0000114342530449913</v>
      </c>
      <c r="AG551" s="98" t="str">
        <f t="shared" si="321"/>
        <v>1.61265709916749i</v>
      </c>
      <c r="AH551" s="98">
        <f t="shared" si="335"/>
        <v>1.61265709916749</v>
      </c>
      <c r="AI551" s="98">
        <f t="shared" si="336"/>
        <v>1.5707963267948966</v>
      </c>
      <c r="AJ551" s="98" t="str">
        <f t="shared" si="322"/>
        <v>1+14.7703788623482i</v>
      </c>
      <c r="AK551" s="98">
        <f t="shared" si="337"/>
        <v>14.80419169483098</v>
      </c>
      <c r="AL551" s="98">
        <f t="shared" si="338"/>
        <v>1.5031964164775058</v>
      </c>
      <c r="AM551" s="98" t="str">
        <f t="shared" si="323"/>
        <v>1+35463.6796484979i</v>
      </c>
      <c r="AN551" s="98">
        <f t="shared" si="339"/>
        <v>35463.679662596827</v>
      </c>
      <c r="AO551" s="98">
        <f t="shared" si="340"/>
        <v>1.570768128931346</v>
      </c>
      <c r="AP551" s="168" t="str">
        <f t="shared" si="341"/>
        <v>-0.00114683052305539+0.016946211635293i</v>
      </c>
      <c r="AQ551" s="98">
        <f t="shared" si="342"/>
        <v>-35.398702764852885</v>
      </c>
      <c r="AR551" s="169">
        <f t="shared" si="343"/>
        <v>93.871573938076637</v>
      </c>
      <c r="AS551" s="168" t="str">
        <f t="shared" si="344"/>
        <v>-0.00018893304632717-0.0000861724402330097i</v>
      </c>
      <c r="AT551" s="190">
        <f t="shared" si="345"/>
        <v>-73.653072941176902</v>
      </c>
      <c r="AU551" s="169">
        <f t="shared" si="346"/>
        <v>-155.48225156150315</v>
      </c>
      <c r="AV551" s="225"/>
      <c r="AX551">
        <f t="shared" si="347"/>
        <v>0</v>
      </c>
      <c r="AY551">
        <f t="shared" si="348"/>
        <v>0</v>
      </c>
    </row>
    <row r="552" spans="14:51" x14ac:dyDescent="0.2">
      <c r="N552" s="170">
        <v>34</v>
      </c>
      <c r="O552" s="199">
        <f t="shared" si="314"/>
        <v>2187761.6239495561</v>
      </c>
      <c r="P552" s="189" t="str">
        <f t="shared" si="315"/>
        <v>1757.57575757576</v>
      </c>
      <c r="Q552" s="160" t="str">
        <f t="shared" si="316"/>
        <v>1+792692.440859848i</v>
      </c>
      <c r="R552" s="160">
        <f t="shared" si="324"/>
        <v>792692.44086047867</v>
      </c>
      <c r="S552" s="160">
        <f t="shared" si="325"/>
        <v>1.5707950652715763</v>
      </c>
      <c r="T552" s="160" t="str">
        <f t="shared" si="317"/>
        <v>1+3848.91127353914i</v>
      </c>
      <c r="U552" s="160">
        <f t="shared" si="326"/>
        <v>3848.9114034460031</v>
      </c>
      <c r="V552" s="160">
        <f t="shared" si="327"/>
        <v>1.5705365130692923</v>
      </c>
      <c r="W552" s="98" t="str">
        <f t="shared" si="318"/>
        <v>1-2.47716387768702i</v>
      </c>
      <c r="X552" s="160">
        <f t="shared" si="328"/>
        <v>2.6713930592328401</v>
      </c>
      <c r="Y552" s="160">
        <f t="shared" si="329"/>
        <v>-1.187115150253748</v>
      </c>
      <c r="Z552" s="98" t="str">
        <f t="shared" si="319"/>
        <v>-1913.52036929056-58.2328053710127i</v>
      </c>
      <c r="AA552" s="160">
        <f t="shared" si="330"/>
        <v>1914.4062430192971</v>
      </c>
      <c r="AB552" s="160">
        <f t="shared" si="331"/>
        <v>-3.1111697538126721</v>
      </c>
      <c r="AC552" s="171" t="str">
        <f t="shared" si="332"/>
        <v>-0.0041168785975563+0.0111740631471594i</v>
      </c>
      <c r="AD552" s="190">
        <f t="shared" si="333"/>
        <v>-38.482981146725123</v>
      </c>
      <c r="AE552" s="169">
        <f t="shared" si="334"/>
        <v>110.22539438666834</v>
      </c>
      <c r="AF552" s="98" t="str">
        <f t="shared" si="320"/>
        <v>-0.0000114342530449913</v>
      </c>
      <c r="AG552" s="98" t="str">
        <f t="shared" si="321"/>
        <v>1.65022070852991i</v>
      </c>
      <c r="AH552" s="98">
        <f t="shared" si="335"/>
        <v>1.6502207085299101</v>
      </c>
      <c r="AI552" s="98">
        <f t="shared" si="336"/>
        <v>1.5707963267948966</v>
      </c>
      <c r="AJ552" s="98" t="str">
        <f t="shared" si="322"/>
        <v>1+15.1144251831727i</v>
      </c>
      <c r="AK552" s="98">
        <f t="shared" si="337"/>
        <v>15.147470040165953</v>
      </c>
      <c r="AL552" s="98">
        <f t="shared" si="338"/>
        <v>1.5047306528912281</v>
      </c>
      <c r="AM552" s="98" t="str">
        <f t="shared" si="323"/>
        <v>1+36289.7348647975i</v>
      </c>
      <c r="AN552" s="98">
        <f t="shared" si="339"/>
        <v>36289.734878575502</v>
      </c>
      <c r="AO552" s="98">
        <f t="shared" si="340"/>
        <v>1.5707687707930831</v>
      </c>
      <c r="AP552" s="168" t="str">
        <f t="shared" si="341"/>
        <v>-0.00109543960579913+0.0165638688880336i</v>
      </c>
      <c r="AQ552" s="98">
        <f t="shared" si="342"/>
        <v>-35.597810808726571</v>
      </c>
      <c r="AR552" s="169">
        <f t="shared" si="343"/>
        <v>93.783705442763619</v>
      </c>
      <c r="AS552" s="168" t="str">
        <f t="shared" si="344"/>
        <v>-0.000180575925048126-0.0000804319486469731i</v>
      </c>
      <c r="AT552" s="190">
        <f t="shared" si="345"/>
        <v>-74.080791955451716</v>
      </c>
      <c r="AU552" s="169">
        <f t="shared" si="346"/>
        <v>-155.99090017056798</v>
      </c>
      <c r="AV552" s="225"/>
      <c r="AX552">
        <f t="shared" si="347"/>
        <v>0</v>
      </c>
      <c r="AY552">
        <f t="shared" si="348"/>
        <v>0</v>
      </c>
    </row>
    <row r="553" spans="14:51" x14ac:dyDescent="0.2">
      <c r="N553" s="170">
        <v>35</v>
      </c>
      <c r="O553" s="199">
        <f t="shared" si="314"/>
        <v>2238721.1385683389</v>
      </c>
      <c r="P553" s="189" t="str">
        <f t="shared" si="315"/>
        <v>1757.57575757576</v>
      </c>
      <c r="Q553" s="160" t="str">
        <f t="shared" si="316"/>
        <v>1+811156.619765805i</v>
      </c>
      <c r="R553" s="160">
        <f t="shared" si="324"/>
        <v>811156.61976642127</v>
      </c>
      <c r="S553" s="160">
        <f t="shared" si="325"/>
        <v>1.570795093987353</v>
      </c>
      <c r="T553" s="160" t="str">
        <f t="shared" si="317"/>
        <v>1+3938.56393412297i</v>
      </c>
      <c r="U553" s="160">
        <f t="shared" si="326"/>
        <v>3938.5640610727924</v>
      </c>
      <c r="V553" s="160">
        <f t="shared" si="327"/>
        <v>1.5705424271514636</v>
      </c>
      <c r="W553" s="98" t="str">
        <f t="shared" si="318"/>
        <v>1-2.53486443676813i</v>
      </c>
      <c r="X553" s="160">
        <f t="shared" si="328"/>
        <v>2.7249839839514305</v>
      </c>
      <c r="Y553" s="160">
        <f t="shared" si="329"/>
        <v>-1.1950416750339063</v>
      </c>
      <c r="Z553" s="98" t="str">
        <f t="shared" si="319"/>
        <v>-2003.74893450908-59.589221657006i</v>
      </c>
      <c r="AA553" s="160">
        <f t="shared" si="330"/>
        <v>2004.6347966360261</v>
      </c>
      <c r="AB553" s="160">
        <f t="shared" si="331"/>
        <v>-3.1118625496626131</v>
      </c>
      <c r="AC553" s="171" t="str">
        <f t="shared" si="332"/>
        <v>-0.00393166901199973+0.0109138949448539i</v>
      </c>
      <c r="AD553" s="190">
        <f t="shared" si="333"/>
        <v>-38.710481198665057</v>
      </c>
      <c r="AE553" s="169">
        <f t="shared" si="334"/>
        <v>109.8112694554805</v>
      </c>
      <c r="AF553" s="98" t="str">
        <f t="shared" si="320"/>
        <v>-0.0000114342530449913</v>
      </c>
      <c r="AG553" s="98" t="str">
        <f t="shared" si="321"/>
        <v>1.68865928675523i</v>
      </c>
      <c r="AH553" s="98">
        <f t="shared" si="335"/>
        <v>1.6886592867552299</v>
      </c>
      <c r="AI553" s="98">
        <f t="shared" si="336"/>
        <v>1.5707963267948966</v>
      </c>
      <c r="AJ553" s="98" t="str">
        <f t="shared" si="322"/>
        <v>1+15.4664853722923i</v>
      </c>
      <c r="AK553" s="98">
        <f t="shared" si="337"/>
        <v>15.498779622000299</v>
      </c>
      <c r="AL553" s="98">
        <f t="shared" si="338"/>
        <v>1.5062302668540721</v>
      </c>
      <c r="AM553" s="98" t="str">
        <f t="shared" si="323"/>
        <v>1+37135.0313788737i</v>
      </c>
      <c r="AN553" s="98">
        <f t="shared" si="339"/>
        <v>37135.031392338075</v>
      </c>
      <c r="AO553" s="98">
        <f t="shared" si="340"/>
        <v>1.5707693980442634</v>
      </c>
      <c r="AP553" s="168" t="str">
        <f t="shared" si="341"/>
        <v>-0.00104634194929139+0.0161900036550749i</v>
      </c>
      <c r="AQ553" s="98">
        <f t="shared" si="342"/>
        <v>-35.796958826196082</v>
      </c>
      <c r="AR553" s="169">
        <f t="shared" si="343"/>
        <v>93.697819830639105</v>
      </c>
      <c r="AS553" s="168" t="str">
        <f t="shared" si="344"/>
        <v>-0.000172582128830304-0.0000750734017857802i</v>
      </c>
      <c r="AT553" s="190">
        <f t="shared" si="345"/>
        <v>-74.507440024861125</v>
      </c>
      <c r="AU553" s="169">
        <f t="shared" si="346"/>
        <v>-156.4909107138804</v>
      </c>
      <c r="AV553" s="225"/>
      <c r="AX553">
        <f t="shared" si="347"/>
        <v>0</v>
      </c>
      <c r="AY553">
        <f t="shared" si="348"/>
        <v>0</v>
      </c>
    </row>
    <row r="554" spans="14:51" x14ac:dyDescent="0.2">
      <c r="N554" s="170">
        <v>36</v>
      </c>
      <c r="O554" s="199">
        <f t="shared" si="314"/>
        <v>2290867.6527677765</v>
      </c>
      <c r="P554" s="189" t="str">
        <f t="shared" si="315"/>
        <v>1757.57575757576</v>
      </c>
      <c r="Q554" s="160" t="str">
        <f t="shared" si="316"/>
        <v>1+830050.884648497i</v>
      </c>
      <c r="R554" s="160">
        <f t="shared" si="324"/>
        <v>830050.88464909932</v>
      </c>
      <c r="S554" s="160">
        <f t="shared" si="325"/>
        <v>1.5707951220494787</v>
      </c>
      <c r="T554" s="160" t="str">
        <f t="shared" si="317"/>
        <v>1+4030.30487343778i</v>
      </c>
      <c r="U554" s="160">
        <f t="shared" si="326"/>
        <v>4030.3049974978712</v>
      </c>
      <c r="V554" s="160">
        <f t="shared" si="327"/>
        <v>1.5705482066127066</v>
      </c>
      <c r="W554" s="98" t="str">
        <f t="shared" si="318"/>
        <v>1-2.59390901452655i</v>
      </c>
      <c r="X554" s="160">
        <f t="shared" si="328"/>
        <v>2.7799935207913884</v>
      </c>
      <c r="Y554" s="160">
        <f t="shared" si="329"/>
        <v>-1.2028359671929194</v>
      </c>
      <c r="Z554" s="98" t="str">
        <f t="shared" si="319"/>
        <v>-2098.22984099911-60.9772329370791i</v>
      </c>
      <c r="AA554" s="160">
        <f t="shared" si="330"/>
        <v>2099.1156920464896</v>
      </c>
      <c r="AB554" s="160">
        <f t="shared" si="331"/>
        <v>-3.1125395564617766</v>
      </c>
      <c r="AC554" s="171" t="str">
        <f t="shared" si="332"/>
        <v>-0.00375478814546951+0.0106600370952266i</v>
      </c>
      <c r="AD554" s="190">
        <f t="shared" si="333"/>
        <v>-38.93690683040203</v>
      </c>
      <c r="AE554" s="169">
        <f t="shared" si="334"/>
        <v>109.40380857366677</v>
      </c>
      <c r="AF554" s="98" t="str">
        <f t="shared" si="320"/>
        <v>-0.0000114342530449913</v>
      </c>
      <c r="AG554" s="98" t="str">
        <f t="shared" si="321"/>
        <v>1.72799321448645i</v>
      </c>
      <c r="AH554" s="98">
        <f t="shared" si="335"/>
        <v>1.72799321448645</v>
      </c>
      <c r="AI554" s="98">
        <f t="shared" si="336"/>
        <v>1.5707963267948966</v>
      </c>
      <c r="AJ554" s="98" t="str">
        <f t="shared" si="322"/>
        <v>1+15.8267460966796i</v>
      </c>
      <c r="AK554" s="98">
        <f t="shared" si="337"/>
        <v>15.85830671946923</v>
      </c>
      <c r="AL554" s="98">
        <f t="shared" si="338"/>
        <v>1.5076960264868564</v>
      </c>
      <c r="AM554" s="98" t="str">
        <f t="shared" si="323"/>
        <v>1+38000.0173781276i</v>
      </c>
      <c r="AN554" s="98">
        <f t="shared" si="339"/>
        <v>38000.017391285488</v>
      </c>
      <c r="AO554" s="98">
        <f t="shared" si="340"/>
        <v>1.5707700110174636</v>
      </c>
      <c r="AP554" s="168" t="str">
        <f t="shared" si="341"/>
        <v>-0.00099943606360746+0.0158244378891504i</v>
      </c>
      <c r="AQ554" s="98">
        <f t="shared" si="342"/>
        <v>-35.996145033142106</v>
      </c>
      <c r="AR554" s="169">
        <f t="shared" si="343"/>
        <v>93.613873110677233</v>
      </c>
      <c r="AS554" s="168" t="str">
        <f t="shared" si="344"/>
        <v>-0.000164936424225665-0.0000700714373072633i</v>
      </c>
      <c r="AT554" s="190">
        <f t="shared" si="345"/>
        <v>-74.933051863544108</v>
      </c>
      <c r="AU554" s="169">
        <f t="shared" si="346"/>
        <v>-156.98231831565602</v>
      </c>
      <c r="AV554" s="225"/>
      <c r="AX554">
        <f t="shared" si="347"/>
        <v>0</v>
      </c>
      <c r="AY554">
        <f t="shared" si="348"/>
        <v>0</v>
      </c>
    </row>
    <row r="555" spans="14:51" x14ac:dyDescent="0.2">
      <c r="N555" s="170">
        <v>37</v>
      </c>
      <c r="O555" s="199">
        <f t="shared" si="314"/>
        <v>2344228.8153199251</v>
      </c>
      <c r="P555" s="189" t="str">
        <f t="shared" si="315"/>
        <v>1757.57575757576</v>
      </c>
      <c r="Q555" s="160" t="str">
        <f t="shared" si="316"/>
        <v>1+849385.253497249i</v>
      </c>
      <c r="R555" s="160">
        <f t="shared" si="324"/>
        <v>849385.25349783758</v>
      </c>
      <c r="S555" s="160">
        <f t="shared" si="325"/>
        <v>1.5707951494728323</v>
      </c>
      <c r="T555" s="160" t="str">
        <f t="shared" si="317"/>
        <v>1+4124.18273374386i</v>
      </c>
      <c r="U555" s="160">
        <f t="shared" si="326"/>
        <v>4124.1828549800002</v>
      </c>
      <c r="V555" s="160">
        <f t="shared" si="327"/>
        <v>1.5705538545173663</v>
      </c>
      <c r="W555" s="98" t="str">
        <f t="shared" si="318"/>
        <v>1-2.65432891717889i</v>
      </c>
      <c r="X555" s="160">
        <f t="shared" si="328"/>
        <v>2.8364523617667299</v>
      </c>
      <c r="Y555" s="160">
        <f t="shared" si="329"/>
        <v>-1.2104983702549814</v>
      </c>
      <c r="Z555" s="98" t="str">
        <f t="shared" si="319"/>
        <v>-2197.16349543052-62.3975751531843i</v>
      </c>
      <c r="AA555" s="160">
        <f t="shared" si="330"/>
        <v>2198.0493358970489</v>
      </c>
      <c r="AB555" s="160">
        <f t="shared" si="331"/>
        <v>-3.1132011348866713</v>
      </c>
      <c r="AC555" s="171" t="str">
        <f t="shared" si="332"/>
        <v>-0.00358586176790359+0.0104123200416106i</v>
      </c>
      <c r="AD555" s="190">
        <f t="shared" si="333"/>
        <v>-39.162293854051235</v>
      </c>
      <c r="AE555" s="169">
        <f t="shared" si="334"/>
        <v>109.00301289870339</v>
      </c>
      <c r="AF555" s="98" t="str">
        <f t="shared" si="320"/>
        <v>-0.0000114342530449913</v>
      </c>
      <c r="AG555" s="98" t="str">
        <f t="shared" si="321"/>
        <v>1.76824334709267i</v>
      </c>
      <c r="AH555" s="98">
        <f t="shared" si="335"/>
        <v>1.7682433470926699</v>
      </c>
      <c r="AI555" s="98">
        <f t="shared" si="336"/>
        <v>1.5707963267948966</v>
      </c>
      <c r="AJ555" s="98" t="str">
        <f t="shared" si="322"/>
        <v>1+16.195398371339i</v>
      </c>
      <c r="AK555" s="98">
        <f t="shared" si="337"/>
        <v>16.226241968070426</v>
      </c>
      <c r="AL555" s="98">
        <f t="shared" si="338"/>
        <v>1.5091286837476305</v>
      </c>
      <c r="AM555" s="98" t="str">
        <f t="shared" si="323"/>
        <v>1+38885.1514895849i</v>
      </c>
      <c r="AN555" s="98">
        <f t="shared" si="339"/>
        <v>38885.151502443281</v>
      </c>
      <c r="AO555" s="98">
        <f t="shared" si="340"/>
        <v>1.5707706100376906</v>
      </c>
      <c r="AP555" s="168" t="str">
        <f t="shared" si="341"/>
        <v>-0.000954624876304592+0.0154669966145979i</v>
      </c>
      <c r="AQ555" s="98">
        <f t="shared" si="342"/>
        <v>-36.195367724432558</v>
      </c>
      <c r="AR555" s="169">
        <f t="shared" si="343"/>
        <v>93.531822217476957</v>
      </c>
      <c r="AS555" s="168" t="str">
        <f t="shared" si="344"/>
        <v>-0.000157624165987071-0.0000654023715563472i</v>
      </c>
      <c r="AT555" s="190">
        <f t="shared" si="345"/>
        <v>-75.357661578483771</v>
      </c>
      <c r="AU555" s="169">
        <f t="shared" si="346"/>
        <v>-157.46516488381971</v>
      </c>
      <c r="AV555" s="225"/>
      <c r="AX555">
        <f t="shared" si="347"/>
        <v>0</v>
      </c>
      <c r="AY555">
        <f t="shared" si="348"/>
        <v>0</v>
      </c>
    </row>
    <row r="556" spans="14:51" x14ac:dyDescent="0.2">
      <c r="N556" s="170">
        <v>38</v>
      </c>
      <c r="O556" s="199">
        <f t="shared" si="314"/>
        <v>2398832.9190194933</v>
      </c>
      <c r="P556" s="189" t="str">
        <f t="shared" si="315"/>
        <v>1757.57575757576</v>
      </c>
      <c r="Q556" s="160" t="str">
        <f t="shared" si="316"/>
        <v>1+869169.977650344i</v>
      </c>
      <c r="R556" s="160">
        <f t="shared" si="324"/>
        <v>869169.97765091911</v>
      </c>
      <c r="S556" s="160">
        <f t="shared" si="325"/>
        <v>1.5707951762719543</v>
      </c>
      <c r="T556" s="160" t="str">
        <f t="shared" si="317"/>
        <v>1+4220.24729032536i</v>
      </c>
      <c r="U556" s="160">
        <f t="shared" si="326"/>
        <v>4220.2474088018289</v>
      </c>
      <c r="V556" s="160">
        <f t="shared" si="327"/>
        <v>1.570559373860035</v>
      </c>
      <c r="W556" s="98" t="str">
        <f t="shared" si="318"/>
        <v>1-2.71615618015732i</v>
      </c>
      <c r="X556" s="160">
        <f t="shared" si="328"/>
        <v>2.8943918869093737</v>
      </c>
      <c r="Y556" s="160">
        <f t="shared" si="329"/>
        <v>-1.2180293468912953</v>
      </c>
      <c r="Z556" s="98" t="str">
        <f t="shared" si="319"/>
        <v>-2300.75974934864-63.851001389565i</v>
      </c>
      <c r="AA556" s="160">
        <f t="shared" si="330"/>
        <v>2301.6455797105832</v>
      </c>
      <c r="AB556" s="160">
        <f t="shared" si="331"/>
        <v>-3.1138476373188326</v>
      </c>
      <c r="AC556" s="171" t="str">
        <f t="shared" si="332"/>
        <v>-0.00342453243738081+0.0101705798171801i</v>
      </c>
      <c r="AD556" s="190">
        <f t="shared" si="333"/>
        <v>-39.386677367194672</v>
      </c>
      <c r="AE556" s="169">
        <f t="shared" si="334"/>
        <v>108.60887628220293</v>
      </c>
      <c r="AF556" s="98" t="str">
        <f t="shared" si="320"/>
        <v>-0.0000114342530449913</v>
      </c>
      <c r="AG556" s="98" t="str">
        <f t="shared" si="321"/>
        <v>1.809431025727i</v>
      </c>
      <c r="AH556" s="98">
        <f t="shared" si="335"/>
        <v>1.8094310257270001</v>
      </c>
      <c r="AI556" s="98">
        <f t="shared" si="336"/>
        <v>1.5707963267948966</v>
      </c>
      <c r="AJ556" s="98" t="str">
        <f t="shared" si="322"/>
        <v>1+16.5726376605863i</v>
      </c>
      <c r="AK556" s="98">
        <f t="shared" si="337"/>
        <v>16.602780460786782</v>
      </c>
      <c r="AL556" s="98">
        <f t="shared" si="338"/>
        <v>1.5105289747126547</v>
      </c>
      <c r="AM556" s="98" t="str">
        <f t="shared" si="323"/>
        <v>1+39790.9030230677i</v>
      </c>
      <c r="AN556" s="98">
        <f t="shared" si="339"/>
        <v>39790.90303563339</v>
      </c>
      <c r="AO556" s="98">
        <f t="shared" si="340"/>
        <v>1.5707711954225523</v>
      </c>
      <c r="AP556" s="168" t="str">
        <f t="shared" si="341"/>
        <v>-0.000911815546654375+0.015117507921328i</v>
      </c>
      <c r="AQ556" s="98">
        <f t="shared" si="342"/>
        <v>-36.394625270482749</v>
      </c>
      <c r="AR556" s="169">
        <f t="shared" si="343"/>
        <v>93.45162499517275</v>
      </c>
      <c r="AS556" s="168" t="str">
        <f t="shared" si="344"/>
        <v>-0.000150631279034293-0.0000610440890447431i</v>
      </c>
      <c r="AT556" s="190">
        <f t="shared" si="345"/>
        <v>-75.781302637677413</v>
      </c>
      <c r="AU556" s="169">
        <f t="shared" si="346"/>
        <v>-157.93949872262434</v>
      </c>
      <c r="AV556" s="225"/>
      <c r="AX556">
        <f t="shared" si="347"/>
        <v>0</v>
      </c>
      <c r="AY556">
        <f t="shared" si="348"/>
        <v>0</v>
      </c>
    </row>
    <row r="557" spans="14:51" x14ac:dyDescent="0.2">
      <c r="N557" s="170">
        <v>39</v>
      </c>
      <c r="O557" s="199">
        <f t="shared" si="314"/>
        <v>2454708.915685033</v>
      </c>
      <c r="P557" s="189" t="str">
        <f t="shared" si="315"/>
        <v>1757.57575757576</v>
      </c>
      <c r="Q557" s="160" t="str">
        <f t="shared" si="316"/>
        <v>1+889415.547230415i</v>
      </c>
      <c r="R557" s="160">
        <f t="shared" si="324"/>
        <v>889415.5472309771</v>
      </c>
      <c r="S557" s="160">
        <f t="shared" si="325"/>
        <v>1.5707952024610539</v>
      </c>
      <c r="T557" s="160" t="str">
        <f t="shared" si="317"/>
        <v>1+4318.54947788177i</v>
      </c>
      <c r="U557" s="160">
        <f t="shared" si="326"/>
        <v>4318.5495936613843</v>
      </c>
      <c r="V557" s="160">
        <f t="shared" si="327"/>
        <v>1.5705647675671401</v>
      </c>
      <c r="W557" s="98" t="str">
        <f t="shared" si="318"/>
        <v>1-2.77942358509504i</v>
      </c>
      <c r="X557" s="160">
        <f t="shared" si="328"/>
        <v>2.9538441843439478</v>
      </c>
      <c r="Y557" s="160">
        <f t="shared" si="329"/>
        <v>-1.2254294721404513</v>
      </c>
      <c r="Z557" s="98" t="str">
        <f t="shared" si="319"/>
        <v>-2409.23834429743-65.3382822720505i</v>
      </c>
      <c r="AA557" s="160">
        <f t="shared" si="330"/>
        <v>2410.1241650096131</v>
      </c>
      <c r="AB557" s="160">
        <f t="shared" si="331"/>
        <v>-3.1144794080393092</v>
      </c>
      <c r="AC557" s="171" t="str">
        <f t="shared" si="332"/>
        <v>-0.00327045874937842+0.00993465780216825i</v>
      </c>
      <c r="AD557" s="190">
        <f t="shared" si="333"/>
        <v>-39.610091728480896</v>
      </c>
      <c r="AE557" s="169">
        <f t="shared" si="334"/>
        <v>108.22138566958952</v>
      </c>
      <c r="AF557" s="98" t="str">
        <f t="shared" si="320"/>
        <v>-0.0000114342530449913</v>
      </c>
      <c r="AG557" s="98" t="str">
        <f t="shared" si="321"/>
        <v>1.85157808864181i</v>
      </c>
      <c r="AH557" s="98">
        <f t="shared" si="335"/>
        <v>1.8515780886418101</v>
      </c>
      <c r="AI557" s="98">
        <f t="shared" si="336"/>
        <v>1.5707963267948966</v>
      </c>
      <c r="AJ557" s="98" t="str">
        <f t="shared" si="322"/>
        <v>1+16.958663981686i</v>
      </c>
      <c r="AK557" s="98">
        <f t="shared" si="337"/>
        <v>16.988121851568351</v>
      </c>
      <c r="AL557" s="98">
        <f t="shared" si="338"/>
        <v>1.5118976198566396</v>
      </c>
      <c r="AM557" s="98" t="str">
        <f t="shared" si="323"/>
        <v>1+40717.7522200281i</v>
      </c>
      <c r="AN557" s="98">
        <f t="shared" si="339"/>
        <v>40717.752232307757</v>
      </c>
      <c r="AO557" s="98">
        <f t="shared" si="340"/>
        <v>1.5707717674824277</v>
      </c>
      <c r="AP557" s="168" t="str">
        <f t="shared" si="341"/>
        <v>-0.000870919287110297+0.0147758029548413i</v>
      </c>
      <c r="AQ557" s="98">
        <f t="shared" si="342"/>
        <v>-36.593916113958628</v>
      </c>
      <c r="AR557" s="169">
        <f t="shared" si="343"/>
        <v>93.373240181387814</v>
      </c>
      <c r="AS557" s="168" t="str">
        <f t="shared" si="344"/>
        <v>-0.000143944240506083-0.0000569759391435014i</v>
      </c>
      <c r="AT557" s="190">
        <f t="shared" si="345"/>
        <v>-76.204007842439495</v>
      </c>
      <c r="AU557" s="169">
        <f t="shared" si="346"/>
        <v>-158.40537414902269</v>
      </c>
      <c r="AV557" s="225"/>
      <c r="AX557">
        <f t="shared" si="347"/>
        <v>0</v>
      </c>
      <c r="AY557">
        <f t="shared" si="348"/>
        <v>0</v>
      </c>
    </row>
    <row r="558" spans="14:51" x14ac:dyDescent="0.2">
      <c r="N558" s="170">
        <v>40</v>
      </c>
      <c r="O558" s="199">
        <f t="shared" si="314"/>
        <v>2511886.431509587</v>
      </c>
      <c r="P558" s="189" t="str">
        <f t="shared" si="315"/>
        <v>1757.57575757576</v>
      </c>
      <c r="Q558" s="160" t="str">
        <f t="shared" si="316"/>
        <v>1+910132.696706439i</v>
      </c>
      <c r="R558" s="160">
        <f t="shared" si="324"/>
        <v>910132.69670698827</v>
      </c>
      <c r="S558" s="160">
        <f t="shared" si="325"/>
        <v>1.5707952280540167</v>
      </c>
      <c r="T558" s="160" t="str">
        <f t="shared" si="317"/>
        <v>1+4419.14141753415i</v>
      </c>
      <c r="U558" s="160">
        <f t="shared" si="326"/>
        <v>4419.1415306782983</v>
      </c>
      <c r="V558" s="160">
        <f t="shared" si="327"/>
        <v>1.5705700384984951</v>
      </c>
      <c r="W558" s="98" t="str">
        <f t="shared" si="318"/>
        <v>1-2.84416467720761i</v>
      </c>
      <c r="X558" s="160">
        <f t="shared" si="328"/>
        <v>3.0148420706689545</v>
      </c>
      <c r="Y558" s="160">
        <f t="shared" si="329"/>
        <v>-1.2326994267159241</v>
      </c>
      <c r="Z558" s="98" t="str">
        <f t="shared" si="319"/>
        <v>-2522.82937792079-66.8602063766513i</v>
      </c>
      <c r="AA558" s="160">
        <f t="shared" si="330"/>
        <v>2523.7151894175636</v>
      </c>
      <c r="AB558" s="160">
        <f t="shared" si="331"/>
        <v>-3.1150967834183376</v>
      </c>
      <c r="AC558" s="171" t="str">
        <f t="shared" si="332"/>
        <v>-0.00312331461939051+0.00970440049432772i</v>
      </c>
      <c r="AD558" s="190">
        <f t="shared" si="333"/>
        <v>-39.832570537024566</v>
      </c>
      <c r="AE558" s="169">
        <f t="shared" si="334"/>
        <v>107.84052149450862</v>
      </c>
      <c r="AF558" s="98" t="str">
        <f t="shared" si="320"/>
        <v>-0.0000114342530449913</v>
      </c>
      <c r="AG558" s="98" t="str">
        <f t="shared" si="321"/>
        <v>1.89470688276776i</v>
      </c>
      <c r="AH558" s="98">
        <f t="shared" si="335"/>
        <v>1.89470688276776</v>
      </c>
      <c r="AI558" s="98">
        <f t="shared" si="336"/>
        <v>1.5707963267948966</v>
      </c>
      <c r="AJ558" s="98" t="str">
        <f t="shared" si="322"/>
        <v>1+17.3536820109034i</v>
      </c>
      <c r="AK558" s="98">
        <f t="shared" si="337"/>
        <v>17.382470461230536</v>
      </c>
      <c r="AL558" s="98">
        <f t="shared" si="338"/>
        <v>1.5132353243319128</v>
      </c>
      <c r="AM558" s="98" t="str">
        <f t="shared" si="323"/>
        <v>1+41666.1905081791i</v>
      </c>
      <c r="AN558" s="98">
        <f t="shared" si="339"/>
        <v>41666.190520179232</v>
      </c>
      <c r="AO558" s="98">
        <f t="shared" si="340"/>
        <v>1.5707723265206308</v>
      </c>
      <c r="AP558" s="168" t="str">
        <f t="shared" si="341"/>
        <v>-0.000831851191780372+0.0144417159026323i</v>
      </c>
      <c r="AQ558" s="98">
        <f t="shared" si="342"/>
        <v>-36.793238766621315</v>
      </c>
      <c r="AR558" s="169">
        <f t="shared" si="343"/>
        <v>93.296627391248521</v>
      </c>
      <c r="AS558" s="168" t="str">
        <f t="shared" si="344"/>
        <v>-0.000137550061956-0.0000531786395244964i</v>
      </c>
      <c r="AT558" s="190">
        <f t="shared" si="345"/>
        <v>-76.625809303645894</v>
      </c>
      <c r="AU558" s="169">
        <f t="shared" si="346"/>
        <v>-158.86285111424283</v>
      </c>
      <c r="AV558" s="225"/>
      <c r="AX558">
        <f t="shared" si="347"/>
        <v>0</v>
      </c>
      <c r="AY558">
        <f t="shared" si="348"/>
        <v>0</v>
      </c>
    </row>
    <row r="559" spans="14:51" x14ac:dyDescent="0.2">
      <c r="N559" s="170">
        <v>41</v>
      </c>
      <c r="O559" s="199">
        <f t="shared" si="314"/>
        <v>2570395.782768866</v>
      </c>
      <c r="P559" s="189" t="str">
        <f t="shared" si="315"/>
        <v>1757.57575757576</v>
      </c>
      <c r="Q559" s="160" t="str">
        <f t="shared" si="316"/>
        <v>1+931332.410585282i</v>
      </c>
      <c r="R559" s="160">
        <f t="shared" si="324"/>
        <v>931332.41058581881</v>
      </c>
      <c r="S559" s="160">
        <f t="shared" si="325"/>
        <v>1.5707952530644127</v>
      </c>
      <c r="T559" s="160" t="str">
        <f t="shared" si="317"/>
        <v>1+4522.07644446032i</v>
      </c>
      <c r="U559" s="160">
        <f t="shared" si="326"/>
        <v>4522.0765550289934</v>
      </c>
      <c r="V559" s="160">
        <f t="shared" si="327"/>
        <v>1.5705751894488165</v>
      </c>
      <c r="W559" s="98" t="str">
        <f t="shared" si="318"/>
        <v>1-2.910413783079i</v>
      </c>
      <c r="X559" s="160">
        <f t="shared" si="328"/>
        <v>3.0774191116479757</v>
      </c>
      <c r="Y559" s="160">
        <f t="shared" si="329"/>
        <v>-1.2398399904236914</v>
      </c>
      <c r="Z559" s="98" t="str">
        <f t="shared" si="319"/>
        <v>-2641.77379203039-68.4175806476721i</v>
      </c>
      <c r="AA559" s="160">
        <f t="shared" si="330"/>
        <v>2642.6595947265523</v>
      </c>
      <c r="AB559" s="160">
        <f t="shared" si="331"/>
        <v>-3.1157000921003513</v>
      </c>
      <c r="AC559" s="171" t="str">
        <f t="shared" si="332"/>
        <v>-0.00298278859744403+0.00947965929181933i</v>
      </c>
      <c r="AD559" s="190">
        <f t="shared" si="333"/>
        <v>-40.054146615404179</v>
      </c>
      <c r="AE559" s="169">
        <f t="shared" si="334"/>
        <v>107.466258066656</v>
      </c>
      <c r="AF559" s="98" t="str">
        <f t="shared" si="320"/>
        <v>-0.0000114342530449913</v>
      </c>
      <c r="AG559" s="98" t="str">
        <f t="shared" si="321"/>
        <v>1.93884027556236i</v>
      </c>
      <c r="AH559" s="98">
        <f t="shared" si="335"/>
        <v>1.9388402755623599</v>
      </c>
      <c r="AI559" s="98">
        <f t="shared" si="336"/>
        <v>1.5707963267948966</v>
      </c>
      <c r="AJ559" s="98" t="str">
        <f t="shared" si="322"/>
        <v>1+17.757901192026i</v>
      </c>
      <c r="AK559" s="98">
        <f t="shared" si="337"/>
        <v>17.786035385823297</v>
      </c>
      <c r="AL559" s="98">
        <f t="shared" si="338"/>
        <v>1.5145427782461856</v>
      </c>
      <c r="AM559" s="98" t="str">
        <f t="shared" si="323"/>
        <v>1+42636.7207620544i</v>
      </c>
      <c r="AN559" s="98">
        <f t="shared" si="339"/>
        <v>42636.720773781373</v>
      </c>
      <c r="AO559" s="98">
        <f t="shared" si="340"/>
        <v>1.5707728728335708</v>
      </c>
      <c r="AP559" s="168" t="str">
        <f t="shared" si="341"/>
        <v>-0.000794530071678204+0.0141150839773082i</v>
      </c>
      <c r="AQ559" s="98">
        <f t="shared" si="342"/>
        <v>-36.992591806303665</v>
      </c>
      <c r="AR559" s="169">
        <f t="shared" si="343"/>
        <v>93.221747101478584</v>
      </c>
      <c r="AS559" s="168" t="str">
        <f t="shared" si="344"/>
        <v>-0.000131436271742172-0.000049634185916094i</v>
      </c>
      <c r="AT559" s="190">
        <f t="shared" si="345"/>
        <v>-77.046738421707829</v>
      </c>
      <c r="AU559" s="169">
        <f t="shared" si="346"/>
        <v>-159.31199483186543</v>
      </c>
      <c r="AV559" s="225"/>
      <c r="AX559">
        <f t="shared" si="347"/>
        <v>0</v>
      </c>
      <c r="AY559">
        <f t="shared" si="348"/>
        <v>0</v>
      </c>
    </row>
    <row r="560" spans="14:51" ht="16" thickBot="1" x14ac:dyDescent="0.25">
      <c r="N560" s="170">
        <v>42</v>
      </c>
      <c r="O560" s="199">
        <f t="shared" si="314"/>
        <v>2630267.9918953842</v>
      </c>
      <c r="P560" s="189" t="str">
        <f t="shared" si="315"/>
        <v>1757.57575757576</v>
      </c>
      <c r="Q560" s="160" t="str">
        <f t="shared" si="316"/>
        <v>1+953025.92923586i</v>
      </c>
      <c r="R560" s="160">
        <f t="shared" si="324"/>
        <v>953025.92923638457</v>
      </c>
      <c r="S560" s="160">
        <f t="shared" si="325"/>
        <v>1.5707952775055023</v>
      </c>
      <c r="T560" s="160" t="str">
        <f t="shared" si="317"/>
        <v>1+4627.40913617411i</v>
      </c>
      <c r="U560" s="160">
        <f t="shared" si="326"/>
        <v>4627.4092442259343</v>
      </c>
      <c r="V560" s="160">
        <f t="shared" si="327"/>
        <v>1.5705802231492052</v>
      </c>
      <c r="W560" s="98" t="str">
        <f t="shared" si="318"/>
        <v>1-2.97820602886205i</v>
      </c>
      <c r="X560" s="160">
        <f t="shared" si="328"/>
        <v>3.1416096432163982</v>
      </c>
      <c r="Y560" s="160">
        <f t="shared" si="329"/>
        <v>-1.2468520357103445</v>
      </c>
      <c r="Z560" s="98" t="str">
        <f t="shared" si="319"/>
        <v>-2766.32388367575-70.0112308255661i</v>
      </c>
      <c r="AA560" s="160">
        <f t="shared" si="330"/>
        <v>2767.2096779674275</v>
      </c>
      <c r="AB560" s="160">
        <f t="shared" si="331"/>
        <v>-3.116289655184449</v>
      </c>
      <c r="AC560" s="196" t="str">
        <f t="shared" si="332"/>
        <v>-0.00284858321311078+0.00926029028776316i</v>
      </c>
      <c r="AD560" s="197">
        <f t="shared" si="333"/>
        <v>-40.274851996055254</v>
      </c>
      <c r="AE560" s="198">
        <f t="shared" si="334"/>
        <v>107.09856395186804</v>
      </c>
      <c r="AF560" s="98" t="str">
        <f t="shared" si="320"/>
        <v>-0.0000114342530449913</v>
      </c>
      <c r="AG560" s="98" t="str">
        <f t="shared" si="321"/>
        <v>1.98400166713465i</v>
      </c>
      <c r="AH560" s="98">
        <f t="shared" si="335"/>
        <v>1.9840016671346501</v>
      </c>
      <c r="AI560" s="98">
        <f t="shared" si="336"/>
        <v>1.5707963267948966</v>
      </c>
      <c r="AJ560" s="98" t="str">
        <f t="shared" si="322"/>
        <v>1+18.1715358474142i</v>
      </c>
      <c r="AK560" s="98">
        <f t="shared" si="337"/>
        <v>18.199030607531252</v>
      </c>
      <c r="AL560" s="98">
        <f t="shared" si="338"/>
        <v>1.5158206569386425</v>
      </c>
      <c r="AM560" s="98" t="str">
        <f t="shared" si="323"/>
        <v>1+43629.8575696415i</v>
      </c>
      <c r="AN560" s="98">
        <f t="shared" si="339"/>
        <v>43629.857581101533</v>
      </c>
      <c r="AO560" s="98">
        <f t="shared" si="340"/>
        <v>1.5707734067109098</v>
      </c>
      <c r="AP560" s="191" t="str">
        <f t="shared" si="341"/>
        <v>-0.000758878296527806+0.0137957473967185i</v>
      </c>
      <c r="AQ560" s="195">
        <f t="shared" si="342"/>
        <v>-37.191973874016085</v>
      </c>
      <c r="AR560" s="198">
        <f t="shared" si="343"/>
        <v>93.148560634589387</v>
      </c>
      <c r="AS560" s="191" t="str">
        <f t="shared" si="344"/>
        <v>-0.000125590897653983-0.0000463257677655398i</v>
      </c>
      <c r="AT560" s="197">
        <f t="shared" si="345"/>
        <v>-77.466825870071347</v>
      </c>
      <c r="AU560" s="198">
        <f t="shared" si="346"/>
        <v>-159.75287541354254</v>
      </c>
      <c r="AV560" s="225"/>
    </row>
    <row r="561" spans="14:30" x14ac:dyDescent="0.2">
      <c r="N561" s="170"/>
      <c r="P561" s="189"/>
      <c r="Q561" s="160"/>
      <c r="R561" s="160"/>
      <c r="S561" s="160"/>
      <c r="T561" s="160"/>
      <c r="U561" s="160"/>
      <c r="V561" s="160"/>
      <c r="X561" s="160"/>
      <c r="Y561" s="160"/>
      <c r="AA561" s="160"/>
      <c r="AB561" s="160"/>
      <c r="AC561" s="160"/>
      <c r="AD561" s="190"/>
    </row>
    <row r="562" spans="14:30" x14ac:dyDescent="0.2">
      <c r="N562" s="170"/>
      <c r="P562" s="189"/>
      <c r="Q562" s="160"/>
      <c r="R562" s="160"/>
      <c r="S562" s="160"/>
      <c r="T562" s="160"/>
      <c r="U562" s="160"/>
      <c r="V562" s="160"/>
      <c r="X562" s="160"/>
      <c r="Y562" s="160"/>
      <c r="AA562" s="160"/>
      <c r="AB562" s="160"/>
      <c r="AC562" s="160"/>
      <c r="AD562" s="190"/>
    </row>
    <row r="563" spans="14:30" x14ac:dyDescent="0.2">
      <c r="N563" s="170"/>
      <c r="P563" s="189"/>
      <c r="Q563" s="160"/>
      <c r="R563" s="160"/>
      <c r="S563" s="160"/>
      <c r="T563" s="160"/>
      <c r="U563" s="160"/>
      <c r="V563" s="160"/>
      <c r="X563" s="160"/>
      <c r="Y563" s="160"/>
      <c r="AA563" s="160"/>
      <c r="AB563" s="160"/>
      <c r="AC563" s="160"/>
      <c r="AD563" s="190"/>
    </row>
    <row r="564" spans="14:30" x14ac:dyDescent="0.2">
      <c r="N564" s="170"/>
      <c r="P564" s="189"/>
      <c r="Q564" s="160"/>
      <c r="R564" s="160"/>
      <c r="S564" s="160"/>
      <c r="T564" s="160"/>
      <c r="U564" s="160"/>
      <c r="V564" s="160"/>
      <c r="X564" s="160"/>
      <c r="Y564" s="160"/>
      <c r="AA564" s="160"/>
      <c r="AB564" s="160"/>
      <c r="AC564" s="160"/>
      <c r="AD564" s="190"/>
    </row>
    <row r="565" spans="14:30" x14ac:dyDescent="0.2">
      <c r="N565" s="170"/>
      <c r="P565" s="189"/>
      <c r="Q565" s="160"/>
      <c r="R565" s="160"/>
      <c r="S565" s="160"/>
      <c r="T565" s="160"/>
      <c r="U565" s="160"/>
      <c r="V565" s="160"/>
      <c r="X565" s="160"/>
      <c r="Y565" s="160"/>
      <c r="AA565" s="160"/>
      <c r="AB565" s="160"/>
      <c r="AC565" s="160"/>
      <c r="AD565" s="190"/>
    </row>
    <row r="566" spans="14:30" x14ac:dyDescent="0.2">
      <c r="N566" s="170"/>
      <c r="P566" s="189"/>
      <c r="Q566" s="160"/>
      <c r="R566" s="160"/>
      <c r="S566" s="160"/>
      <c r="T566" s="160"/>
      <c r="U566" s="160"/>
      <c r="V566" s="160"/>
      <c r="X566" s="160"/>
      <c r="Y566" s="160"/>
      <c r="AA566" s="160"/>
      <c r="AB566" s="160"/>
      <c r="AC566" s="160"/>
      <c r="AD566" s="190"/>
    </row>
    <row r="567" spans="14:30" x14ac:dyDescent="0.2">
      <c r="N567" s="170"/>
      <c r="P567" s="189"/>
      <c r="Q567" s="160"/>
      <c r="R567" s="160"/>
      <c r="S567" s="160"/>
      <c r="T567" s="160"/>
      <c r="U567" s="160"/>
      <c r="V567" s="160"/>
      <c r="X567" s="160"/>
      <c r="Y567" s="160"/>
      <c r="AA567" s="160"/>
      <c r="AB567" s="160"/>
      <c r="AC567" s="160"/>
      <c r="AD567" s="190"/>
    </row>
    <row r="568" spans="14:30" x14ac:dyDescent="0.2">
      <c r="N568" s="170"/>
      <c r="P568" s="189"/>
      <c r="Q568" s="160"/>
      <c r="R568" s="160"/>
      <c r="S568" s="160"/>
      <c r="T568" s="160"/>
      <c r="U568" s="160"/>
      <c r="V568" s="160"/>
      <c r="X568" s="160"/>
      <c r="Y568" s="160"/>
      <c r="AA568" s="160"/>
      <c r="AB568" s="160"/>
      <c r="AC568" s="160"/>
      <c r="AD568" s="190"/>
    </row>
    <row r="569" spans="14:30" x14ac:dyDescent="0.2">
      <c r="N569" s="170"/>
      <c r="P569" s="189"/>
      <c r="Q569" s="160"/>
      <c r="R569" s="160"/>
      <c r="S569" s="160"/>
      <c r="T569" s="160"/>
      <c r="U569" s="160"/>
      <c r="V569" s="160"/>
      <c r="X569" s="160"/>
      <c r="Y569" s="160"/>
      <c r="AA569" s="160"/>
      <c r="AB569" s="160"/>
      <c r="AC569" s="160"/>
      <c r="AD569" s="190"/>
    </row>
    <row r="570" spans="14:30" x14ac:dyDescent="0.2">
      <c r="N570" s="170"/>
      <c r="P570" s="189"/>
      <c r="Q570" s="160"/>
      <c r="R570" s="160"/>
      <c r="S570" s="160"/>
      <c r="T570" s="160"/>
      <c r="U570" s="160"/>
      <c r="V570" s="160"/>
      <c r="X570" s="160"/>
      <c r="Y570" s="160"/>
      <c r="AA570" s="160"/>
      <c r="AB570" s="160"/>
      <c r="AC570" s="160"/>
      <c r="AD570" s="190"/>
    </row>
    <row r="571" spans="14:30" x14ac:dyDescent="0.2">
      <c r="N571" s="170"/>
      <c r="P571" s="189"/>
      <c r="Q571" s="160"/>
      <c r="R571" s="160"/>
      <c r="S571" s="160"/>
      <c r="T571" s="160"/>
      <c r="U571" s="160"/>
      <c r="V571" s="160"/>
      <c r="X571" s="160"/>
      <c r="Y571" s="160"/>
      <c r="AA571" s="160"/>
      <c r="AB571" s="160"/>
      <c r="AC571" s="160"/>
      <c r="AD571" s="190"/>
    </row>
    <row r="572" spans="14:30" x14ac:dyDescent="0.2">
      <c r="N572" s="170"/>
      <c r="P572" s="189"/>
      <c r="Q572" s="160"/>
      <c r="R572" s="160"/>
      <c r="S572" s="160"/>
      <c r="T572" s="160"/>
      <c r="U572" s="160"/>
      <c r="V572" s="160"/>
      <c r="X572" s="160"/>
      <c r="Y572" s="160"/>
      <c r="AA572" s="160"/>
      <c r="AB572" s="160"/>
      <c r="AC572" s="160"/>
      <c r="AD572" s="190"/>
    </row>
    <row r="573" spans="14:30" x14ac:dyDescent="0.2">
      <c r="N573" s="170"/>
      <c r="P573" s="189"/>
      <c r="Q573" s="160"/>
      <c r="R573" s="160"/>
      <c r="S573" s="160"/>
      <c r="T573" s="160"/>
      <c r="U573" s="160"/>
      <c r="V573" s="160"/>
      <c r="X573" s="160"/>
      <c r="Y573" s="160"/>
      <c r="AA573" s="160"/>
      <c r="AB573" s="160"/>
      <c r="AC573" s="160"/>
      <c r="AD573" s="190"/>
    </row>
    <row r="574" spans="14:30" x14ac:dyDescent="0.2">
      <c r="N574" s="170"/>
      <c r="P574" s="189"/>
      <c r="Q574" s="160"/>
      <c r="R574" s="160"/>
      <c r="S574" s="160"/>
      <c r="T574" s="160"/>
      <c r="U574" s="160"/>
      <c r="V574" s="160"/>
      <c r="X574" s="160"/>
      <c r="Y574" s="160"/>
      <c r="AA574" s="160"/>
      <c r="AB574" s="160"/>
      <c r="AC574" s="160"/>
      <c r="AD574" s="190"/>
    </row>
    <row r="575" spans="14:30" x14ac:dyDescent="0.2">
      <c r="N575" s="170"/>
      <c r="P575" s="189"/>
      <c r="Q575" s="160"/>
      <c r="R575" s="160"/>
      <c r="S575" s="160"/>
      <c r="T575" s="160"/>
      <c r="U575" s="160"/>
      <c r="V575" s="160"/>
      <c r="X575" s="160"/>
      <c r="Y575" s="160"/>
      <c r="AA575" s="160"/>
      <c r="AB575" s="160"/>
      <c r="AC575" s="160"/>
      <c r="AD575" s="190"/>
    </row>
    <row r="576" spans="14:30" x14ac:dyDescent="0.2">
      <c r="N576" s="170"/>
      <c r="P576" s="189"/>
      <c r="Q576" s="160"/>
      <c r="R576" s="160"/>
      <c r="S576" s="160"/>
      <c r="T576" s="160"/>
      <c r="U576" s="160"/>
      <c r="V576" s="160"/>
      <c r="X576" s="160"/>
      <c r="Y576" s="160"/>
      <c r="AA576" s="160"/>
      <c r="AB576" s="160"/>
      <c r="AC576" s="160"/>
      <c r="AD576" s="190"/>
    </row>
    <row r="577" spans="14:30" x14ac:dyDescent="0.2">
      <c r="N577" s="170"/>
      <c r="P577" s="189"/>
      <c r="Q577" s="160"/>
      <c r="R577" s="160"/>
      <c r="S577" s="160"/>
      <c r="T577" s="160"/>
      <c r="U577" s="160"/>
      <c r="V577" s="160"/>
      <c r="X577" s="160"/>
      <c r="Y577" s="160"/>
      <c r="AA577" s="160"/>
      <c r="AB577" s="160"/>
      <c r="AC577" s="160"/>
      <c r="AD577" s="190"/>
    </row>
    <row r="578" spans="14:30" x14ac:dyDescent="0.2">
      <c r="N578" s="170"/>
      <c r="P578" s="189"/>
      <c r="Q578" s="160"/>
      <c r="R578" s="160"/>
      <c r="S578" s="160"/>
      <c r="T578" s="160"/>
      <c r="U578" s="160"/>
      <c r="V578" s="160"/>
      <c r="X578" s="160"/>
      <c r="Y578" s="160"/>
      <c r="AA578" s="160"/>
      <c r="AB578" s="160"/>
      <c r="AC578" s="160"/>
      <c r="AD578" s="190"/>
    </row>
    <row r="579" spans="14:30" x14ac:dyDescent="0.2">
      <c r="N579" s="170"/>
      <c r="P579" s="189"/>
      <c r="Q579" s="160"/>
      <c r="R579" s="160"/>
      <c r="S579" s="160"/>
      <c r="T579" s="160"/>
      <c r="U579" s="160"/>
      <c r="V579" s="160"/>
      <c r="X579" s="160"/>
      <c r="Y579" s="160"/>
      <c r="AA579" s="160"/>
      <c r="AB579" s="160"/>
      <c r="AC579" s="160"/>
      <c r="AD579" s="190"/>
    </row>
    <row r="580" spans="14:30" x14ac:dyDescent="0.2">
      <c r="N580" s="170"/>
      <c r="P580" s="189"/>
      <c r="Q580" s="160"/>
      <c r="R580" s="160"/>
      <c r="S580" s="160"/>
      <c r="T580" s="160"/>
      <c r="U580" s="160"/>
      <c r="V580" s="160"/>
      <c r="X580" s="160"/>
      <c r="Y580" s="160"/>
      <c r="AA580" s="160"/>
      <c r="AB580" s="160"/>
      <c r="AC580" s="160"/>
      <c r="AD580" s="190"/>
    </row>
    <row r="581" spans="14:30" x14ac:dyDescent="0.2">
      <c r="N581" s="170"/>
      <c r="P581" s="189"/>
      <c r="Q581" s="160"/>
      <c r="R581" s="160"/>
      <c r="S581" s="160"/>
      <c r="T581" s="160"/>
      <c r="U581" s="160"/>
      <c r="V581" s="160"/>
      <c r="X581" s="160"/>
      <c r="Y581" s="160"/>
      <c r="AA581" s="160"/>
      <c r="AB581" s="160"/>
      <c r="AC581" s="160"/>
      <c r="AD581" s="190"/>
    </row>
    <row r="582" spans="14:30" x14ac:dyDescent="0.2">
      <c r="N582" s="170"/>
      <c r="P582" s="189"/>
      <c r="Q582" s="160"/>
      <c r="R582" s="160"/>
      <c r="S582" s="160"/>
      <c r="T582" s="160"/>
      <c r="U582" s="160"/>
      <c r="V582" s="160"/>
      <c r="X582" s="160"/>
      <c r="Y582" s="160"/>
      <c r="AA582" s="160"/>
      <c r="AB582" s="160"/>
      <c r="AC582" s="160"/>
      <c r="AD582" s="190"/>
    </row>
    <row r="583" spans="14:30" x14ac:dyDescent="0.2">
      <c r="N583" s="170"/>
      <c r="P583" s="189"/>
      <c r="Q583" s="160"/>
      <c r="R583" s="160"/>
      <c r="S583" s="160"/>
      <c r="T583" s="160"/>
      <c r="U583" s="160"/>
      <c r="V583" s="160"/>
      <c r="X583" s="160"/>
      <c r="Y583" s="160"/>
      <c r="AA583" s="160"/>
      <c r="AB583" s="160"/>
      <c r="AC583" s="160"/>
      <c r="AD583" s="190"/>
    </row>
    <row r="584" spans="14:30" x14ac:dyDescent="0.2">
      <c r="N584" s="170"/>
      <c r="P584" s="189"/>
      <c r="Q584" s="160"/>
      <c r="R584" s="160"/>
      <c r="S584" s="160"/>
      <c r="T584" s="160"/>
      <c r="U584" s="160"/>
      <c r="V584" s="160"/>
      <c r="X584" s="160"/>
      <c r="Y584" s="160"/>
      <c r="AA584" s="160"/>
      <c r="AB584" s="160"/>
      <c r="AC584" s="160"/>
      <c r="AD584" s="190"/>
    </row>
    <row r="585" spans="14:30" x14ac:dyDescent="0.2">
      <c r="N585" s="170"/>
      <c r="P585" s="189"/>
      <c r="Q585" s="160"/>
      <c r="R585" s="160"/>
      <c r="S585" s="160"/>
      <c r="T585" s="160"/>
      <c r="U585" s="160"/>
      <c r="V585" s="160"/>
      <c r="X585" s="160"/>
      <c r="Y585" s="160"/>
      <c r="AA585" s="160"/>
      <c r="AB585" s="160"/>
      <c r="AC585" s="160"/>
      <c r="AD585" s="190"/>
    </row>
    <row r="586" spans="14:30" x14ac:dyDescent="0.2">
      <c r="N586" s="170"/>
      <c r="P586" s="189"/>
      <c r="Q586" s="160"/>
      <c r="R586" s="160"/>
      <c r="S586" s="160"/>
      <c r="T586" s="160"/>
      <c r="U586" s="160"/>
      <c r="V586" s="160"/>
      <c r="X586" s="160"/>
      <c r="Y586" s="160"/>
      <c r="AA586" s="160"/>
      <c r="AB586" s="160"/>
      <c r="AC586" s="160"/>
      <c r="AD586" s="190"/>
    </row>
    <row r="587" spans="14:30" x14ac:dyDescent="0.2">
      <c r="N587" s="170"/>
      <c r="P587" s="189"/>
      <c r="Q587" s="160"/>
      <c r="R587" s="160"/>
      <c r="S587" s="160"/>
      <c r="T587" s="160"/>
      <c r="U587" s="160"/>
      <c r="V587" s="160"/>
      <c r="X587" s="160"/>
      <c r="Y587" s="160"/>
      <c r="AA587" s="160"/>
      <c r="AB587" s="160"/>
      <c r="AC587" s="160"/>
      <c r="AD587" s="190"/>
    </row>
    <row r="588" spans="14:30" x14ac:dyDescent="0.2">
      <c r="N588" s="170"/>
      <c r="P588" s="189"/>
      <c r="Q588" s="160"/>
      <c r="R588" s="160"/>
      <c r="S588" s="160"/>
      <c r="T588" s="160"/>
      <c r="U588" s="160"/>
      <c r="V588" s="160"/>
      <c r="X588" s="160"/>
      <c r="Y588" s="160"/>
      <c r="AA588" s="160"/>
      <c r="AB588" s="160"/>
      <c r="AC588" s="160"/>
      <c r="AD588" s="190"/>
    </row>
    <row r="589" spans="14:30" x14ac:dyDescent="0.2">
      <c r="N589" s="170"/>
      <c r="P589" s="189"/>
      <c r="Q589" s="160"/>
      <c r="R589" s="160"/>
      <c r="S589" s="160"/>
      <c r="T589" s="160"/>
      <c r="U589" s="160"/>
      <c r="V589" s="160"/>
      <c r="X589" s="160"/>
      <c r="Y589" s="160"/>
      <c r="AA589" s="160"/>
      <c r="AB589" s="160"/>
      <c r="AC589" s="160"/>
      <c r="AD589" s="190"/>
    </row>
    <row r="590" spans="14:30" x14ac:dyDescent="0.2">
      <c r="N590" s="170"/>
      <c r="P590" s="189"/>
      <c r="Q590" s="160"/>
      <c r="R590" s="160"/>
      <c r="S590" s="160"/>
      <c r="T590" s="160"/>
      <c r="U590" s="160"/>
      <c r="V590" s="160"/>
      <c r="X590" s="160"/>
      <c r="Y590" s="160"/>
      <c r="AA590" s="160"/>
      <c r="AB590" s="160"/>
      <c r="AC590" s="160"/>
      <c r="AD590" s="190"/>
    </row>
    <row r="591" spans="14:30" x14ac:dyDescent="0.2">
      <c r="N591" s="170"/>
      <c r="P591" s="189"/>
      <c r="Q591" s="160"/>
      <c r="R591" s="160"/>
      <c r="S591" s="160"/>
      <c r="T591" s="160"/>
      <c r="U591" s="160"/>
      <c r="V591" s="160"/>
      <c r="X591" s="160"/>
      <c r="Y591" s="160"/>
      <c r="AA591" s="160"/>
      <c r="AB591" s="160"/>
      <c r="AC591" s="160"/>
      <c r="AD591" s="190"/>
    </row>
    <row r="592" spans="14:30" x14ac:dyDescent="0.2">
      <c r="N592" s="170"/>
      <c r="P592" s="189"/>
      <c r="Q592" s="160"/>
      <c r="R592" s="160"/>
      <c r="S592" s="160"/>
      <c r="T592" s="160"/>
      <c r="U592" s="160"/>
      <c r="V592" s="160"/>
      <c r="X592" s="160"/>
      <c r="Y592" s="160"/>
      <c r="AA592" s="160"/>
      <c r="AB592" s="160"/>
      <c r="AC592" s="160"/>
      <c r="AD592" s="190"/>
    </row>
    <row r="593" spans="14:30" x14ac:dyDescent="0.2">
      <c r="N593" s="170"/>
      <c r="P593" s="189"/>
      <c r="Q593" s="160"/>
      <c r="R593" s="160"/>
      <c r="S593" s="160"/>
      <c r="T593" s="160"/>
      <c r="U593" s="160"/>
      <c r="V593" s="160"/>
      <c r="X593" s="160"/>
      <c r="Y593" s="160"/>
      <c r="AA593" s="160"/>
      <c r="AB593" s="160"/>
      <c r="AC593" s="160"/>
      <c r="AD593" s="190"/>
    </row>
    <row r="594" spans="14:30" x14ac:dyDescent="0.2">
      <c r="N594" s="170"/>
      <c r="P594" s="189"/>
      <c r="Q594" s="160"/>
      <c r="R594" s="160"/>
      <c r="S594" s="160"/>
      <c r="T594" s="160"/>
      <c r="U594" s="160"/>
      <c r="V594" s="160"/>
      <c r="X594" s="160"/>
      <c r="Y594" s="160"/>
      <c r="AA594" s="160"/>
      <c r="AB594" s="160"/>
      <c r="AC594" s="160"/>
      <c r="AD594" s="190"/>
    </row>
    <row r="595" spans="14:30" x14ac:dyDescent="0.2">
      <c r="N595" s="170"/>
      <c r="P595" s="189"/>
      <c r="Q595" s="160"/>
      <c r="R595" s="160"/>
      <c r="S595" s="160"/>
      <c r="T595" s="160"/>
      <c r="U595" s="160"/>
      <c r="V595" s="160"/>
      <c r="X595" s="160"/>
      <c r="Y595" s="160"/>
      <c r="AA595" s="160"/>
      <c r="AB595" s="160"/>
      <c r="AC595" s="160"/>
      <c r="AD595" s="190"/>
    </row>
    <row r="596" spans="14:30" x14ac:dyDescent="0.2">
      <c r="N596" s="170"/>
      <c r="P596" s="189"/>
      <c r="Q596" s="160"/>
      <c r="R596" s="160"/>
      <c r="S596" s="160"/>
      <c r="T596" s="160"/>
      <c r="U596" s="160"/>
      <c r="V596" s="160"/>
      <c r="X596" s="160"/>
      <c r="Y596" s="160"/>
      <c r="AA596" s="160"/>
      <c r="AB596" s="160"/>
      <c r="AC596" s="160"/>
      <c r="AD596" s="190"/>
    </row>
    <row r="597" spans="14:30" x14ac:dyDescent="0.2">
      <c r="N597" s="170"/>
      <c r="P597" s="189"/>
      <c r="Q597" s="160"/>
      <c r="R597" s="160"/>
      <c r="S597" s="160"/>
      <c r="T597" s="160"/>
      <c r="U597" s="160"/>
      <c r="V597" s="160"/>
      <c r="X597" s="160"/>
      <c r="Y597" s="160"/>
      <c r="AA597" s="160"/>
      <c r="AB597" s="160"/>
      <c r="AC597" s="160"/>
      <c r="AD597" s="190"/>
    </row>
    <row r="598" spans="14:30" x14ac:dyDescent="0.2">
      <c r="N598" s="170"/>
      <c r="P598" s="189"/>
      <c r="Q598" s="160"/>
      <c r="R598" s="160"/>
      <c r="S598" s="160"/>
      <c r="T598" s="160"/>
      <c r="U598" s="160"/>
      <c r="V598" s="160"/>
      <c r="X598" s="160"/>
      <c r="Y598" s="160"/>
      <c r="AA598" s="160"/>
      <c r="AB598" s="160"/>
      <c r="AC598" s="160"/>
      <c r="AD598" s="190"/>
    </row>
    <row r="599" spans="14:30" x14ac:dyDescent="0.2">
      <c r="N599" s="170"/>
      <c r="P599" s="189"/>
      <c r="Q599" s="160"/>
      <c r="R599" s="160"/>
      <c r="S599" s="160"/>
      <c r="T599" s="160"/>
      <c r="U599" s="160"/>
      <c r="V599" s="160"/>
      <c r="X599" s="160"/>
      <c r="Y599" s="160"/>
      <c r="AA599" s="160"/>
      <c r="AB599" s="160"/>
      <c r="AC599" s="160"/>
      <c r="AD599" s="190"/>
    </row>
    <row r="600" spans="14:30" x14ac:dyDescent="0.2">
      <c r="N600" s="170"/>
      <c r="P600" s="189"/>
      <c r="Q600" s="160"/>
      <c r="R600" s="160"/>
      <c r="S600" s="160"/>
      <c r="T600" s="160"/>
      <c r="U600" s="160"/>
      <c r="V600" s="160"/>
      <c r="X600" s="160"/>
      <c r="Y600" s="160"/>
      <c r="AA600" s="160"/>
      <c r="AB600" s="160"/>
      <c r="AC600" s="160"/>
      <c r="AD600" s="190"/>
    </row>
    <row r="601" spans="14:30" x14ac:dyDescent="0.2">
      <c r="N601" s="170"/>
      <c r="P601" s="189"/>
      <c r="Q601" s="160"/>
      <c r="R601" s="160"/>
      <c r="S601" s="160"/>
      <c r="T601" s="160"/>
      <c r="U601" s="160"/>
      <c r="V601" s="160"/>
      <c r="X601" s="160"/>
      <c r="Y601" s="160"/>
      <c r="AA601" s="160"/>
      <c r="AB601" s="160"/>
      <c r="AC601" s="160"/>
      <c r="AD601" s="190"/>
    </row>
    <row r="602" spans="14:30" x14ac:dyDescent="0.2">
      <c r="N602" s="170"/>
      <c r="P602" s="189"/>
      <c r="Q602" s="160"/>
      <c r="R602" s="160"/>
      <c r="S602" s="160"/>
      <c r="T602" s="160"/>
      <c r="U602" s="160"/>
      <c r="V602" s="160"/>
      <c r="X602" s="160"/>
      <c r="Y602" s="160"/>
      <c r="AA602" s="160"/>
      <c r="AB602" s="160"/>
      <c r="AC602" s="160"/>
      <c r="AD602" s="190"/>
    </row>
    <row r="603" spans="14:30" x14ac:dyDescent="0.2">
      <c r="N603" s="170"/>
      <c r="P603" s="189"/>
      <c r="Q603" s="160"/>
      <c r="R603" s="160"/>
      <c r="S603" s="160"/>
      <c r="T603" s="160"/>
      <c r="U603" s="160"/>
      <c r="V603" s="160"/>
      <c r="X603" s="160"/>
      <c r="Y603" s="160"/>
      <c r="AA603" s="160"/>
      <c r="AB603" s="160"/>
      <c r="AC603" s="160"/>
      <c r="AD603" s="190"/>
    </row>
    <row r="604" spans="14:30" x14ac:dyDescent="0.2">
      <c r="N604" s="170"/>
      <c r="P604" s="189"/>
      <c r="Q604" s="160"/>
      <c r="R604" s="160"/>
      <c r="S604" s="160"/>
      <c r="T604" s="160"/>
      <c r="U604" s="160"/>
      <c r="V604" s="160"/>
      <c r="X604" s="160"/>
      <c r="Y604" s="160"/>
      <c r="AA604" s="160"/>
      <c r="AB604" s="160"/>
      <c r="AC604" s="160"/>
      <c r="AD604" s="190"/>
    </row>
    <row r="605" spans="14:30" x14ac:dyDescent="0.2">
      <c r="N605" s="170"/>
      <c r="P605" s="189"/>
      <c r="Q605" s="160"/>
      <c r="R605" s="160"/>
      <c r="S605" s="160"/>
      <c r="T605" s="160"/>
      <c r="U605" s="160"/>
      <c r="V605" s="160"/>
      <c r="X605" s="160"/>
      <c r="Y605" s="160"/>
      <c r="AA605" s="160"/>
      <c r="AB605" s="160"/>
      <c r="AC605" s="160"/>
      <c r="AD605" s="190"/>
    </row>
    <row r="606" spans="14:30" x14ac:dyDescent="0.2">
      <c r="N606" s="170"/>
      <c r="P606" s="189"/>
      <c r="Q606" s="160"/>
      <c r="R606" s="160"/>
      <c r="S606" s="160"/>
      <c r="T606" s="160"/>
      <c r="U606" s="160"/>
      <c r="V606" s="160"/>
      <c r="X606" s="160"/>
      <c r="Y606" s="160"/>
      <c r="AA606" s="160"/>
      <c r="AB606" s="160"/>
      <c r="AC606" s="160"/>
      <c r="AD606" s="190"/>
    </row>
    <row r="607" spans="14:30" x14ac:dyDescent="0.2">
      <c r="N607" s="170"/>
      <c r="P607" s="189"/>
      <c r="Q607" s="160"/>
      <c r="R607" s="160"/>
      <c r="S607" s="160"/>
      <c r="T607" s="160"/>
      <c r="U607" s="160"/>
      <c r="V607" s="160"/>
      <c r="X607" s="160"/>
      <c r="Y607" s="160"/>
      <c r="AA607" s="160"/>
      <c r="AB607" s="160"/>
      <c r="AC607" s="160"/>
      <c r="AD607" s="190"/>
    </row>
    <row r="608" spans="14:30" x14ac:dyDescent="0.2">
      <c r="N608" s="170"/>
      <c r="P608" s="189"/>
      <c r="Q608" s="160"/>
      <c r="R608" s="160"/>
      <c r="S608" s="160"/>
      <c r="T608" s="160"/>
      <c r="U608" s="160"/>
      <c r="V608" s="160"/>
      <c r="X608" s="160"/>
      <c r="Y608" s="160"/>
      <c r="AA608" s="160"/>
      <c r="AB608" s="160"/>
      <c r="AC608" s="160"/>
      <c r="AD608" s="190"/>
    </row>
    <row r="609" spans="14:30" x14ac:dyDescent="0.2">
      <c r="N609" s="170"/>
      <c r="P609" s="189"/>
      <c r="Q609" s="160"/>
      <c r="R609" s="160"/>
      <c r="S609" s="160"/>
      <c r="T609" s="160"/>
      <c r="U609" s="160"/>
      <c r="V609" s="160"/>
      <c r="X609" s="160"/>
      <c r="Y609" s="160"/>
      <c r="AA609" s="160"/>
      <c r="AB609" s="160"/>
      <c r="AC609" s="160"/>
      <c r="AD609" s="190"/>
    </row>
    <row r="610" spans="14:30" x14ac:dyDescent="0.2">
      <c r="N610" s="170"/>
      <c r="P610" s="189"/>
      <c r="Q610" s="160"/>
      <c r="R610" s="160"/>
      <c r="S610" s="160"/>
      <c r="T610" s="160"/>
      <c r="U610" s="160"/>
      <c r="V610" s="160"/>
      <c r="X610" s="160"/>
      <c r="Y610" s="160"/>
      <c r="AA610" s="160"/>
      <c r="AB610" s="160"/>
      <c r="AC610" s="160"/>
      <c r="AD610" s="190"/>
    </row>
    <row r="611" spans="14:30" x14ac:dyDescent="0.2">
      <c r="N611" s="170"/>
      <c r="P611" s="189"/>
      <c r="Q611" s="160"/>
      <c r="R611" s="160"/>
      <c r="S611" s="160"/>
      <c r="T611" s="160"/>
      <c r="U611" s="160"/>
      <c r="V611" s="160"/>
      <c r="X611" s="160"/>
      <c r="Y611" s="160"/>
      <c r="AA611" s="160"/>
      <c r="AB611" s="160"/>
      <c r="AC611" s="160"/>
      <c r="AD611" s="190"/>
    </row>
    <row r="612" spans="14:30" x14ac:dyDescent="0.2">
      <c r="N612" s="170"/>
      <c r="P612" s="189"/>
      <c r="Q612" s="160"/>
      <c r="R612" s="160"/>
      <c r="S612" s="160"/>
      <c r="T612" s="160"/>
      <c r="U612" s="160"/>
      <c r="V612" s="160"/>
      <c r="X612" s="160"/>
      <c r="Y612" s="160"/>
      <c r="AA612" s="160"/>
      <c r="AB612" s="160"/>
      <c r="AC612" s="160"/>
      <c r="AD612" s="190"/>
    </row>
    <row r="613" spans="14:30" x14ac:dyDescent="0.2">
      <c r="N613" s="170"/>
      <c r="P613" s="189"/>
      <c r="Q613" s="160"/>
      <c r="R613" s="160"/>
      <c r="S613" s="160"/>
      <c r="T613" s="160"/>
      <c r="U613" s="160"/>
      <c r="V613" s="160"/>
      <c r="X613" s="160"/>
      <c r="Y613" s="160"/>
      <c r="AA613" s="160"/>
      <c r="AB613" s="160"/>
      <c r="AC613" s="160"/>
      <c r="AD613" s="190"/>
    </row>
    <row r="614" spans="14:30" x14ac:dyDescent="0.2">
      <c r="N614" s="170"/>
      <c r="P614" s="189"/>
      <c r="Q614" s="160"/>
      <c r="R614" s="160"/>
      <c r="S614" s="160"/>
      <c r="T614" s="160"/>
      <c r="U614" s="160"/>
      <c r="V614" s="160"/>
      <c r="X614" s="160"/>
      <c r="Y614" s="160"/>
      <c r="AA614" s="160"/>
      <c r="AB614" s="160"/>
      <c r="AC614" s="160"/>
      <c r="AD614" s="190"/>
    </row>
    <row r="615" spans="14:30" x14ac:dyDescent="0.2">
      <c r="N615" s="170"/>
      <c r="P615" s="189"/>
      <c r="Q615" s="160"/>
      <c r="R615" s="160"/>
      <c r="S615" s="160"/>
      <c r="T615" s="160"/>
      <c r="U615" s="160"/>
      <c r="V615" s="160"/>
      <c r="X615" s="160"/>
      <c r="Y615" s="160"/>
      <c r="AA615" s="160"/>
      <c r="AB615" s="160"/>
      <c r="AC615" s="160"/>
      <c r="AD615" s="190"/>
    </row>
    <row r="616" spans="14:30" x14ac:dyDescent="0.2">
      <c r="N616" s="170"/>
      <c r="P616" s="189"/>
      <c r="Q616" s="160"/>
      <c r="R616" s="160"/>
      <c r="S616" s="160"/>
      <c r="T616" s="160"/>
      <c r="U616" s="160"/>
      <c r="V616" s="160"/>
      <c r="X616" s="160"/>
      <c r="Y616" s="160"/>
      <c r="AA616" s="160"/>
      <c r="AB616" s="160"/>
      <c r="AC616" s="160"/>
      <c r="AD616" s="190"/>
    </row>
    <row r="617" spans="14:30" x14ac:dyDescent="0.2">
      <c r="N617" s="170"/>
      <c r="P617" s="189"/>
      <c r="Q617" s="160"/>
      <c r="R617" s="160"/>
      <c r="S617" s="160"/>
      <c r="T617" s="160"/>
      <c r="U617" s="160"/>
      <c r="V617" s="160"/>
      <c r="X617" s="160"/>
      <c r="Y617" s="160"/>
      <c r="AA617" s="160"/>
      <c r="AB617" s="160"/>
      <c r="AC617" s="160"/>
      <c r="AD617" s="190"/>
    </row>
    <row r="618" spans="14:30" x14ac:dyDescent="0.2">
      <c r="N618" s="170"/>
      <c r="P618" s="189"/>
      <c r="Q618" s="160"/>
      <c r="R618" s="160"/>
      <c r="S618" s="160"/>
      <c r="T618" s="160"/>
      <c r="U618" s="160"/>
      <c r="V618" s="160"/>
      <c r="X618" s="160"/>
      <c r="Y618" s="160"/>
      <c r="AA618" s="160"/>
      <c r="AB618" s="160"/>
      <c r="AC618" s="160"/>
      <c r="AD618" s="190"/>
    </row>
    <row r="619" spans="14:30" x14ac:dyDescent="0.2">
      <c r="N619" s="170"/>
      <c r="P619" s="189"/>
      <c r="Q619" s="160"/>
      <c r="R619" s="160"/>
      <c r="S619" s="160"/>
      <c r="T619" s="160"/>
      <c r="U619" s="160"/>
      <c r="V619" s="160"/>
      <c r="X619" s="160"/>
      <c r="Y619" s="160"/>
      <c r="AA619" s="160"/>
      <c r="AB619" s="160"/>
      <c r="AC619" s="160"/>
      <c r="AD619" s="190"/>
    </row>
    <row r="620" spans="14:30" x14ac:dyDescent="0.2">
      <c r="N620" s="170"/>
      <c r="P620" s="189"/>
      <c r="Q620" s="160"/>
      <c r="R620" s="160"/>
      <c r="S620" s="160"/>
      <c r="T620" s="160"/>
      <c r="U620" s="160"/>
      <c r="V620" s="160"/>
      <c r="X620" s="160"/>
      <c r="Y620" s="160"/>
      <c r="AA620" s="160"/>
      <c r="AB620" s="160"/>
      <c r="AC620" s="160"/>
      <c r="AD620" s="190"/>
    </row>
    <row r="621" spans="14:30" x14ac:dyDescent="0.2">
      <c r="N621" s="170"/>
      <c r="P621" s="189"/>
      <c r="Q621" s="160"/>
      <c r="R621" s="160"/>
      <c r="S621" s="160"/>
      <c r="T621" s="160"/>
      <c r="U621" s="160"/>
      <c r="V621" s="160"/>
      <c r="X621" s="160"/>
      <c r="Y621" s="160"/>
      <c r="AA621" s="160"/>
      <c r="AB621" s="160"/>
      <c r="AC621" s="160"/>
      <c r="AD621" s="190"/>
    </row>
    <row r="622" spans="14:30" x14ac:dyDescent="0.2">
      <c r="N622" s="170"/>
      <c r="P622" s="189"/>
      <c r="Q622" s="160"/>
      <c r="R622" s="160"/>
      <c r="S622" s="160"/>
      <c r="T622" s="160"/>
      <c r="U622" s="160"/>
      <c r="V622" s="160"/>
      <c r="X622" s="160"/>
      <c r="Y622" s="160"/>
      <c r="AA622" s="160"/>
      <c r="AB622" s="160"/>
      <c r="AC622" s="160"/>
      <c r="AD622" s="190"/>
    </row>
    <row r="623" spans="14:30" x14ac:dyDescent="0.2">
      <c r="N623" s="170"/>
      <c r="P623" s="189"/>
      <c r="Q623" s="160"/>
      <c r="R623" s="160"/>
      <c r="S623" s="160"/>
      <c r="T623" s="160"/>
      <c r="U623" s="160"/>
      <c r="V623" s="160"/>
      <c r="X623" s="160"/>
      <c r="Y623" s="160"/>
      <c r="AA623" s="160"/>
      <c r="AB623" s="160"/>
      <c r="AC623" s="160"/>
      <c r="AD623" s="190"/>
    </row>
    <row r="624" spans="14:30" x14ac:dyDescent="0.2">
      <c r="N624" s="170"/>
      <c r="P624" s="189"/>
      <c r="Q624" s="160"/>
      <c r="R624" s="160"/>
      <c r="S624" s="160"/>
      <c r="T624" s="160"/>
      <c r="U624" s="160"/>
      <c r="V624" s="160"/>
      <c r="X624" s="160"/>
      <c r="Y624" s="160"/>
      <c r="AA624" s="160"/>
      <c r="AB624" s="160"/>
      <c r="AC624" s="160"/>
      <c r="AD624" s="190"/>
    </row>
    <row r="625" spans="14:30" x14ac:dyDescent="0.2">
      <c r="N625" s="170"/>
      <c r="P625" s="189"/>
      <c r="Q625" s="160"/>
      <c r="R625" s="160"/>
      <c r="S625" s="160"/>
      <c r="T625" s="160"/>
      <c r="U625" s="160"/>
      <c r="V625" s="160"/>
      <c r="X625" s="160"/>
      <c r="Y625" s="160"/>
      <c r="AA625" s="160"/>
      <c r="AB625" s="160"/>
      <c r="AC625" s="160"/>
      <c r="AD625" s="190"/>
    </row>
    <row r="626" spans="14:30" x14ac:dyDescent="0.2">
      <c r="N626" s="170"/>
      <c r="P626" s="189"/>
      <c r="Q626" s="160"/>
      <c r="R626" s="160"/>
      <c r="S626" s="160"/>
      <c r="T626" s="160"/>
      <c r="U626" s="160"/>
      <c r="V626" s="160"/>
      <c r="X626" s="160"/>
      <c r="Y626" s="160"/>
      <c r="AA626" s="160"/>
      <c r="AB626" s="160"/>
      <c r="AC626" s="160"/>
      <c r="AD626" s="190"/>
    </row>
    <row r="627" spans="14:30" x14ac:dyDescent="0.2">
      <c r="N627" s="170"/>
      <c r="P627" s="189"/>
      <c r="Q627" s="160"/>
      <c r="R627" s="160"/>
      <c r="S627" s="160"/>
      <c r="T627" s="160"/>
      <c r="U627" s="160"/>
      <c r="V627" s="160"/>
      <c r="X627" s="160"/>
      <c r="Y627" s="160"/>
      <c r="AA627" s="160"/>
      <c r="AB627" s="160"/>
      <c r="AC627" s="160"/>
      <c r="AD627" s="190"/>
    </row>
    <row r="628" spans="14:30" x14ac:dyDescent="0.2">
      <c r="N628" s="170"/>
      <c r="P628" s="189"/>
      <c r="Q628" s="160"/>
      <c r="R628" s="160"/>
      <c r="S628" s="160"/>
      <c r="T628" s="160"/>
      <c r="U628" s="160"/>
      <c r="V628" s="160"/>
      <c r="X628" s="160"/>
      <c r="Y628" s="160"/>
      <c r="AA628" s="160"/>
      <c r="AB628" s="160"/>
      <c r="AC628" s="160"/>
      <c r="AD628" s="190"/>
    </row>
    <row r="629" spans="14:30" x14ac:dyDescent="0.2">
      <c r="N629" s="170"/>
      <c r="P629" s="189"/>
      <c r="Q629" s="160"/>
      <c r="R629" s="160"/>
      <c r="S629" s="160"/>
      <c r="T629" s="160"/>
      <c r="U629" s="160"/>
      <c r="V629" s="160"/>
      <c r="X629" s="160"/>
      <c r="Y629" s="160"/>
      <c r="AA629" s="160"/>
      <c r="AB629" s="160"/>
      <c r="AC629" s="160"/>
      <c r="AD629" s="190"/>
    </row>
    <row r="630" spans="14:30" x14ac:dyDescent="0.2">
      <c r="N630" s="170"/>
      <c r="P630" s="189"/>
      <c r="Q630" s="160"/>
      <c r="R630" s="160"/>
      <c r="S630" s="160"/>
      <c r="T630" s="160"/>
      <c r="U630" s="160"/>
      <c r="V630" s="160"/>
      <c r="X630" s="160"/>
      <c r="Y630" s="160"/>
      <c r="AA630" s="160"/>
      <c r="AB630" s="160"/>
      <c r="AC630" s="160"/>
      <c r="AD630" s="190"/>
    </row>
    <row r="631" spans="14:30" x14ac:dyDescent="0.2">
      <c r="N631" s="170"/>
      <c r="P631" s="189"/>
      <c r="Q631" s="160"/>
      <c r="R631" s="160"/>
      <c r="S631" s="160"/>
      <c r="T631" s="160"/>
      <c r="U631" s="160"/>
      <c r="V631" s="160"/>
      <c r="X631" s="160"/>
      <c r="Y631" s="160"/>
      <c r="AA631" s="160"/>
      <c r="AB631" s="160"/>
      <c r="AC631" s="160"/>
      <c r="AD631" s="190"/>
    </row>
    <row r="632" spans="14:30" x14ac:dyDescent="0.2">
      <c r="N632" s="170"/>
      <c r="P632" s="189"/>
      <c r="Q632" s="160"/>
      <c r="R632" s="160"/>
      <c r="S632" s="160"/>
      <c r="T632" s="160"/>
      <c r="U632" s="160"/>
      <c r="V632" s="160"/>
      <c r="X632" s="160"/>
      <c r="Y632" s="160"/>
      <c r="AA632" s="160"/>
      <c r="AB632" s="160"/>
      <c r="AC632" s="160"/>
      <c r="AD632" s="190"/>
    </row>
    <row r="633" spans="14:30" x14ac:dyDescent="0.2">
      <c r="N633" s="170"/>
      <c r="P633" s="189"/>
      <c r="Q633" s="160"/>
      <c r="R633" s="160"/>
      <c r="S633" s="160"/>
      <c r="T633" s="160"/>
      <c r="U633" s="160"/>
      <c r="V633" s="160"/>
      <c r="X633" s="160"/>
      <c r="Y633" s="160"/>
      <c r="AA633" s="160"/>
      <c r="AB633" s="160"/>
      <c r="AC633" s="160"/>
      <c r="AD633" s="190"/>
    </row>
    <row r="634" spans="14:30" x14ac:dyDescent="0.2">
      <c r="N634" s="170"/>
      <c r="P634" s="189"/>
      <c r="Q634" s="160"/>
      <c r="R634" s="160"/>
      <c r="S634" s="160"/>
      <c r="T634" s="160"/>
      <c r="U634" s="160"/>
      <c r="V634" s="160"/>
      <c r="X634" s="160"/>
      <c r="Y634" s="160"/>
      <c r="AA634" s="160"/>
      <c r="AB634" s="160"/>
      <c r="AC634" s="160"/>
      <c r="AD634" s="190"/>
    </row>
    <row r="635" spans="14:30" x14ac:dyDescent="0.2">
      <c r="N635" s="170"/>
      <c r="P635" s="189"/>
      <c r="Q635" s="160"/>
      <c r="R635" s="160"/>
      <c r="S635" s="160"/>
      <c r="T635" s="160"/>
      <c r="U635" s="160"/>
      <c r="V635" s="160"/>
      <c r="X635" s="160"/>
      <c r="Y635" s="160"/>
      <c r="AA635" s="160"/>
      <c r="AB635" s="160"/>
      <c r="AC635" s="160"/>
      <c r="AD635" s="190"/>
    </row>
    <row r="636" spans="14:30" x14ac:dyDescent="0.2">
      <c r="N636" s="170"/>
      <c r="P636" s="189"/>
      <c r="Q636" s="160"/>
      <c r="R636" s="160"/>
      <c r="S636" s="160"/>
      <c r="T636" s="160"/>
      <c r="U636" s="160"/>
      <c r="V636" s="160"/>
      <c r="X636" s="160"/>
      <c r="Y636" s="160"/>
      <c r="AA636" s="160"/>
      <c r="AB636" s="160"/>
      <c r="AC636" s="160"/>
      <c r="AD636" s="190"/>
    </row>
    <row r="637" spans="14:30" x14ac:dyDescent="0.2">
      <c r="N637" s="170"/>
      <c r="P637" s="189"/>
      <c r="Q637" s="160"/>
      <c r="R637" s="160"/>
      <c r="S637" s="160"/>
      <c r="T637" s="160"/>
      <c r="U637" s="160"/>
      <c r="V637" s="160"/>
      <c r="X637" s="160"/>
      <c r="Y637" s="160"/>
      <c r="AA637" s="160"/>
      <c r="AB637" s="160"/>
      <c r="AC637" s="160"/>
      <c r="AD637" s="190"/>
    </row>
    <row r="638" spans="14:30" x14ac:dyDescent="0.2">
      <c r="N638" s="170"/>
      <c r="P638" s="189"/>
      <c r="Q638" s="160"/>
      <c r="R638" s="160"/>
      <c r="S638" s="160"/>
      <c r="T638" s="160"/>
      <c r="U638" s="160"/>
      <c r="V638" s="160"/>
      <c r="X638" s="160"/>
      <c r="Y638" s="160"/>
      <c r="AA638" s="160"/>
      <c r="AB638" s="160"/>
      <c r="AC638" s="160"/>
      <c r="AD638" s="190"/>
    </row>
    <row r="639" spans="14:30" x14ac:dyDescent="0.2">
      <c r="N639" s="170"/>
      <c r="P639" s="189"/>
      <c r="Q639" s="160"/>
      <c r="R639" s="160"/>
      <c r="S639" s="160"/>
      <c r="T639" s="160"/>
      <c r="U639" s="160"/>
      <c r="V639" s="160"/>
      <c r="X639" s="160"/>
      <c r="Y639" s="160"/>
      <c r="AA639" s="160"/>
      <c r="AB639" s="160"/>
      <c r="AC639" s="160"/>
      <c r="AD639" s="190"/>
    </row>
    <row r="640" spans="14:30" x14ac:dyDescent="0.2">
      <c r="N640" s="170"/>
      <c r="P640" s="189"/>
      <c r="Q640" s="160"/>
      <c r="R640" s="160"/>
      <c r="S640" s="160"/>
      <c r="T640" s="160"/>
      <c r="U640" s="160"/>
      <c r="V640" s="160"/>
      <c r="X640" s="160"/>
      <c r="Y640" s="160"/>
      <c r="AA640" s="160"/>
      <c r="AB640" s="160"/>
      <c r="AC640" s="160"/>
      <c r="AD640" s="190"/>
    </row>
    <row r="641" spans="14:30" x14ac:dyDescent="0.2">
      <c r="N641" s="170"/>
      <c r="P641" s="189"/>
      <c r="Q641" s="160"/>
      <c r="R641" s="160"/>
      <c r="S641" s="160"/>
      <c r="T641" s="160"/>
      <c r="U641" s="160"/>
      <c r="V641" s="160"/>
      <c r="X641" s="160"/>
      <c r="Y641" s="160"/>
      <c r="AA641" s="160"/>
      <c r="AB641" s="160"/>
      <c r="AC641" s="160"/>
      <c r="AD641" s="190"/>
    </row>
    <row r="642" spans="14:30" x14ac:dyDescent="0.2">
      <c r="N642" s="170"/>
      <c r="P642" s="189"/>
      <c r="Q642" s="160"/>
      <c r="R642" s="160"/>
      <c r="S642" s="160"/>
      <c r="T642" s="160"/>
      <c r="U642" s="160"/>
      <c r="V642" s="160"/>
      <c r="X642" s="160"/>
      <c r="Y642" s="160"/>
      <c r="AA642" s="160"/>
      <c r="AB642" s="160"/>
      <c r="AC642" s="160"/>
      <c r="AD642" s="190"/>
    </row>
    <row r="643" spans="14:30" x14ac:dyDescent="0.2">
      <c r="N643" s="170"/>
      <c r="P643" s="189"/>
      <c r="Q643" s="160"/>
      <c r="R643" s="160"/>
      <c r="S643" s="160"/>
      <c r="T643" s="160"/>
      <c r="U643" s="160"/>
      <c r="V643" s="160"/>
      <c r="X643" s="160"/>
      <c r="Y643" s="160"/>
      <c r="AA643" s="160"/>
      <c r="AB643" s="160"/>
      <c r="AC643" s="160"/>
      <c r="AD643" s="190"/>
    </row>
    <row r="644" spans="14:30" x14ac:dyDescent="0.2">
      <c r="N644" s="170"/>
      <c r="P644" s="189"/>
      <c r="Q644" s="160"/>
      <c r="R644" s="160"/>
      <c r="S644" s="160"/>
      <c r="T644" s="160"/>
      <c r="U644" s="160"/>
      <c r="V644" s="160"/>
      <c r="X644" s="160"/>
      <c r="Y644" s="160"/>
      <c r="AA644" s="160"/>
      <c r="AB644" s="160"/>
      <c r="AC644" s="160"/>
      <c r="AD644" s="190"/>
    </row>
    <row r="645" spans="14:30" x14ac:dyDescent="0.2">
      <c r="N645" s="170"/>
      <c r="P645" s="189"/>
      <c r="Q645" s="160"/>
      <c r="R645" s="160"/>
      <c r="S645" s="160"/>
      <c r="T645" s="160"/>
      <c r="U645" s="160"/>
      <c r="V645" s="160"/>
      <c r="X645" s="160"/>
      <c r="Y645" s="160"/>
      <c r="AA645" s="160"/>
      <c r="AB645" s="160"/>
      <c r="AC645" s="160"/>
      <c r="AD645" s="190"/>
    </row>
    <row r="646" spans="14:30" x14ac:dyDescent="0.2">
      <c r="N646" s="170"/>
      <c r="P646" s="189"/>
      <c r="Q646" s="160"/>
      <c r="R646" s="160"/>
      <c r="S646" s="160"/>
      <c r="T646" s="160"/>
      <c r="U646" s="160"/>
      <c r="V646" s="160"/>
      <c r="X646" s="160"/>
      <c r="Y646" s="160"/>
      <c r="AA646" s="160"/>
      <c r="AB646" s="160"/>
      <c r="AC646" s="160"/>
      <c r="AD646" s="190"/>
    </row>
    <row r="647" spans="14:30" x14ac:dyDescent="0.2">
      <c r="N647" s="170"/>
      <c r="P647" s="189"/>
      <c r="Q647" s="160"/>
      <c r="R647" s="160"/>
      <c r="S647" s="160"/>
      <c r="T647" s="160"/>
      <c r="U647" s="160"/>
      <c r="V647" s="160"/>
      <c r="X647" s="160"/>
      <c r="Y647" s="160"/>
      <c r="AA647" s="160"/>
      <c r="AB647" s="160"/>
      <c r="AC647" s="160"/>
      <c r="AD647" s="190"/>
    </row>
    <row r="648" spans="14:30" x14ac:dyDescent="0.2">
      <c r="N648" s="170"/>
      <c r="P648" s="189"/>
      <c r="Q648" s="160"/>
      <c r="R648" s="160"/>
      <c r="S648" s="160"/>
      <c r="T648" s="160"/>
      <c r="U648" s="160"/>
      <c r="V648" s="160"/>
      <c r="X648" s="160"/>
      <c r="Y648" s="160"/>
      <c r="AA648" s="160"/>
      <c r="AB648" s="160"/>
      <c r="AC648" s="160"/>
      <c r="AD648" s="190"/>
    </row>
    <row r="649" spans="14:30" x14ac:dyDescent="0.2">
      <c r="N649" s="170"/>
      <c r="P649" s="189"/>
      <c r="Q649" s="160"/>
      <c r="R649" s="160"/>
      <c r="S649" s="160"/>
      <c r="T649" s="160"/>
      <c r="U649" s="160"/>
      <c r="V649" s="160"/>
      <c r="X649" s="160"/>
      <c r="Y649" s="160"/>
      <c r="AA649" s="160"/>
      <c r="AB649" s="160"/>
      <c r="AC649" s="160"/>
      <c r="AD649" s="190"/>
    </row>
    <row r="650" spans="14:30" x14ac:dyDescent="0.2">
      <c r="N650" s="170"/>
      <c r="P650" s="189"/>
      <c r="Q650" s="160"/>
      <c r="R650" s="160"/>
      <c r="S650" s="160"/>
      <c r="T650" s="160"/>
      <c r="U650" s="160"/>
      <c r="V650" s="160"/>
      <c r="X650" s="160"/>
      <c r="Y650" s="160"/>
      <c r="AA650" s="160"/>
      <c r="AB650" s="160"/>
      <c r="AC650" s="160"/>
      <c r="AD650" s="190"/>
    </row>
    <row r="651" spans="14:30" x14ac:dyDescent="0.2">
      <c r="N651" s="170"/>
      <c r="P651" s="189"/>
      <c r="Q651" s="160"/>
      <c r="R651" s="160"/>
      <c r="S651" s="160"/>
      <c r="T651" s="160"/>
      <c r="U651" s="160"/>
      <c r="V651" s="160"/>
      <c r="X651" s="160"/>
      <c r="Y651" s="160"/>
      <c r="AA651" s="160"/>
      <c r="AB651" s="160"/>
      <c r="AC651" s="160"/>
      <c r="AD651" s="190"/>
    </row>
    <row r="652" spans="14:30" x14ac:dyDescent="0.2">
      <c r="N652" s="170"/>
      <c r="P652" s="189"/>
      <c r="Q652" s="160"/>
      <c r="R652" s="160"/>
      <c r="S652" s="160"/>
      <c r="T652" s="160"/>
      <c r="U652" s="160"/>
      <c r="V652" s="160"/>
      <c r="X652" s="160"/>
      <c r="Y652" s="160"/>
      <c r="AA652" s="160"/>
      <c r="AB652" s="160"/>
      <c r="AC652" s="160"/>
      <c r="AD652" s="190"/>
    </row>
    <row r="653" spans="14:30" x14ac:dyDescent="0.2">
      <c r="N653" s="170"/>
      <c r="P653" s="189"/>
      <c r="Q653" s="160"/>
      <c r="R653" s="160"/>
      <c r="S653" s="160"/>
      <c r="T653" s="160"/>
      <c r="U653" s="160"/>
      <c r="V653" s="160"/>
      <c r="X653" s="160"/>
      <c r="Y653" s="160"/>
      <c r="AA653" s="160"/>
      <c r="AB653" s="160"/>
      <c r="AC653" s="160"/>
      <c r="AD653" s="190"/>
    </row>
    <row r="654" spans="14:30" x14ac:dyDescent="0.2">
      <c r="N654" s="170"/>
      <c r="P654" s="189"/>
      <c r="Q654" s="160"/>
      <c r="R654" s="160"/>
      <c r="S654" s="160"/>
      <c r="T654" s="160"/>
      <c r="U654" s="160"/>
      <c r="V654" s="160"/>
      <c r="X654" s="160"/>
      <c r="Y654" s="160"/>
      <c r="AA654" s="160"/>
      <c r="AB654" s="160"/>
      <c r="AC654" s="160"/>
      <c r="AD654" s="190"/>
    </row>
    <row r="655" spans="14:30" x14ac:dyDescent="0.2">
      <c r="N655" s="170"/>
      <c r="P655" s="189"/>
      <c r="Q655" s="160"/>
      <c r="R655" s="160"/>
      <c r="S655" s="160"/>
      <c r="T655" s="160"/>
      <c r="U655" s="160"/>
      <c r="V655" s="160"/>
      <c r="X655" s="160"/>
      <c r="Y655" s="160"/>
      <c r="AA655" s="160"/>
      <c r="AB655" s="160"/>
      <c r="AC655" s="160"/>
      <c r="AD655" s="190"/>
    </row>
    <row r="656" spans="14:30" x14ac:dyDescent="0.2">
      <c r="N656" s="170"/>
      <c r="P656" s="189"/>
      <c r="Q656" s="160"/>
      <c r="R656" s="160"/>
      <c r="S656" s="160"/>
      <c r="T656" s="160"/>
      <c r="U656" s="160"/>
      <c r="V656" s="160"/>
      <c r="X656" s="160"/>
      <c r="Y656" s="160"/>
      <c r="AA656" s="160"/>
      <c r="AB656" s="160"/>
      <c r="AC656" s="160"/>
      <c r="AD656" s="190"/>
    </row>
    <row r="657" spans="14:30" x14ac:dyDescent="0.2">
      <c r="N657" s="170"/>
      <c r="P657" s="189"/>
      <c r="Q657" s="160"/>
      <c r="R657" s="160"/>
      <c r="S657" s="160"/>
      <c r="T657" s="160"/>
      <c r="U657" s="160"/>
      <c r="V657" s="160"/>
      <c r="X657" s="160"/>
      <c r="Y657" s="160"/>
      <c r="AA657" s="160"/>
      <c r="AB657" s="160"/>
      <c r="AC657" s="160"/>
      <c r="AD657" s="190"/>
    </row>
    <row r="658" spans="14:30" x14ac:dyDescent="0.2">
      <c r="N658" s="170"/>
      <c r="P658" s="189"/>
      <c r="Q658" s="160"/>
      <c r="R658" s="160"/>
      <c r="S658" s="160"/>
      <c r="T658" s="160"/>
      <c r="U658" s="160"/>
      <c r="V658" s="160"/>
      <c r="X658" s="160"/>
      <c r="Y658" s="160"/>
      <c r="AA658" s="160"/>
      <c r="AB658" s="160"/>
      <c r="AC658" s="160"/>
      <c r="AD658" s="190"/>
    </row>
    <row r="659" spans="14:30" x14ac:dyDescent="0.2">
      <c r="N659" s="170"/>
      <c r="P659" s="189"/>
      <c r="Q659" s="160"/>
      <c r="R659" s="160"/>
      <c r="S659" s="160"/>
      <c r="T659" s="160"/>
      <c r="U659" s="160"/>
      <c r="V659" s="160"/>
      <c r="X659" s="160"/>
      <c r="Y659" s="160"/>
      <c r="AA659" s="160"/>
      <c r="AB659" s="160"/>
      <c r="AC659" s="160"/>
      <c r="AD659" s="190"/>
    </row>
    <row r="660" spans="14:30" x14ac:dyDescent="0.2">
      <c r="N660" s="170"/>
      <c r="P660" s="189"/>
      <c r="Q660" s="160"/>
      <c r="R660" s="160"/>
      <c r="S660" s="160"/>
      <c r="T660" s="160"/>
      <c r="U660" s="160"/>
      <c r="V660" s="160"/>
      <c r="X660" s="160"/>
      <c r="Y660" s="160"/>
      <c r="AA660" s="160"/>
      <c r="AB660" s="160"/>
      <c r="AC660" s="160"/>
      <c r="AD660" s="190"/>
    </row>
    <row r="661" spans="14:30" x14ac:dyDescent="0.2">
      <c r="N661" s="170"/>
      <c r="P661" s="189"/>
      <c r="Q661" s="160"/>
      <c r="R661" s="160"/>
      <c r="S661" s="160"/>
      <c r="T661" s="160"/>
      <c r="U661" s="160"/>
      <c r="V661" s="160"/>
      <c r="X661" s="160"/>
      <c r="Y661" s="160"/>
      <c r="AA661" s="160"/>
      <c r="AB661" s="160"/>
      <c r="AC661" s="160"/>
      <c r="AD661" s="190"/>
    </row>
    <row r="662" spans="14:30" x14ac:dyDescent="0.2">
      <c r="N662" s="170"/>
      <c r="P662" s="189"/>
      <c r="Q662" s="160"/>
      <c r="R662" s="160"/>
      <c r="S662" s="160"/>
      <c r="T662" s="160"/>
      <c r="U662" s="160"/>
      <c r="V662" s="160"/>
      <c r="X662" s="160"/>
      <c r="Y662" s="160"/>
      <c r="AA662" s="160"/>
      <c r="AB662" s="160"/>
      <c r="AC662" s="160"/>
      <c r="AD662" s="190"/>
    </row>
    <row r="663" spans="14:30" x14ac:dyDescent="0.2">
      <c r="N663" s="170"/>
      <c r="P663" s="189"/>
      <c r="Q663" s="160"/>
      <c r="R663" s="160"/>
      <c r="S663" s="160"/>
      <c r="T663" s="160"/>
      <c r="U663" s="160"/>
      <c r="V663" s="160"/>
      <c r="X663" s="160"/>
      <c r="Y663" s="160"/>
      <c r="AA663" s="160"/>
      <c r="AB663" s="160"/>
      <c r="AC663" s="160"/>
      <c r="AD663" s="190"/>
    </row>
    <row r="664" spans="14:30" x14ac:dyDescent="0.2">
      <c r="N664" s="170"/>
      <c r="P664" s="189"/>
      <c r="Q664" s="160"/>
      <c r="R664" s="160"/>
      <c r="S664" s="160"/>
      <c r="T664" s="160"/>
      <c r="U664" s="160"/>
      <c r="V664" s="160"/>
      <c r="X664" s="160"/>
      <c r="Y664" s="160"/>
      <c r="AA664" s="160"/>
      <c r="AB664" s="160"/>
      <c r="AC664" s="160"/>
      <c r="AD664" s="190"/>
    </row>
    <row r="665" spans="14:30" x14ac:dyDescent="0.2">
      <c r="N665" s="170"/>
      <c r="P665" s="189"/>
      <c r="Q665" s="160"/>
      <c r="R665" s="160"/>
      <c r="S665" s="160"/>
      <c r="T665" s="160"/>
      <c r="U665" s="160"/>
      <c r="V665" s="160"/>
      <c r="X665" s="160"/>
      <c r="Y665" s="160"/>
      <c r="AA665" s="160"/>
      <c r="AB665" s="160"/>
      <c r="AC665" s="160"/>
      <c r="AD665" s="190"/>
    </row>
    <row r="666" spans="14:30" x14ac:dyDescent="0.2">
      <c r="N666" s="170"/>
      <c r="P666" s="189"/>
      <c r="Q666" s="160"/>
      <c r="R666" s="160"/>
      <c r="S666" s="160"/>
      <c r="T666" s="160"/>
      <c r="U666" s="160"/>
      <c r="V666" s="160"/>
      <c r="X666" s="160"/>
      <c r="Y666" s="160"/>
      <c r="AA666" s="160"/>
      <c r="AB666" s="160"/>
      <c r="AC666" s="160"/>
      <c r="AD666" s="190"/>
    </row>
    <row r="667" spans="14:30" x14ac:dyDescent="0.2">
      <c r="N667" s="170"/>
      <c r="P667" s="189"/>
      <c r="Q667" s="160"/>
      <c r="R667" s="160"/>
      <c r="S667" s="160"/>
      <c r="T667" s="160"/>
      <c r="U667" s="160"/>
      <c r="V667" s="160"/>
      <c r="X667" s="160"/>
      <c r="Y667" s="160"/>
      <c r="AA667" s="160"/>
      <c r="AB667" s="160"/>
      <c r="AC667" s="160"/>
      <c r="AD667" s="190"/>
    </row>
    <row r="668" spans="14:30" x14ac:dyDescent="0.2">
      <c r="N668" s="170"/>
      <c r="P668" s="189"/>
      <c r="Q668" s="160"/>
      <c r="R668" s="160"/>
      <c r="S668" s="160"/>
      <c r="T668" s="160"/>
      <c r="U668" s="160"/>
      <c r="V668" s="160"/>
      <c r="X668" s="160"/>
      <c r="Y668" s="160"/>
      <c r="AA668" s="160"/>
      <c r="AB668" s="160"/>
      <c r="AC668" s="160"/>
      <c r="AD668" s="190"/>
    </row>
    <row r="669" spans="14:30" x14ac:dyDescent="0.2">
      <c r="N669" s="170"/>
      <c r="P669" s="189"/>
      <c r="Q669" s="160"/>
      <c r="R669" s="160"/>
      <c r="S669" s="160"/>
      <c r="T669" s="160"/>
      <c r="U669" s="160"/>
      <c r="V669" s="160"/>
      <c r="X669" s="160"/>
      <c r="Y669" s="160"/>
      <c r="AA669" s="160"/>
      <c r="AB669" s="160"/>
      <c r="AC669" s="160"/>
      <c r="AD669" s="190"/>
    </row>
    <row r="670" spans="14:30" x14ac:dyDescent="0.2">
      <c r="N670" s="170"/>
      <c r="P670" s="189"/>
      <c r="Q670" s="160"/>
      <c r="R670" s="160"/>
      <c r="S670" s="160"/>
      <c r="T670" s="160"/>
      <c r="U670" s="160"/>
      <c r="V670" s="160"/>
      <c r="X670" s="160"/>
      <c r="Y670" s="160"/>
      <c r="AA670" s="160"/>
      <c r="AB670" s="160"/>
      <c r="AC670" s="160"/>
      <c r="AD670" s="190"/>
    </row>
    <row r="671" spans="14:30" x14ac:dyDescent="0.2">
      <c r="N671" s="170"/>
      <c r="P671" s="189"/>
      <c r="Q671" s="160"/>
      <c r="R671" s="160"/>
      <c r="S671" s="160"/>
      <c r="T671" s="160"/>
      <c r="U671" s="160"/>
      <c r="V671" s="160"/>
      <c r="X671" s="160"/>
      <c r="Y671" s="160"/>
      <c r="AA671" s="160"/>
      <c r="AB671" s="160"/>
      <c r="AC671" s="160"/>
      <c r="AD671" s="190"/>
    </row>
    <row r="672" spans="14:30" x14ac:dyDescent="0.2">
      <c r="N672" s="170"/>
      <c r="P672" s="189"/>
      <c r="Q672" s="160"/>
      <c r="R672" s="160"/>
      <c r="S672" s="160"/>
      <c r="T672" s="160"/>
      <c r="U672" s="160"/>
      <c r="V672" s="160"/>
      <c r="X672" s="160"/>
      <c r="Y672" s="160"/>
      <c r="AA672" s="160"/>
      <c r="AB672" s="160"/>
      <c r="AC672" s="160"/>
      <c r="AD672" s="190"/>
    </row>
    <row r="673" spans="14:30" x14ac:dyDescent="0.2">
      <c r="N673" s="170"/>
      <c r="P673" s="189"/>
      <c r="Q673" s="160"/>
      <c r="R673" s="160"/>
      <c r="S673" s="160"/>
      <c r="T673" s="160"/>
      <c r="U673" s="160"/>
      <c r="V673" s="160"/>
      <c r="X673" s="160"/>
      <c r="Y673" s="160"/>
      <c r="AA673" s="160"/>
      <c r="AB673" s="160"/>
      <c r="AC673" s="160"/>
      <c r="AD673" s="190"/>
    </row>
    <row r="674" spans="14:30" x14ac:dyDescent="0.2">
      <c r="N674" s="170"/>
      <c r="P674" s="189"/>
      <c r="Q674" s="160"/>
      <c r="R674" s="160"/>
      <c r="S674" s="160"/>
      <c r="T674" s="160"/>
      <c r="U674" s="160"/>
      <c r="V674" s="160"/>
      <c r="X674" s="160"/>
      <c r="Y674" s="160"/>
      <c r="AA674" s="160"/>
      <c r="AB674" s="160"/>
      <c r="AC674" s="160"/>
      <c r="AD674" s="190"/>
    </row>
    <row r="675" spans="14:30" x14ac:dyDescent="0.2">
      <c r="N675" s="170"/>
      <c r="P675" s="189"/>
      <c r="Q675" s="160"/>
      <c r="R675" s="160"/>
      <c r="S675" s="160"/>
      <c r="T675" s="160"/>
      <c r="U675" s="160"/>
      <c r="V675" s="160"/>
      <c r="X675" s="160"/>
      <c r="Y675" s="160"/>
      <c r="AA675" s="160"/>
      <c r="AB675" s="160"/>
      <c r="AC675" s="160"/>
      <c r="AD675" s="190"/>
    </row>
    <row r="676" spans="14:30" x14ac:dyDescent="0.2">
      <c r="N676" s="170"/>
      <c r="P676" s="189"/>
      <c r="Q676" s="160"/>
      <c r="R676" s="160"/>
      <c r="S676" s="160"/>
      <c r="T676" s="160"/>
      <c r="U676" s="160"/>
      <c r="V676" s="160"/>
      <c r="X676" s="160"/>
      <c r="Y676" s="160"/>
      <c r="AA676" s="160"/>
      <c r="AB676" s="160"/>
      <c r="AC676" s="160"/>
      <c r="AD676" s="190"/>
    </row>
    <row r="677" spans="14:30" x14ac:dyDescent="0.2">
      <c r="N677" s="170"/>
      <c r="P677" s="189"/>
      <c r="Q677" s="160"/>
      <c r="R677" s="160"/>
      <c r="S677" s="160"/>
      <c r="T677" s="160"/>
      <c r="U677" s="160"/>
      <c r="V677" s="160"/>
      <c r="X677" s="160"/>
      <c r="Y677" s="160"/>
      <c r="AA677" s="160"/>
      <c r="AB677" s="160"/>
      <c r="AC677" s="160"/>
      <c r="AD677" s="190"/>
    </row>
    <row r="678" spans="14:30" x14ac:dyDescent="0.2">
      <c r="N678" s="170"/>
      <c r="P678" s="189"/>
      <c r="Q678" s="160"/>
      <c r="R678" s="160"/>
      <c r="S678" s="160"/>
      <c r="T678" s="160"/>
      <c r="U678" s="160"/>
      <c r="V678" s="160"/>
      <c r="X678" s="160"/>
      <c r="Y678" s="160"/>
      <c r="AA678" s="160"/>
      <c r="AB678" s="160"/>
      <c r="AC678" s="160"/>
      <c r="AD678" s="190"/>
    </row>
    <row r="679" spans="14:30" x14ac:dyDescent="0.2">
      <c r="N679" s="170"/>
      <c r="P679" s="189"/>
      <c r="Q679" s="160"/>
      <c r="R679" s="160"/>
      <c r="S679" s="160"/>
      <c r="T679" s="160"/>
      <c r="U679" s="160"/>
      <c r="V679" s="160"/>
      <c r="X679" s="160"/>
      <c r="Y679" s="160"/>
      <c r="AA679" s="160"/>
      <c r="AB679" s="160"/>
      <c r="AC679" s="160"/>
      <c r="AD679" s="190"/>
    </row>
    <row r="680" spans="14:30" x14ac:dyDescent="0.2">
      <c r="N680" s="170"/>
      <c r="P680" s="189"/>
      <c r="Q680" s="160"/>
      <c r="R680" s="160"/>
      <c r="S680" s="160"/>
      <c r="T680" s="160"/>
      <c r="U680" s="160"/>
      <c r="V680" s="160"/>
      <c r="X680" s="160"/>
      <c r="Y680" s="160"/>
      <c r="AA680" s="160"/>
      <c r="AB680" s="160"/>
      <c r="AC680" s="160"/>
      <c r="AD680" s="190"/>
    </row>
    <row r="681" spans="14:30" x14ac:dyDescent="0.2">
      <c r="N681" s="170"/>
      <c r="P681" s="189"/>
      <c r="Q681" s="160"/>
      <c r="R681" s="160"/>
      <c r="S681" s="160"/>
      <c r="T681" s="160"/>
      <c r="U681" s="160"/>
      <c r="V681" s="160"/>
      <c r="X681" s="160"/>
      <c r="Y681" s="160"/>
      <c r="AA681" s="160"/>
      <c r="AB681" s="160"/>
      <c r="AC681" s="160"/>
      <c r="AD681" s="190"/>
    </row>
    <row r="682" spans="14:30" x14ac:dyDescent="0.2">
      <c r="N682" s="170"/>
      <c r="P682" s="189"/>
      <c r="Q682" s="160"/>
      <c r="R682" s="160"/>
      <c r="S682" s="160"/>
      <c r="T682" s="160"/>
      <c r="U682" s="160"/>
      <c r="V682" s="160"/>
      <c r="X682" s="160"/>
      <c r="Y682" s="160"/>
      <c r="AA682" s="160"/>
      <c r="AB682" s="160"/>
      <c r="AC682" s="160"/>
      <c r="AD682" s="190"/>
    </row>
    <row r="683" spans="14:30" x14ac:dyDescent="0.2">
      <c r="N683" s="170"/>
      <c r="P683" s="189"/>
      <c r="Q683" s="160"/>
      <c r="R683" s="160"/>
      <c r="S683" s="160"/>
      <c r="T683" s="160"/>
      <c r="U683" s="160"/>
      <c r="V683" s="160"/>
      <c r="X683" s="160"/>
      <c r="Y683" s="160"/>
      <c r="AA683" s="160"/>
      <c r="AB683" s="160"/>
      <c r="AC683" s="160"/>
      <c r="AD683" s="190"/>
    </row>
    <row r="684" spans="14:30" x14ac:dyDescent="0.2">
      <c r="N684" s="170"/>
      <c r="P684" s="189"/>
      <c r="Q684" s="160"/>
      <c r="R684" s="160"/>
      <c r="S684" s="160"/>
      <c r="T684" s="160"/>
      <c r="U684" s="160"/>
      <c r="V684" s="160"/>
      <c r="X684" s="160"/>
      <c r="Y684" s="160"/>
      <c r="AA684" s="160"/>
      <c r="AB684" s="160"/>
      <c r="AC684" s="160"/>
      <c r="AD684" s="190"/>
    </row>
    <row r="685" spans="14:30" x14ac:dyDescent="0.2">
      <c r="N685" s="170"/>
      <c r="P685" s="189"/>
      <c r="Q685" s="160"/>
      <c r="R685" s="160"/>
      <c r="S685" s="160"/>
      <c r="T685" s="160"/>
      <c r="U685" s="160"/>
      <c r="V685" s="160"/>
      <c r="X685" s="160"/>
      <c r="Y685" s="160"/>
      <c r="AA685" s="160"/>
      <c r="AB685" s="160"/>
      <c r="AC685" s="160"/>
      <c r="AD685" s="190"/>
    </row>
    <row r="686" spans="14:30" x14ac:dyDescent="0.2">
      <c r="N686" s="170"/>
      <c r="P686" s="189"/>
      <c r="Q686" s="160"/>
      <c r="R686" s="160"/>
      <c r="S686" s="160"/>
      <c r="T686" s="160"/>
      <c r="U686" s="160"/>
      <c r="V686" s="160"/>
      <c r="X686" s="160"/>
      <c r="Y686" s="160"/>
      <c r="AA686" s="160"/>
      <c r="AB686" s="160"/>
      <c r="AC686" s="160"/>
      <c r="AD686" s="190"/>
    </row>
    <row r="687" spans="14:30" x14ac:dyDescent="0.2">
      <c r="N687" s="170"/>
      <c r="P687" s="189"/>
      <c r="Q687" s="160"/>
      <c r="R687" s="160"/>
      <c r="S687" s="160"/>
      <c r="T687" s="160"/>
      <c r="U687" s="160"/>
      <c r="V687" s="160"/>
      <c r="X687" s="160"/>
      <c r="Y687" s="160"/>
      <c r="AA687" s="160"/>
      <c r="AB687" s="160"/>
      <c r="AC687" s="160"/>
      <c r="AD687" s="190"/>
    </row>
    <row r="688" spans="14:30" x14ac:dyDescent="0.2">
      <c r="N688" s="170"/>
      <c r="P688" s="189"/>
      <c r="Q688" s="160"/>
      <c r="R688" s="160"/>
      <c r="S688" s="160"/>
      <c r="T688" s="160"/>
      <c r="U688" s="160"/>
      <c r="V688" s="160"/>
      <c r="X688" s="160"/>
      <c r="Y688" s="160"/>
      <c r="AA688" s="160"/>
      <c r="AB688" s="160"/>
      <c r="AC688" s="160"/>
      <c r="AD688" s="190"/>
    </row>
    <row r="689" spans="14:30" x14ac:dyDescent="0.2">
      <c r="N689" s="170"/>
      <c r="P689" s="189"/>
      <c r="Q689" s="160"/>
      <c r="R689" s="160"/>
      <c r="S689" s="160"/>
      <c r="T689" s="160"/>
      <c r="U689" s="160"/>
      <c r="V689" s="160"/>
      <c r="X689" s="160"/>
      <c r="Y689" s="160"/>
      <c r="AA689" s="160"/>
      <c r="AB689" s="160"/>
      <c r="AC689" s="160"/>
      <c r="AD689" s="190"/>
    </row>
    <row r="690" spans="14:30" x14ac:dyDescent="0.2">
      <c r="N690" s="170"/>
      <c r="P690" s="189"/>
      <c r="Q690" s="160"/>
      <c r="R690" s="160"/>
      <c r="S690" s="160"/>
      <c r="T690" s="160"/>
      <c r="U690" s="160"/>
      <c r="V690" s="160"/>
      <c r="X690" s="160"/>
      <c r="Y690" s="160"/>
      <c r="AA690" s="160"/>
      <c r="AB690" s="160"/>
      <c r="AC690" s="160"/>
      <c r="AD690" s="190"/>
    </row>
    <row r="691" spans="14:30" x14ac:dyDescent="0.2">
      <c r="N691" s="170"/>
      <c r="P691" s="189"/>
      <c r="Q691" s="160"/>
      <c r="R691" s="160"/>
      <c r="S691" s="160"/>
      <c r="T691" s="160"/>
      <c r="U691" s="160"/>
      <c r="V691" s="160"/>
      <c r="X691" s="160"/>
      <c r="Y691" s="160"/>
      <c r="AA691" s="160"/>
      <c r="AB691" s="160"/>
      <c r="AC691" s="160"/>
      <c r="AD691" s="190"/>
    </row>
    <row r="692" spans="14:30" x14ac:dyDescent="0.2">
      <c r="N692" s="170"/>
      <c r="P692" s="189"/>
      <c r="Q692" s="160"/>
      <c r="R692" s="160"/>
      <c r="S692" s="160"/>
      <c r="T692" s="160"/>
      <c r="U692" s="160"/>
      <c r="V692" s="160"/>
      <c r="X692" s="160"/>
      <c r="Y692" s="160"/>
      <c r="AA692" s="160"/>
      <c r="AB692" s="160"/>
      <c r="AC692" s="160"/>
      <c r="AD692" s="190"/>
    </row>
    <row r="693" spans="14:30" x14ac:dyDescent="0.2">
      <c r="N693" s="170"/>
      <c r="P693" s="189"/>
      <c r="Q693" s="160"/>
      <c r="R693" s="160"/>
      <c r="S693" s="160"/>
      <c r="T693" s="160"/>
      <c r="U693" s="160"/>
      <c r="V693" s="160"/>
      <c r="X693" s="160"/>
      <c r="Y693" s="160"/>
      <c r="AA693" s="160"/>
      <c r="AB693" s="160"/>
      <c r="AC693" s="160"/>
      <c r="AD693" s="190"/>
    </row>
    <row r="694" spans="14:30" x14ac:dyDescent="0.2">
      <c r="N694" s="170"/>
      <c r="P694" s="189"/>
      <c r="Q694" s="160"/>
      <c r="R694" s="160"/>
      <c r="S694" s="160"/>
      <c r="T694" s="160"/>
      <c r="U694" s="160"/>
      <c r="V694" s="160"/>
      <c r="X694" s="160"/>
      <c r="Y694" s="160"/>
      <c r="AA694" s="160"/>
      <c r="AB694" s="160"/>
      <c r="AC694" s="160"/>
      <c r="AD694" s="190"/>
    </row>
    <row r="695" spans="14:30" x14ac:dyDescent="0.2">
      <c r="N695" s="170"/>
      <c r="P695" s="189"/>
      <c r="Q695" s="160"/>
      <c r="R695" s="160"/>
      <c r="S695" s="160"/>
      <c r="T695" s="160"/>
      <c r="U695" s="160"/>
      <c r="V695" s="160"/>
      <c r="X695" s="160"/>
      <c r="Y695" s="160"/>
      <c r="AA695" s="160"/>
      <c r="AB695" s="160"/>
      <c r="AC695" s="160"/>
      <c r="AD695" s="190"/>
    </row>
    <row r="696" spans="14:30" x14ac:dyDescent="0.2">
      <c r="N696" s="170"/>
      <c r="P696" s="189"/>
      <c r="Q696" s="160"/>
      <c r="R696" s="160"/>
      <c r="S696" s="160"/>
      <c r="T696" s="160"/>
      <c r="U696" s="160"/>
      <c r="V696" s="160"/>
      <c r="X696" s="160"/>
      <c r="Y696" s="160"/>
      <c r="AA696" s="160"/>
      <c r="AB696" s="160"/>
      <c r="AC696" s="160"/>
      <c r="AD696" s="190"/>
    </row>
    <row r="697" spans="14:30" x14ac:dyDescent="0.2">
      <c r="N697" s="170"/>
      <c r="P697" s="189"/>
      <c r="Q697" s="160"/>
      <c r="R697" s="160"/>
      <c r="S697" s="160"/>
      <c r="T697" s="160"/>
      <c r="U697" s="160"/>
      <c r="V697" s="160"/>
      <c r="X697" s="160"/>
      <c r="Y697" s="160"/>
      <c r="AA697" s="160"/>
      <c r="AB697" s="160"/>
      <c r="AC697" s="160"/>
      <c r="AD697" s="190"/>
    </row>
    <row r="698" spans="14:30" x14ac:dyDescent="0.2">
      <c r="N698" s="170"/>
      <c r="P698" s="189"/>
      <c r="Q698" s="160"/>
      <c r="R698" s="160"/>
      <c r="S698" s="160"/>
      <c r="T698" s="160"/>
      <c r="U698" s="160"/>
      <c r="V698" s="160"/>
      <c r="X698" s="160"/>
      <c r="Y698" s="160"/>
      <c r="AA698" s="160"/>
      <c r="AB698" s="160"/>
      <c r="AC698" s="160"/>
      <c r="AD698" s="190"/>
    </row>
    <row r="699" spans="14:30" x14ac:dyDescent="0.2">
      <c r="N699" s="170"/>
      <c r="P699" s="189"/>
      <c r="Q699" s="160"/>
      <c r="R699" s="160"/>
      <c r="S699" s="160"/>
      <c r="T699" s="160"/>
      <c r="U699" s="160"/>
      <c r="V699" s="160"/>
      <c r="X699" s="160"/>
      <c r="Y699" s="160"/>
      <c r="AA699" s="160"/>
      <c r="AB699" s="160"/>
      <c r="AC699" s="160"/>
      <c r="AD699" s="190"/>
    </row>
    <row r="700" spans="14:30" x14ac:dyDescent="0.2">
      <c r="N700" s="170"/>
      <c r="P700" s="189"/>
      <c r="Q700" s="160"/>
      <c r="R700" s="160"/>
      <c r="S700" s="160"/>
      <c r="T700" s="160"/>
      <c r="U700" s="160"/>
      <c r="V700" s="160"/>
      <c r="X700" s="160"/>
      <c r="Y700" s="160"/>
      <c r="AA700" s="160"/>
      <c r="AB700" s="160"/>
      <c r="AC700" s="160"/>
      <c r="AD700" s="190"/>
    </row>
    <row r="701" spans="14:30" x14ac:dyDescent="0.2">
      <c r="N701" s="170"/>
      <c r="P701" s="189"/>
      <c r="Q701" s="160"/>
      <c r="R701" s="160"/>
      <c r="S701" s="160"/>
      <c r="T701" s="160"/>
      <c r="U701" s="160"/>
      <c r="V701" s="160"/>
      <c r="X701" s="160"/>
      <c r="Y701" s="160"/>
      <c r="AA701" s="160"/>
      <c r="AB701" s="160"/>
      <c r="AC701" s="160"/>
      <c r="AD701" s="190"/>
    </row>
    <row r="702" spans="14:30" x14ac:dyDescent="0.2">
      <c r="N702" s="170"/>
      <c r="P702" s="189"/>
      <c r="Q702" s="160"/>
      <c r="R702" s="160"/>
      <c r="S702" s="160"/>
      <c r="T702" s="160"/>
      <c r="U702" s="160"/>
      <c r="V702" s="160"/>
      <c r="X702" s="160"/>
      <c r="Y702" s="160"/>
      <c r="AA702" s="160"/>
      <c r="AB702" s="160"/>
      <c r="AC702" s="160"/>
      <c r="AD702" s="190"/>
    </row>
    <row r="703" spans="14:30" x14ac:dyDescent="0.2">
      <c r="N703" s="170"/>
      <c r="P703" s="189"/>
      <c r="Q703" s="160"/>
      <c r="R703" s="160"/>
      <c r="S703" s="160"/>
      <c r="T703" s="160"/>
      <c r="U703" s="160"/>
      <c r="V703" s="160"/>
      <c r="X703" s="160"/>
      <c r="Y703" s="160"/>
      <c r="AA703" s="160"/>
      <c r="AB703" s="160"/>
      <c r="AC703" s="160"/>
      <c r="AD703" s="190"/>
    </row>
    <row r="704" spans="14:30" x14ac:dyDescent="0.2">
      <c r="N704" s="170"/>
      <c r="P704" s="189"/>
      <c r="Q704" s="160"/>
      <c r="R704" s="160"/>
      <c r="S704" s="160"/>
      <c r="T704" s="160"/>
      <c r="U704" s="160"/>
      <c r="V704" s="160"/>
      <c r="X704" s="160"/>
      <c r="Y704" s="160"/>
      <c r="AA704" s="160"/>
      <c r="AB704" s="160"/>
      <c r="AC704" s="160"/>
      <c r="AD704" s="190"/>
    </row>
    <row r="705" spans="14:30" x14ac:dyDescent="0.2">
      <c r="N705" s="170"/>
      <c r="P705" s="189"/>
      <c r="Q705" s="160"/>
      <c r="R705" s="160"/>
      <c r="S705" s="160"/>
      <c r="T705" s="160"/>
      <c r="U705" s="160"/>
      <c r="V705" s="160"/>
      <c r="X705" s="160"/>
      <c r="Y705" s="160"/>
      <c r="AA705" s="160"/>
      <c r="AB705" s="160"/>
      <c r="AC705" s="160"/>
      <c r="AD705" s="190"/>
    </row>
    <row r="706" spans="14:30" x14ac:dyDescent="0.2">
      <c r="N706" s="170"/>
      <c r="P706" s="189"/>
      <c r="Q706" s="160"/>
      <c r="R706" s="160"/>
      <c r="S706" s="160"/>
      <c r="T706" s="160"/>
      <c r="U706" s="160"/>
      <c r="V706" s="160"/>
      <c r="X706" s="160"/>
      <c r="Y706" s="160"/>
      <c r="AA706" s="160"/>
      <c r="AB706" s="160"/>
      <c r="AC706" s="160"/>
      <c r="AD706" s="190"/>
    </row>
    <row r="707" spans="14:30" x14ac:dyDescent="0.2">
      <c r="N707" s="170"/>
      <c r="P707" s="189"/>
      <c r="Q707" s="160"/>
      <c r="R707" s="160"/>
      <c r="S707" s="160"/>
      <c r="T707" s="160"/>
      <c r="U707" s="160"/>
      <c r="V707" s="160"/>
      <c r="X707" s="160"/>
      <c r="Y707" s="160"/>
      <c r="AA707" s="160"/>
      <c r="AB707" s="160"/>
      <c r="AC707" s="160"/>
      <c r="AD707" s="190"/>
    </row>
    <row r="708" spans="14:30" x14ac:dyDescent="0.2">
      <c r="N708" s="170"/>
      <c r="P708" s="189"/>
      <c r="Q708" s="160"/>
      <c r="R708" s="160"/>
      <c r="S708" s="160"/>
      <c r="T708" s="160"/>
      <c r="U708" s="160"/>
      <c r="V708" s="160"/>
      <c r="X708" s="160"/>
      <c r="Y708" s="160"/>
      <c r="AA708" s="160"/>
      <c r="AB708" s="160"/>
      <c r="AC708" s="160"/>
      <c r="AD708" s="190"/>
    </row>
  </sheetData>
  <mergeCells count="29">
    <mergeCell ref="AP17:AR17"/>
    <mergeCell ref="AC17:AE17"/>
    <mergeCell ref="AS16:AU16"/>
    <mergeCell ref="AS17:AU17"/>
    <mergeCell ref="AG17:AI17"/>
    <mergeCell ref="AJ17:AL17"/>
    <mergeCell ref="AM17:AO17"/>
    <mergeCell ref="AF16:AR16"/>
    <mergeCell ref="AF4:AR4"/>
    <mergeCell ref="AS4:AU4"/>
    <mergeCell ref="Q5:S5"/>
    <mergeCell ref="T5:V5"/>
    <mergeCell ref="W5:Y5"/>
    <mergeCell ref="Z5:AB5"/>
    <mergeCell ref="AC5:AE5"/>
    <mergeCell ref="AG5:AI5"/>
    <mergeCell ref="AJ5:AL5"/>
    <mergeCell ref="AM5:AO5"/>
    <mergeCell ref="AP5:AR5"/>
    <mergeCell ref="AS5:AU5"/>
    <mergeCell ref="A1:M1"/>
    <mergeCell ref="E6:K6"/>
    <mergeCell ref="Q17:S17"/>
    <mergeCell ref="T17:V17"/>
    <mergeCell ref="W17:Y17"/>
    <mergeCell ref="P16:AE16"/>
    <mergeCell ref="Z17:AB17"/>
    <mergeCell ref="N1:X1"/>
    <mergeCell ref="P4:AE4"/>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53"/>
  <sheetViews>
    <sheetView zoomScale="70" zoomScaleNormal="70" workbookViewId="0">
      <selection activeCell="B51" sqref="B51"/>
    </sheetView>
  </sheetViews>
  <sheetFormatPr baseColWidth="10" defaultColWidth="8.83203125" defaultRowHeight="15" x14ac:dyDescent="0.2"/>
  <cols>
    <col min="1" max="1" width="26.6640625" customWidth="1"/>
    <col min="2" max="2" width="25.5" customWidth="1"/>
    <col min="3" max="3" width="10.1640625" customWidth="1"/>
  </cols>
  <sheetData>
    <row r="1" spans="1:9" ht="28" x14ac:dyDescent="0.3">
      <c r="A1" s="229" t="s">
        <v>80</v>
      </c>
      <c r="B1" s="229"/>
      <c r="C1" s="229"/>
      <c r="D1" s="229"/>
      <c r="E1" s="229"/>
      <c r="F1" s="229"/>
      <c r="G1" s="229"/>
      <c r="H1" s="229"/>
      <c r="I1" s="229"/>
    </row>
    <row r="2" spans="1:9" x14ac:dyDescent="0.2">
      <c r="A2" s="5"/>
      <c r="B2" s="5" t="s">
        <v>16</v>
      </c>
      <c r="C2" s="6"/>
      <c r="D2" s="4"/>
      <c r="E2" s="5"/>
      <c r="F2" s="5"/>
      <c r="G2" s="5"/>
      <c r="H2" s="5"/>
      <c r="I2" s="5"/>
    </row>
    <row r="3" spans="1:9" x14ac:dyDescent="0.2">
      <c r="A3" s="5"/>
      <c r="B3" s="5" t="s">
        <v>17</v>
      </c>
      <c r="C3" s="7"/>
      <c r="D3" s="4"/>
      <c r="E3" s="5"/>
      <c r="F3" s="5"/>
      <c r="G3" s="5"/>
      <c r="H3" s="5"/>
      <c r="I3" s="5"/>
    </row>
    <row r="4" spans="1:9" x14ac:dyDescent="0.2">
      <c r="A4" s="5"/>
      <c r="B4" s="5" t="s">
        <v>18</v>
      </c>
      <c r="C4" s="8"/>
      <c r="D4" s="4"/>
      <c r="E4" s="5"/>
      <c r="F4" s="5"/>
      <c r="G4" s="5"/>
      <c r="H4" s="5"/>
      <c r="I4" s="5"/>
    </row>
    <row r="5" spans="1:9" x14ac:dyDescent="0.2">
      <c r="A5" s="9" t="s">
        <v>19</v>
      </c>
      <c r="B5" s="9" t="s">
        <v>20</v>
      </c>
      <c r="C5" s="9" t="s">
        <v>21</v>
      </c>
      <c r="D5" s="4"/>
      <c r="E5" s="230" t="s">
        <v>22</v>
      </c>
      <c r="F5" s="230"/>
      <c r="G5" s="230"/>
      <c r="H5" s="230"/>
      <c r="I5" s="9"/>
    </row>
    <row r="6" spans="1:9" x14ac:dyDescent="0.2">
      <c r="A6" s="9"/>
      <c r="B6" s="9"/>
      <c r="C6" s="9"/>
      <c r="D6" s="4"/>
      <c r="E6" s="5"/>
      <c r="F6" s="5"/>
      <c r="G6" s="5"/>
      <c r="H6" s="5"/>
      <c r="I6" s="9"/>
    </row>
    <row r="7" spans="1:9" x14ac:dyDescent="0.2">
      <c r="A7" s="9" t="s">
        <v>58</v>
      </c>
      <c r="B7" s="9"/>
      <c r="C7" s="9"/>
      <c r="D7" s="4"/>
      <c r="E7" s="5"/>
      <c r="F7" s="5"/>
      <c r="G7" s="5"/>
      <c r="H7" s="5"/>
      <c r="I7" s="9"/>
    </row>
    <row r="8" spans="1:9" x14ac:dyDescent="0.2">
      <c r="A8" s="9"/>
      <c r="B8" s="9"/>
      <c r="C8" s="9"/>
      <c r="D8" s="4"/>
      <c r="E8" s="5"/>
      <c r="F8" s="5"/>
      <c r="G8" s="5"/>
      <c r="H8" s="5"/>
      <c r="I8" s="9"/>
    </row>
    <row r="9" spans="1:9" x14ac:dyDescent="0.2">
      <c r="A9" t="s">
        <v>47</v>
      </c>
      <c r="B9" s="12">
        <v>0.8</v>
      </c>
      <c r="D9" t="s">
        <v>50</v>
      </c>
    </row>
    <row r="10" spans="1:9" x14ac:dyDescent="0.2">
      <c r="A10" t="s">
        <v>51</v>
      </c>
      <c r="B10" s="13">
        <f>(1-B9)/(2.2*10^6)</f>
        <v>9.0909090909090888E-8</v>
      </c>
      <c r="C10" t="s">
        <v>54</v>
      </c>
      <c r="D10" t="s">
        <v>57</v>
      </c>
    </row>
    <row r="11" spans="1:9" x14ac:dyDescent="0.2">
      <c r="A11" t="s">
        <v>48</v>
      </c>
      <c r="B11" s="12">
        <v>0.85</v>
      </c>
      <c r="D11" t="s">
        <v>50</v>
      </c>
    </row>
    <row r="12" spans="1:9" x14ac:dyDescent="0.2">
      <c r="A12" t="s">
        <v>52</v>
      </c>
      <c r="B12" s="13">
        <f>(1-B11)/(2.2*10^6)</f>
        <v>6.8181818181818186E-8</v>
      </c>
      <c r="C12" t="s">
        <v>54</v>
      </c>
      <c r="D12" t="s">
        <v>56</v>
      </c>
    </row>
    <row r="13" spans="1:9" x14ac:dyDescent="0.2">
      <c r="A13" t="s">
        <v>49</v>
      </c>
      <c r="B13" s="12">
        <v>0.9</v>
      </c>
      <c r="D13" t="s">
        <v>50</v>
      </c>
    </row>
    <row r="14" spans="1:9" x14ac:dyDescent="0.2">
      <c r="A14" t="s">
        <v>53</v>
      </c>
      <c r="B14" s="13">
        <f>(1-B13)/(2.2*10^6)</f>
        <v>4.5454545454545444E-8</v>
      </c>
      <c r="C14" t="s">
        <v>54</v>
      </c>
      <c r="D14" t="s">
        <v>55</v>
      </c>
    </row>
    <row r="16" spans="1:9" x14ac:dyDescent="0.2">
      <c r="A16" t="s">
        <v>59</v>
      </c>
      <c r="B16" s="12">
        <v>0.9</v>
      </c>
      <c r="D16" t="s">
        <v>65</v>
      </c>
    </row>
    <row r="17" spans="1:4" x14ac:dyDescent="0.2">
      <c r="A17" t="s">
        <v>60</v>
      </c>
      <c r="B17" s="12">
        <v>0.93</v>
      </c>
      <c r="D17" t="s">
        <v>62</v>
      </c>
    </row>
    <row r="18" spans="1:4" x14ac:dyDescent="0.2">
      <c r="A18" t="s">
        <v>61</v>
      </c>
      <c r="B18" s="12">
        <v>0.96</v>
      </c>
      <c r="D18" t="s">
        <v>66</v>
      </c>
    </row>
    <row r="19" spans="1:4" x14ac:dyDescent="0.2">
      <c r="B19">
        <f>IF(((1-D_limit_nom)/Constants!B12)&lt;Fsw,2,1)</f>
        <v>1</v>
      </c>
      <c r="D19" t="s">
        <v>72</v>
      </c>
    </row>
    <row r="20" spans="1:4" x14ac:dyDescent="0.2">
      <c r="A20" t="s">
        <v>78</v>
      </c>
      <c r="B20" s="1">
        <f>CHOOSE(B19,D_limit_nom,(1-Constants!B12*Fsw))</f>
        <v>0.93</v>
      </c>
      <c r="D20" t="s">
        <v>79</v>
      </c>
    </row>
    <row r="22" spans="1:4" x14ac:dyDescent="0.2">
      <c r="A22" t="s">
        <v>88</v>
      </c>
      <c r="B22" s="12">
        <f>50*10^-9</f>
        <v>5.0000000000000004E-8</v>
      </c>
      <c r="C22" t="s">
        <v>54</v>
      </c>
      <c r="D22" t="s">
        <v>89</v>
      </c>
    </row>
    <row r="23" spans="1:4" x14ac:dyDescent="0.2">
      <c r="B23" s="12"/>
    </row>
    <row r="24" spans="1:4" ht="16" x14ac:dyDescent="0.2">
      <c r="A24" s="29" t="s">
        <v>171</v>
      </c>
    </row>
    <row r="25" spans="1:4" x14ac:dyDescent="0.2">
      <c r="A25" t="s">
        <v>144</v>
      </c>
      <c r="B25" s="12">
        <f>30*10^-6</f>
        <v>2.9999999999999997E-5</v>
      </c>
      <c r="C25" t="s">
        <v>11</v>
      </c>
      <c r="D25" t="s">
        <v>145</v>
      </c>
    </row>
    <row r="26" spans="1:4" x14ac:dyDescent="0.2">
      <c r="A26" t="s">
        <v>146</v>
      </c>
      <c r="B26" s="12">
        <v>1333</v>
      </c>
      <c r="C26" s="2" t="s">
        <v>36</v>
      </c>
      <c r="D26" t="s">
        <v>147</v>
      </c>
    </row>
    <row r="27" spans="1:4" x14ac:dyDescent="0.2">
      <c r="A27" t="s">
        <v>150</v>
      </c>
      <c r="B27" s="12">
        <f>0.1</f>
        <v>0.1</v>
      </c>
      <c r="C27" s="2" t="s">
        <v>10</v>
      </c>
      <c r="D27" t="s">
        <v>151</v>
      </c>
    </row>
    <row r="28" spans="1:4" x14ac:dyDescent="0.2">
      <c r="A28" t="s">
        <v>520</v>
      </c>
      <c r="B28" s="12">
        <v>2000</v>
      </c>
      <c r="C28" s="2" t="s">
        <v>36</v>
      </c>
      <c r="D28" t="s">
        <v>521</v>
      </c>
    </row>
    <row r="29" spans="1:4" x14ac:dyDescent="0.2">
      <c r="A29" t="s">
        <v>236</v>
      </c>
      <c r="B29" s="12">
        <f>0.145</f>
        <v>0.14499999999999999</v>
      </c>
      <c r="C29" t="s">
        <v>180</v>
      </c>
      <c r="D29" t="s">
        <v>238</v>
      </c>
    </row>
    <row r="30" spans="1:4" x14ac:dyDescent="0.2">
      <c r="A30" t="s">
        <v>240</v>
      </c>
      <c r="B30" s="12">
        <v>1</v>
      </c>
      <c r="C30" t="s">
        <v>180</v>
      </c>
      <c r="D30" t="s">
        <v>241</v>
      </c>
    </row>
    <row r="32" spans="1:4" x14ac:dyDescent="0.2">
      <c r="A32" s="33" t="s">
        <v>261</v>
      </c>
    </row>
    <row r="33" spans="1:4" x14ac:dyDescent="0.2">
      <c r="A33" t="s">
        <v>282</v>
      </c>
      <c r="B33">
        <v>1</v>
      </c>
      <c r="C33" t="s">
        <v>10</v>
      </c>
      <c r="D33" t="s">
        <v>283</v>
      </c>
    </row>
    <row r="34" spans="1:4" x14ac:dyDescent="0.2">
      <c r="A34" t="s">
        <v>265</v>
      </c>
      <c r="B34">
        <f>(2*10^-3)/1</f>
        <v>2E-3</v>
      </c>
      <c r="C34" t="s">
        <v>267</v>
      </c>
      <c r="D34" t="s">
        <v>266</v>
      </c>
    </row>
    <row r="36" spans="1:4" x14ac:dyDescent="0.2">
      <c r="A36" s="33" t="s">
        <v>334</v>
      </c>
    </row>
    <row r="37" spans="1:4" x14ac:dyDescent="0.2">
      <c r="A37" t="s">
        <v>335</v>
      </c>
      <c r="B37">
        <f>10*10^-6</f>
        <v>9.9999999999999991E-6</v>
      </c>
      <c r="C37" t="s">
        <v>11</v>
      </c>
      <c r="D37" t="s">
        <v>336</v>
      </c>
    </row>
    <row r="39" spans="1:4" x14ac:dyDescent="0.2">
      <c r="A39" s="33" t="s">
        <v>355</v>
      </c>
    </row>
    <row r="40" spans="1:4" x14ac:dyDescent="0.2">
      <c r="A40" t="s">
        <v>356</v>
      </c>
      <c r="B40">
        <v>1.5</v>
      </c>
      <c r="C40" t="s">
        <v>10</v>
      </c>
      <c r="D40" t="s">
        <v>359</v>
      </c>
    </row>
    <row r="41" spans="1:4" x14ac:dyDescent="0.2">
      <c r="A41" t="s">
        <v>357</v>
      </c>
      <c r="B41">
        <v>1.45</v>
      </c>
      <c r="C41" t="s">
        <v>10</v>
      </c>
      <c r="D41" t="s">
        <v>358</v>
      </c>
    </row>
    <row r="42" spans="1:4" x14ac:dyDescent="0.2">
      <c r="A42" t="s">
        <v>362</v>
      </c>
      <c r="B42">
        <f>5*10^-6</f>
        <v>4.9999999999999996E-6</v>
      </c>
      <c r="C42" t="s">
        <v>11</v>
      </c>
      <c r="D42" t="s">
        <v>363</v>
      </c>
    </row>
    <row r="44" spans="1:4" x14ac:dyDescent="0.2">
      <c r="A44" s="33" t="s">
        <v>420</v>
      </c>
    </row>
    <row r="45" spans="1:4" x14ac:dyDescent="0.2">
      <c r="A45" t="s">
        <v>421</v>
      </c>
      <c r="B45">
        <v>6.75</v>
      </c>
      <c r="C45" t="s">
        <v>10</v>
      </c>
      <c r="D45" t="s">
        <v>422</v>
      </c>
    </row>
    <row r="47" spans="1:4" x14ac:dyDescent="0.2">
      <c r="A47" s="33" t="s">
        <v>439</v>
      </c>
    </row>
    <row r="48" spans="1:4" x14ac:dyDescent="0.2">
      <c r="A48" t="s">
        <v>440</v>
      </c>
      <c r="B48">
        <f>450*(10^-6)</f>
        <v>4.4999999999999999E-4</v>
      </c>
      <c r="C48" t="s">
        <v>11</v>
      </c>
      <c r="D48" t="s">
        <v>441</v>
      </c>
    </row>
    <row r="50" spans="1:4" x14ac:dyDescent="0.2">
      <c r="A50" t="s">
        <v>481</v>
      </c>
    </row>
    <row r="51" spans="1:4" x14ac:dyDescent="0.2">
      <c r="A51" t="s">
        <v>482</v>
      </c>
      <c r="B51">
        <v>1.5</v>
      </c>
      <c r="C51" t="s">
        <v>10</v>
      </c>
      <c r="D51" t="s">
        <v>483</v>
      </c>
    </row>
    <row r="52" spans="1:4" x14ac:dyDescent="0.2">
      <c r="A52" t="s">
        <v>485</v>
      </c>
      <c r="B52">
        <v>45</v>
      </c>
      <c r="C52" t="s">
        <v>10</v>
      </c>
      <c r="D52" t="s">
        <v>484</v>
      </c>
    </row>
    <row r="53" spans="1:4" x14ac:dyDescent="0.2">
      <c r="A53" t="s">
        <v>580</v>
      </c>
      <c r="B53">
        <v>60</v>
      </c>
      <c r="C53" t="s">
        <v>10</v>
      </c>
      <c r="D53" t="s">
        <v>581</v>
      </c>
    </row>
  </sheetData>
  <mergeCells count="2">
    <mergeCell ref="A1:I1"/>
    <mergeCell ref="E5:H5"/>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2:B3"/>
  <sheetViews>
    <sheetView topLeftCell="B1" zoomScale="70" zoomScaleNormal="70" workbookViewId="0">
      <selection activeCell="E3" sqref="E3"/>
    </sheetView>
  </sheetViews>
  <sheetFormatPr baseColWidth="10" defaultColWidth="8.83203125" defaultRowHeight="15" x14ac:dyDescent="0.2"/>
  <cols>
    <col min="3" max="3" width="144.6640625" customWidth="1"/>
  </cols>
  <sheetData>
    <row r="2" spans="2:2" x14ac:dyDescent="0.2">
      <c r="B2" t="str">
        <f>"Eff_vs_IOUT"</f>
        <v>Eff_vs_IOUT</v>
      </c>
    </row>
    <row r="3" spans="2:2" ht="380" customHeight="1"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4"/>
  <sheetViews>
    <sheetView workbookViewId="0">
      <selection activeCell="A2" sqref="A2"/>
    </sheetView>
  </sheetViews>
  <sheetFormatPr baseColWidth="10" defaultColWidth="8.83203125" defaultRowHeight="15" x14ac:dyDescent="0.2"/>
  <cols>
    <col min="2" max="2" width="76.1640625" customWidth="1"/>
  </cols>
  <sheetData>
    <row r="1" spans="1:1" x14ac:dyDescent="0.2">
      <c r="A1" t="str">
        <f>IF('Design Converter'!H7&gt;=3,"SCH_1","SCH_2")</f>
        <v>SCH_1</v>
      </c>
    </row>
    <row r="2" spans="1:1" ht="267.5" customHeight="1" x14ac:dyDescent="0.2"/>
    <row r="4" spans="1:1" ht="267.5" customHeight="1" x14ac:dyDescent="0.2"/>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2:D11"/>
  <sheetViews>
    <sheetView workbookViewId="0">
      <selection activeCell="D20" sqref="D20"/>
    </sheetView>
  </sheetViews>
  <sheetFormatPr baseColWidth="10" defaultColWidth="8.83203125" defaultRowHeight="15" x14ac:dyDescent="0.2"/>
  <sheetData>
    <row r="2" spans="1:4" x14ac:dyDescent="0.2">
      <c r="A2" t="s">
        <v>458</v>
      </c>
    </row>
    <row r="3" spans="1:4" x14ac:dyDescent="0.2">
      <c r="B3" s="47">
        <f>VIN_min</f>
        <v>4.8</v>
      </c>
    </row>
    <row r="4" spans="1:4" x14ac:dyDescent="0.2">
      <c r="B4" s="221">
        <f>VIN_nom</f>
        <v>12</v>
      </c>
      <c r="D4">
        <v>2.5</v>
      </c>
    </row>
    <row r="5" spans="1:4" x14ac:dyDescent="0.2">
      <c r="B5" s="222">
        <f>VIN_max</f>
        <v>18</v>
      </c>
    </row>
    <row r="8" spans="1:4" x14ac:dyDescent="0.2">
      <c r="A8" t="s">
        <v>552</v>
      </c>
    </row>
    <row r="9" spans="1:4" x14ac:dyDescent="0.2">
      <c r="B9" s="47" t="s">
        <v>495</v>
      </c>
    </row>
    <row r="10" spans="1:4" x14ac:dyDescent="0.2">
      <c r="B10" s="221" t="s">
        <v>496</v>
      </c>
    </row>
    <row r="11" spans="1:4" x14ac:dyDescent="0.2">
      <c r="B11" s="222"/>
    </row>
  </sheetData>
  <dataValidations count="3">
    <dataValidation type="list" allowBlank="1" showInputMessage="1" showErrorMessage="1" sqref="D4" xr:uid="{00000000-0002-0000-0700-000000000000}">
      <formula1>$B$3:$B$5</formula1>
    </dataValidation>
    <dataValidation type="decimal" allowBlank="1" showInputMessage="1" showErrorMessage="1" sqref="F4" xr:uid="{00000000-0002-0000-0700-000001000000}">
      <formula1>B3</formula1>
      <formula2>B5</formula2>
    </dataValidation>
    <dataValidation type="list" showDropDown="1" showInputMessage="1" showErrorMessage="1" sqref="I15" xr:uid="{00000000-0002-0000-0700-000002000000}">
      <formula1>$B$3:$B$5</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DCCB-1154-4E1B-AC0A-91A88D9D073F}">
  <sheetPr codeName="Sheet9"/>
  <dimension ref="A1:AM47"/>
  <sheetViews>
    <sheetView showGridLines="0" showRowColHeaders="0" zoomScaleNormal="100" workbookViewId="0">
      <selection activeCell="B5" sqref="B5"/>
    </sheetView>
  </sheetViews>
  <sheetFormatPr baseColWidth="10" defaultColWidth="9.1640625" defaultRowHeight="14" x14ac:dyDescent="0.15"/>
  <cols>
    <col min="1" max="1" width="25.6640625" style="150" bestFit="1" customWidth="1"/>
    <col min="2" max="2" width="56.5" style="151" customWidth="1"/>
    <col min="3" max="11" width="9.1640625" style="144"/>
    <col min="12" max="12" width="20.5" style="144" customWidth="1"/>
    <col min="13" max="16384" width="9.1640625" style="144"/>
  </cols>
  <sheetData>
    <row r="1" spans="1:12" x14ac:dyDescent="0.15">
      <c r="A1" s="246"/>
      <c r="B1" s="246"/>
      <c r="C1" s="246"/>
      <c r="D1" s="246"/>
      <c r="E1" s="246"/>
      <c r="F1" s="246"/>
      <c r="G1" s="246"/>
      <c r="H1" s="246"/>
      <c r="I1" s="246"/>
      <c r="J1" s="246"/>
      <c r="K1" s="246"/>
      <c r="L1" s="246"/>
    </row>
    <row r="2" spans="1:12" x14ac:dyDescent="0.15">
      <c r="A2" s="246"/>
      <c r="B2" s="246"/>
      <c r="C2" s="246"/>
      <c r="D2" s="246"/>
      <c r="E2" s="246"/>
      <c r="F2" s="246"/>
      <c r="G2" s="246"/>
      <c r="H2" s="246"/>
      <c r="I2" s="246"/>
      <c r="J2" s="246"/>
      <c r="K2" s="246"/>
      <c r="L2" s="246"/>
    </row>
    <row r="3" spans="1:12" x14ac:dyDescent="0.15">
      <c r="A3" s="246"/>
      <c r="B3" s="246"/>
      <c r="C3" s="246"/>
      <c r="D3" s="246"/>
      <c r="E3" s="246"/>
      <c r="F3" s="246"/>
      <c r="G3" s="246"/>
      <c r="H3" s="246"/>
      <c r="I3" s="246"/>
      <c r="J3" s="246"/>
      <c r="K3" s="246"/>
      <c r="L3" s="246"/>
    </row>
    <row r="4" spans="1:12" ht="12.75" customHeight="1" x14ac:dyDescent="0.15">
      <c r="A4" s="247"/>
      <c r="B4" s="247"/>
      <c r="C4" s="247"/>
      <c r="D4" s="247"/>
      <c r="E4" s="247"/>
      <c r="F4" s="247"/>
      <c r="G4" s="247"/>
      <c r="H4" s="247"/>
      <c r="I4" s="247"/>
      <c r="J4" s="247"/>
      <c r="K4" s="247"/>
      <c r="L4" s="247"/>
    </row>
    <row r="5" spans="1:12" x14ac:dyDescent="0.15">
      <c r="A5" s="145" t="s">
        <v>523</v>
      </c>
      <c r="B5" s="157" t="s">
        <v>575</v>
      </c>
      <c r="C5" s="147"/>
      <c r="D5" s="147"/>
      <c r="E5" s="147"/>
      <c r="F5" s="147"/>
      <c r="G5" s="147"/>
      <c r="H5" s="147"/>
      <c r="I5" s="147"/>
      <c r="J5" s="147"/>
      <c r="K5" s="148"/>
      <c r="L5" s="149"/>
    </row>
    <row r="6" spans="1:12" x14ac:dyDescent="0.15">
      <c r="A6" s="145"/>
      <c r="B6" s="146"/>
      <c r="C6" s="147"/>
      <c r="D6" s="147"/>
      <c r="E6" s="147"/>
      <c r="F6" s="147"/>
      <c r="G6" s="147"/>
      <c r="H6" s="147"/>
      <c r="I6" s="147"/>
      <c r="J6" s="149"/>
      <c r="K6" s="149"/>
      <c r="L6" s="149"/>
    </row>
    <row r="35" spans="1:39" x14ac:dyDescent="0.15">
      <c r="A35" s="152" t="s">
        <v>525</v>
      </c>
      <c r="B35" s="153"/>
      <c r="C35" s="147"/>
      <c r="D35" s="147"/>
      <c r="E35" s="147"/>
      <c r="F35" s="147"/>
      <c r="G35" s="147"/>
      <c r="H35" s="147"/>
      <c r="I35" s="147"/>
      <c r="J35" s="147"/>
      <c r="K35" s="147"/>
    </row>
    <row r="36" spans="1:39" x14ac:dyDescent="0.15">
      <c r="A36" s="154" t="s">
        <v>526</v>
      </c>
      <c r="B36" s="248" t="s">
        <v>527</v>
      </c>
      <c r="C36" s="248"/>
      <c r="D36" s="248"/>
      <c r="E36" s="248"/>
      <c r="F36" s="248"/>
      <c r="G36" s="248"/>
      <c r="H36" s="248"/>
      <c r="I36" s="248"/>
      <c r="J36" s="248"/>
      <c r="K36" s="248"/>
    </row>
    <row r="37" spans="1:39" x14ac:dyDescent="0.15">
      <c r="A37" s="152" t="s">
        <v>524</v>
      </c>
      <c r="B37" s="249" t="s">
        <v>528</v>
      </c>
      <c r="C37" s="249"/>
      <c r="D37" s="249"/>
      <c r="E37" s="249"/>
      <c r="F37" s="249"/>
      <c r="G37" s="249"/>
      <c r="H37" s="249"/>
      <c r="I37" s="249"/>
      <c r="J37" s="249"/>
      <c r="K37" s="249"/>
    </row>
    <row r="38" spans="1:39" ht="14.25" customHeight="1" x14ac:dyDescent="0.15">
      <c r="A38" s="156" t="s">
        <v>531</v>
      </c>
      <c r="B38" s="250" t="s">
        <v>532</v>
      </c>
      <c r="C38" s="250"/>
      <c r="D38" s="250"/>
      <c r="E38" s="250"/>
      <c r="F38" s="250"/>
      <c r="G38" s="250"/>
      <c r="H38" s="250"/>
      <c r="I38" s="250"/>
      <c r="J38" s="250"/>
      <c r="K38" s="250"/>
    </row>
    <row r="39" spans="1:39" ht="14.25" customHeight="1" x14ac:dyDescent="0.15">
      <c r="A39" s="156" t="s">
        <v>575</v>
      </c>
      <c r="B39" s="226" t="s">
        <v>576</v>
      </c>
      <c r="C39" s="226"/>
      <c r="D39" s="226"/>
      <c r="E39" s="226"/>
      <c r="F39" s="226"/>
      <c r="G39" s="226"/>
      <c r="H39" s="226"/>
      <c r="I39" s="226"/>
      <c r="J39" s="226"/>
      <c r="K39" s="226"/>
    </row>
    <row r="40" spans="1:39" ht="14.25" customHeight="1" x14ac:dyDescent="0.15">
      <c r="A40" s="156"/>
      <c r="B40" s="226"/>
      <c r="C40" s="226"/>
      <c r="D40" s="226"/>
      <c r="E40" s="226"/>
      <c r="F40" s="226"/>
      <c r="G40" s="226"/>
      <c r="H40" s="226"/>
      <c r="I40" s="226"/>
      <c r="J40" s="226"/>
      <c r="K40" s="226"/>
    </row>
    <row r="41" spans="1:39" ht="14.25" customHeight="1" x14ac:dyDescent="0.15">
      <c r="A41" s="156"/>
      <c r="B41" s="226"/>
      <c r="C41" s="226"/>
      <c r="D41" s="226"/>
      <c r="E41" s="226"/>
      <c r="F41" s="226"/>
      <c r="G41" s="226"/>
      <c r="H41" s="226"/>
      <c r="I41" s="226"/>
      <c r="J41" s="226"/>
      <c r="K41" s="226"/>
    </row>
    <row r="42" spans="1:39" x14ac:dyDescent="0.15">
      <c r="A42" s="156"/>
      <c r="B42" s="226"/>
      <c r="C42" s="226"/>
      <c r="D42" s="226"/>
      <c r="E42" s="226"/>
      <c r="F42" s="226"/>
      <c r="G42" s="226"/>
      <c r="H42" s="226"/>
      <c r="I42" s="226"/>
      <c r="J42" s="226"/>
      <c r="K42" s="226"/>
    </row>
    <row r="43" spans="1:39" x14ac:dyDescent="0.15">
      <c r="A43" s="156"/>
      <c r="B43" s="226"/>
      <c r="C43" s="226"/>
      <c r="D43" s="226"/>
      <c r="E43" s="226"/>
      <c r="F43" s="226"/>
      <c r="G43" s="226"/>
      <c r="H43" s="226"/>
      <c r="I43" s="226"/>
      <c r="J43" s="226"/>
      <c r="K43" s="226"/>
    </row>
    <row r="44" spans="1:39" x14ac:dyDescent="0.15">
      <c r="A44" s="156"/>
      <c r="B44" s="226"/>
      <c r="C44" s="226"/>
      <c r="D44" s="226"/>
      <c r="E44" s="226"/>
      <c r="F44" s="226"/>
      <c r="G44" s="226"/>
      <c r="H44" s="226"/>
      <c r="I44" s="226"/>
      <c r="J44" s="226"/>
      <c r="K44" s="226"/>
      <c r="L44" s="155"/>
      <c r="M44" s="155"/>
      <c r="N44" s="155"/>
      <c r="O44" s="155"/>
      <c r="P44" s="155"/>
      <c r="Q44" s="155"/>
      <c r="R44" s="155"/>
      <c r="S44" s="155"/>
      <c r="T44" s="155"/>
      <c r="U44" s="155"/>
      <c r="V44" s="155"/>
      <c r="W44" s="155"/>
      <c r="X44" s="155"/>
      <c r="Y44" s="155"/>
      <c r="Z44" s="155"/>
      <c r="AA44" s="155"/>
      <c r="AB44" s="155"/>
      <c r="AC44" s="155"/>
      <c r="AD44" s="155"/>
      <c r="AE44" s="155"/>
      <c r="AF44" s="155"/>
      <c r="AG44" s="155"/>
      <c r="AH44" s="155"/>
      <c r="AI44" s="155"/>
      <c r="AJ44" s="155"/>
      <c r="AK44" s="155"/>
      <c r="AL44" s="155"/>
      <c r="AM44" s="155"/>
    </row>
    <row r="45" spans="1:39" x14ac:dyDescent="0.15">
      <c r="A45" s="156"/>
      <c r="B45" s="226"/>
      <c r="C45" s="226"/>
      <c r="D45" s="226"/>
      <c r="E45" s="226"/>
      <c r="F45" s="226"/>
      <c r="G45" s="226"/>
      <c r="H45" s="226"/>
      <c r="I45" s="226"/>
      <c r="J45" s="226"/>
      <c r="K45" s="226"/>
    </row>
    <row r="46" spans="1:39" x14ac:dyDescent="0.15">
      <c r="A46" s="156"/>
      <c r="B46" s="226"/>
      <c r="C46" s="226"/>
      <c r="D46" s="226"/>
      <c r="E46" s="226"/>
      <c r="F46" s="226"/>
      <c r="G46" s="226"/>
      <c r="H46" s="226"/>
      <c r="I46" s="226"/>
      <c r="J46" s="226"/>
      <c r="K46" s="226"/>
    </row>
    <row r="47" spans="1:39" x14ac:dyDescent="0.15">
      <c r="A47" s="156"/>
      <c r="B47" s="226"/>
    </row>
  </sheetData>
  <sheetProtection algorithmName="SHA-512" hashValue="w01gbvbP5UAcO48uUSPEcM42DLQN7csQvCqJuiQNlT2ekF2fq5jE6wMXzUF2sGQQxMvVP9g7SkV1wWRVLYe5KQ==" saltValue="LTIZtgTeeFd21Qi1VHycQA==" spinCount="100000" sheet="1" objects="1" scenarios="1" selectLockedCells="1" selectUnlockedCells="1"/>
  <mergeCells count="5">
    <mergeCell ref="A1:L3"/>
    <mergeCell ref="A4:L4"/>
    <mergeCell ref="B36:K36"/>
    <mergeCell ref="B37:K37"/>
    <mergeCell ref="B38:K3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
  <sheetViews>
    <sheetView workbookViewId="0">
      <selection activeCell="C31" sqref="C31"/>
    </sheetView>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131</vt:i4>
      </vt:variant>
    </vt:vector>
  </HeadingPairs>
  <TitlesOfParts>
    <vt:vector size="141" baseType="lpstr">
      <vt:lpstr>Design Converter</vt:lpstr>
      <vt:lpstr>Variable_Management</vt:lpstr>
      <vt:lpstr>Eff_vs_IOUT</vt:lpstr>
      <vt:lpstr>Loop_Modeling</vt:lpstr>
      <vt:lpstr>Constants</vt:lpstr>
      <vt:lpstr>Plot_Management_Eff</vt:lpstr>
      <vt:lpstr>Plot_Management_Sch</vt:lpstr>
      <vt:lpstr>Lists</vt:lpstr>
      <vt:lpstr>Licenses</vt:lpstr>
      <vt:lpstr>Sheet1</vt:lpstr>
      <vt:lpstr>Acs</vt:lpstr>
      <vt:lpstr>Adc</vt:lpstr>
      <vt:lpstr>Adc_ea</vt:lpstr>
      <vt:lpstr>ADC_VINmin</vt:lpstr>
      <vt:lpstr>CCOMP</vt:lpstr>
      <vt:lpstr>CComp_calc</vt:lpstr>
      <vt:lpstr>CHF</vt:lpstr>
      <vt:lpstr>Comp_calc</vt:lpstr>
      <vt:lpstr>Cout</vt:lpstr>
      <vt:lpstr>Cout_min</vt:lpstr>
      <vt:lpstr>D_limit_max</vt:lpstr>
      <vt:lpstr>D_limit_min</vt:lpstr>
      <vt:lpstr>D_limit_nom</vt:lpstr>
      <vt:lpstr>Dc_CCM_VIN_max</vt:lpstr>
      <vt:lpstr>Dc_CCM_VIN_min</vt:lpstr>
      <vt:lpstr>Dc_CCM_VIN_nom</vt:lpstr>
      <vt:lpstr>Dc_DCM_VIN_nom</vt:lpstr>
      <vt:lpstr>Dc_max_IC</vt:lpstr>
      <vt:lpstr>Dc_max_ideal</vt:lpstr>
      <vt:lpstr>Dc_Mode</vt:lpstr>
      <vt:lpstr>Dc_Mode_Loop</vt:lpstr>
      <vt:lpstr>Dc_rip_max</vt:lpstr>
      <vt:lpstr>Dc_VIN_max</vt:lpstr>
      <vt:lpstr>Dc_VIN_min</vt:lpstr>
      <vt:lpstr>Dc_VIN_nom</vt:lpstr>
      <vt:lpstr>EFF_est</vt:lpstr>
      <vt:lpstr>Eff_vs_IOUT</vt:lpstr>
      <vt:lpstr>fcross</vt:lpstr>
      <vt:lpstr>fcross_est</vt:lpstr>
      <vt:lpstr>fp_ea_est</vt:lpstr>
      <vt:lpstr>Fsw</vt:lpstr>
      <vt:lpstr>fz_ea_est</vt:lpstr>
      <vt:lpstr>fz_rhp</vt:lpstr>
      <vt:lpstr>Gcomp</vt:lpstr>
      <vt:lpstr>Gea_mid_calc</vt:lpstr>
      <vt:lpstr>gfs</vt:lpstr>
      <vt:lpstr>gm_ea</vt:lpstr>
      <vt:lpstr>Gplant_fc_dB</vt:lpstr>
      <vt:lpstr>IIN_33</vt:lpstr>
      <vt:lpstr>IL_avg_VIN_max</vt:lpstr>
      <vt:lpstr>IL_avg_VIN_min</vt:lpstr>
      <vt:lpstr>IL_avg_VIN_nom</vt:lpstr>
      <vt:lpstr>IL_pk</vt:lpstr>
      <vt:lpstr>IL_pk_max</vt:lpstr>
      <vt:lpstr>ILp_VINmax</vt:lpstr>
      <vt:lpstr>ILp_VINmin</vt:lpstr>
      <vt:lpstr>ILp_VINnom</vt:lpstr>
      <vt:lpstr>ILrip</vt:lpstr>
      <vt:lpstr>ILrip_VINmax</vt:lpstr>
      <vt:lpstr>ILrip_VINmin</vt:lpstr>
      <vt:lpstr>ILrip_VINnom</vt:lpstr>
      <vt:lpstr>IOUT</vt:lpstr>
      <vt:lpstr>Ipk_margin</vt:lpstr>
      <vt:lpstr>Ipk_selected</vt:lpstr>
      <vt:lpstr>IQ</vt:lpstr>
      <vt:lpstr>IRMS_COUT</vt:lpstr>
      <vt:lpstr>Isl</vt:lpstr>
      <vt:lpstr>Iss</vt:lpstr>
      <vt:lpstr>Kslope</vt:lpstr>
      <vt:lpstr>L_DCM</vt:lpstr>
      <vt:lpstr>Lm</vt:lpstr>
      <vt:lpstr>Lopt</vt:lpstr>
      <vt:lpstr>Lopt_2</vt:lpstr>
      <vt:lpstr>POUT</vt:lpstr>
      <vt:lpstr>'Design Converter'!Print_Area</vt:lpstr>
      <vt:lpstr>Q</vt:lpstr>
      <vt:lpstr>Q_VINmin</vt:lpstr>
      <vt:lpstr>Qg_tot</vt:lpstr>
      <vt:lpstr>Qgd</vt:lpstr>
      <vt:lpstr>Qgs</vt:lpstr>
      <vt:lpstr>Qrr</vt:lpstr>
      <vt:lpstr>R_cs</vt:lpstr>
      <vt:lpstr>R_sl</vt:lpstr>
      <vt:lpstr>RCOMP</vt:lpstr>
      <vt:lpstr>Rcomp_calc</vt:lpstr>
      <vt:lpstr>Rcs_max</vt:lpstr>
      <vt:lpstr>Rcs_w_sl</vt:lpstr>
      <vt:lpstr>Rcs_wo_sl</vt:lpstr>
      <vt:lpstr>Rdcr</vt:lpstr>
      <vt:lpstr>RDS_on</vt:lpstr>
      <vt:lpstr>Resr</vt:lpstr>
      <vt:lpstr>RFBB</vt:lpstr>
      <vt:lpstr>RFBB_calc</vt:lpstr>
      <vt:lpstr>RFBT</vt:lpstr>
      <vt:lpstr>Rgate</vt:lpstr>
      <vt:lpstr>ROUT</vt:lpstr>
      <vt:lpstr>Rsl_int</vt:lpstr>
      <vt:lpstr>Rsl_max</vt:lpstr>
      <vt:lpstr>RT</vt:lpstr>
      <vt:lpstr>Ruvlo_bottom_calc</vt:lpstr>
      <vt:lpstr>Ruvlo_top</vt:lpstr>
      <vt:lpstr>Ruvlo_top_calc</vt:lpstr>
      <vt:lpstr>SCH_1</vt:lpstr>
      <vt:lpstr>SCH_2</vt:lpstr>
      <vt:lpstr>Se_VINmin</vt:lpstr>
      <vt:lpstr>Sn_VINmin</vt:lpstr>
      <vt:lpstr>tf_sw</vt:lpstr>
      <vt:lpstr>tr_sw</vt:lpstr>
      <vt:lpstr>tss</vt:lpstr>
      <vt:lpstr>UV_fall</vt:lpstr>
      <vt:lpstr>UV_I_hyst</vt:lpstr>
      <vt:lpstr>UV_rise</vt:lpstr>
      <vt:lpstr>Vcc</vt:lpstr>
      <vt:lpstr>Vcl</vt:lpstr>
      <vt:lpstr>Vd_rect</vt:lpstr>
      <vt:lpstr>VIN_33</vt:lpstr>
      <vt:lpstr>VIN_max</vt:lpstr>
      <vt:lpstr>VIN_min</vt:lpstr>
      <vt:lpstr>VIN_nom</vt:lpstr>
      <vt:lpstr>VIN_op_max</vt:lpstr>
      <vt:lpstr>VIN_op_max_56</vt:lpstr>
      <vt:lpstr>VIN_op_min</vt:lpstr>
      <vt:lpstr>VIN_var</vt:lpstr>
      <vt:lpstr>VOUT</vt:lpstr>
      <vt:lpstr>Vout_rip_sel</vt:lpstr>
      <vt:lpstr>Vref</vt:lpstr>
      <vt:lpstr>Vth</vt:lpstr>
      <vt:lpstr>Vuvlo_off</vt:lpstr>
      <vt:lpstr>Vuvlo_on</vt:lpstr>
      <vt:lpstr>wp_hf</vt:lpstr>
      <vt:lpstr>wp_lf</vt:lpstr>
      <vt:lpstr>wp_lf_VINmin</vt:lpstr>
      <vt:lpstr>wp0_ea</vt:lpstr>
      <vt:lpstr>wp1_ea</vt:lpstr>
      <vt:lpstr>wsl</vt:lpstr>
      <vt:lpstr>wsl_VINmin</vt:lpstr>
      <vt:lpstr>wz_ea</vt:lpstr>
      <vt:lpstr>wz_esr</vt:lpstr>
      <vt:lpstr>wz_esr_VINmin</vt:lpstr>
      <vt:lpstr>wz_rhp</vt:lpstr>
      <vt:lpstr>wz_RHP_VINmin</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BMC-BCS</dc:creator>
  <cp:lastModifiedBy>Chun-Lin Chen</cp:lastModifiedBy>
  <cp:lastPrinted>2018-08-09T07:13:51Z</cp:lastPrinted>
  <dcterms:created xsi:type="dcterms:W3CDTF">2018-06-26T09:13:29Z</dcterms:created>
  <dcterms:modified xsi:type="dcterms:W3CDTF">2026-03-18T06:18:03Z</dcterms:modified>
</cp:coreProperties>
</file>