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mmon Variables" sheetId="1" r:id="rId4"/>
    <sheet state="visible" name="Known Spells" sheetId="2" r:id="rId5"/>
    <sheet state="visible" name="SuperList" sheetId="3" r:id="rId6"/>
    <sheet state="hidden" name="Tables" sheetId="4" r:id="rId7"/>
    <sheet state="hidden" name="DataSheet" sheetId="5" r:id="rId8"/>
    <sheet state="hidden" name="Dupe" sheetId="6" r:id="rId9"/>
  </sheets>
  <definedNames>
    <definedName name="Level">'Known Spells'!$F$3</definedName>
    <definedName name="long">'Common Variables'!$B$5</definedName>
    <definedName name="bonus_spells">Tables!$A$25:$G$48</definedName>
    <definedName name="close">'Common Variables'!$B$3</definedName>
    <definedName name="SuperList">SuperList!$C$13:$X$176</definedName>
    <definedName name="medium">'Common Variables'!$B$4</definedName>
    <definedName name="known_spells">Tables!$J$2:$Q$22</definedName>
    <definedName name="base_spells">Tables!$A$2:$H$22</definedName>
  </definedNames>
  <calcPr/>
</workbook>
</file>

<file path=xl/sharedStrings.xml><?xml version="1.0" encoding="utf-8"?>
<sst xmlns="http://schemas.openxmlformats.org/spreadsheetml/2006/main" count="1623" uniqueCount="543">
  <si>
    <t>Quick Links</t>
  </si>
  <si>
    <t>Level</t>
  </si>
  <si>
    <t>CHA Mod</t>
  </si>
  <si>
    <t>Cantrips</t>
  </si>
  <si>
    <t>1st Level Spells</t>
  </si>
  <si>
    <t>2nd Level Spells</t>
  </si>
  <si>
    <t>3rd Level Spells</t>
  </si>
  <si>
    <t>4th Level Spells</t>
  </si>
  <si>
    <t>5th Level Spells</t>
  </si>
  <si>
    <t>6th Level Spells</t>
  </si>
  <si>
    <t>Used</t>
  </si>
  <si>
    <t>Known</t>
  </si>
  <si>
    <t>Spell</t>
  </si>
  <si>
    <t>Metamagic</t>
  </si>
  <si>
    <t>Link</t>
  </si>
  <si>
    <t>School</t>
  </si>
  <si>
    <t>Components</t>
  </si>
  <si>
    <t>Casting Time</t>
  </si>
  <si>
    <t>Range</t>
  </si>
  <si>
    <t>Target, Effect, or Area</t>
  </si>
  <si>
    <t>Duration</t>
  </si>
  <si>
    <t>Saving Throw</t>
  </si>
  <si>
    <t>Spell Resistance</t>
  </si>
  <si>
    <t>Description</t>
  </si>
  <si>
    <t>Super List</t>
  </si>
  <si>
    <t>Dancing Lights</t>
  </si>
  <si>
    <t>Evocation
Light</t>
  </si>
  <si>
    <t>V, S</t>
  </si>
  <si>
    <t>1 standard action</t>
  </si>
  <si>
    <t>Up to four lights, all within a 10-ft.-radius area</t>
  </si>
  <si>
    <t>1 minute (D)</t>
  </si>
  <si>
    <t>None</t>
  </si>
  <si>
    <t>No</t>
  </si>
  <si>
    <t>Creates torches or other lights</t>
  </si>
  <si>
    <t>Daze</t>
  </si>
  <si>
    <t>Enchantment
Compulsion
Mind-Affecting</t>
  </si>
  <si>
    <t>V, S, M
No Listed Cost</t>
  </si>
  <si>
    <t>One humanoid creature of 4 HD or less</t>
  </si>
  <si>
    <t>1 round</t>
  </si>
  <si>
    <t>Will negates</t>
  </si>
  <si>
    <t>Yes</t>
  </si>
  <si>
    <t>Humanoid creature of 4 HD or less loses next action</t>
  </si>
  <si>
    <t>Detect Magic</t>
  </si>
  <si>
    <t>Divination</t>
  </si>
  <si>
    <t>60 ft</t>
  </si>
  <si>
    <t>Cone shaped emanation</t>
  </si>
  <si>
    <t>Detects spells and magic items within 60 ft</t>
  </si>
  <si>
    <t>Flare</t>
  </si>
  <si>
    <t>V</t>
  </si>
  <si>
    <t>Burst of light</t>
  </si>
  <si>
    <t>Instantaneous</t>
  </si>
  <si>
    <t>Fortitude negates</t>
  </si>
  <si>
    <t>Dazzles one creature (-1 on attack rolls)</t>
  </si>
  <si>
    <t>Ghost Sound</t>
  </si>
  <si>
    <t>Illusion
Figment</t>
  </si>
  <si>
    <t>Illusory sounds</t>
  </si>
  <si>
    <t>Will disbelief
if interacted with</t>
  </si>
  <si>
    <t>Figment sounds</t>
  </si>
  <si>
    <t>Know Direction</t>
  </si>
  <si>
    <t>Personal</t>
  </si>
  <si>
    <t>You</t>
  </si>
  <si>
    <t>NA</t>
  </si>
  <si>
    <t>You discern north</t>
  </si>
  <si>
    <t>Light</t>
  </si>
  <si>
    <t>V, M
No Listed Cost</t>
  </si>
  <si>
    <t>Touch</t>
  </si>
  <si>
    <t>Object Touched</t>
  </si>
  <si>
    <t>Object shines like a torch</t>
  </si>
  <si>
    <t>Lullaby</t>
  </si>
  <si>
    <t>Enchantment
Compulsion
Mind-Affecting</t>
  </si>
  <si>
    <t>Living creatures within a 10 ft radius burst</t>
  </si>
  <si>
    <t>Makes subject drowsy; -5 on Spot and Listen checks, -2 on Will saves against sleep</t>
  </si>
  <si>
    <t>Mage Hand</t>
  </si>
  <si>
    <t>Transmutation</t>
  </si>
  <si>
    <t>One nonmagical, unattended object weighing up to 5 lb</t>
  </si>
  <si>
    <t>Concentration</t>
  </si>
  <si>
    <t>5-pound telekinesis</t>
  </si>
  <si>
    <t>Mending</t>
  </si>
  <si>
    <t>10 ft</t>
  </si>
  <si>
    <t>One object of up to 1 lb</t>
  </si>
  <si>
    <t>Will negates
harmless, object</t>
  </si>
  <si>
    <t>Yes
harmless, object</t>
  </si>
  <si>
    <t>Makes minor repairs on an object</t>
  </si>
  <si>
    <t>Message</t>
  </si>
  <si>
    <t>Transmutation
Language-
Dependant</t>
  </si>
  <si>
    <t>V, S, F</t>
  </si>
  <si>
    <t>Whispered conversation at distance</t>
  </si>
  <si>
    <t>Open/Close</t>
  </si>
  <si>
    <t>Object weighing up to 30 lb. or portal that can be opened or closed</t>
  </si>
  <si>
    <t>Will negates
object</t>
  </si>
  <si>
    <t>Yes
object</t>
  </si>
  <si>
    <t>Opens or closes small or light things</t>
  </si>
  <si>
    <t>Prestidigitation</t>
  </si>
  <si>
    <t>Universal</t>
  </si>
  <si>
    <t>See text</t>
  </si>
  <si>
    <t>1 hour</t>
  </si>
  <si>
    <t>Performs minor tricks</t>
  </si>
  <si>
    <t>Read Magic</t>
  </si>
  <si>
    <t>Read scrolls and spellbooks</t>
  </si>
  <si>
    <t>Resistance</t>
  </si>
  <si>
    <t>Abjuration</t>
  </si>
  <si>
    <t>Creature Touched</t>
  </si>
  <si>
    <t>1 minute</t>
  </si>
  <si>
    <t>Will negates
harmless</t>
  </si>
  <si>
    <t>Yes
harmless</t>
  </si>
  <si>
    <t>Subject gains +1 on saving throws</t>
  </si>
  <si>
    <t>Summon Instrument</t>
  </si>
  <si>
    <t>Conjuration
Summoning</t>
  </si>
  <si>
    <t>0 ft</t>
  </si>
  <si>
    <t>One summoned handheld musical instrument</t>
  </si>
  <si>
    <t>Summons one instrument of the caster’s choice</t>
  </si>
  <si>
    <t>Alarm</t>
  </si>
  <si>
    <t>20 ft radius emanation centered on a point in space</t>
  </si>
  <si>
    <t>Animate Rope</t>
  </si>
  <si>
    <t>Makes a rope move at your command</t>
  </si>
  <si>
    <t>Cause Fear</t>
  </si>
  <si>
    <t>Necromancy
Fear
Mind-Affecting</t>
  </si>
  <si>
    <t>One living creature with 5 or fewer HD</t>
  </si>
  <si>
    <t>1d4 rounds or 1 round; see text</t>
  </si>
  <si>
    <t>Will partial</t>
  </si>
  <si>
    <t>One creature of 5 HD or less flees for 1d4 rounds</t>
  </si>
  <si>
    <t>Charm Person</t>
  </si>
  <si>
    <t>Enchantment
Charm
Mind-Affecting</t>
  </si>
  <si>
    <t>One humanoid creature</t>
  </si>
  <si>
    <t>Makes one person your friend</t>
  </si>
  <si>
    <t>Comprehend Languages</t>
  </si>
  <si>
    <t>You understand all spoken and written languages</t>
  </si>
  <si>
    <t>Lesser Confusion</t>
  </si>
  <si>
    <t>One living creature</t>
  </si>
  <si>
    <t>One creature is confused for 1 round</t>
  </si>
  <si>
    <t>Cure Light Wounds</t>
  </si>
  <si>
    <t>Conjuration
Healing</t>
  </si>
  <si>
    <t>Creature touched</t>
  </si>
  <si>
    <t>Will half
harmless
see text</t>
  </si>
  <si>
    <t>Yes
harmless
see text</t>
  </si>
  <si>
    <t>Detect Secret Doors</t>
  </si>
  <si>
    <t>Reveals hidden doors within 60 ft</t>
  </si>
  <si>
    <t>Disguise Self</t>
  </si>
  <si>
    <t>Illusion
Glamer</t>
  </si>
  <si>
    <t>Changes your appearance</t>
  </si>
  <si>
    <t>Erase</t>
  </si>
  <si>
    <t>One scroll or two pages</t>
  </si>
  <si>
    <t>Mundane or magical writing vanishes</t>
  </si>
  <si>
    <t>Expeditious Retreat</t>
  </si>
  <si>
    <t>Your speed increases by 30 ft</t>
  </si>
  <si>
    <t>Feather Falling</t>
  </si>
  <si>
    <t>1 immediate action</t>
  </si>
  <si>
    <t>Will negates
harmless
or
Will negates
object</t>
  </si>
  <si>
    <t>Objects or creatures fall slowly</t>
  </si>
  <si>
    <t>Grease</t>
  </si>
  <si>
    <t>Conjuration
Creation</t>
  </si>
  <si>
    <t>One subject or a 10 ft square</t>
  </si>
  <si>
    <t>Makes 10-ft. square or one object slippery</t>
  </si>
  <si>
    <t>Tasha's Hideous Laughter</t>
  </si>
  <si>
    <t>One creature, see text</t>
  </si>
  <si>
    <t>Hypnotism</t>
  </si>
  <si>
    <t>Several living creatures, no two of which may be more than 30 ft. apart</t>
  </si>
  <si>
    <t>2d4 rounds (D)</t>
  </si>
  <si>
    <t>Fascinates 2d4 HD of creatures</t>
  </si>
  <si>
    <t>Identify</t>
  </si>
  <si>
    <t>V, S, M
Cost: 100 gp</t>
  </si>
  <si>
    <t>One touched object</t>
  </si>
  <si>
    <t>Determines properties of magic item</t>
  </si>
  <si>
    <t>Magic Mouth</t>
  </si>
  <si>
    <t>V, S, M
Cost: 10 gp</t>
  </si>
  <si>
    <t>One creature or object</t>
  </si>
  <si>
    <t>Permanent until discharged</t>
  </si>
  <si>
    <t>Speaks once when triggered</t>
  </si>
  <si>
    <t>Nystul's Magic Aura</t>
  </si>
  <si>
    <t>None
see text</t>
  </si>
  <si>
    <t>Alters object’s magic aura</t>
  </si>
  <si>
    <t>Obscure Object</t>
  </si>
  <si>
    <t>8 hours (D)</t>
  </si>
  <si>
    <t>Masks object against scrying</t>
  </si>
  <si>
    <t>Remove Fear</t>
  </si>
  <si>
    <t>10 minutes
see text</t>
  </si>
  <si>
    <t>Silent Image</t>
  </si>
  <si>
    <t>Creates minor illusion of your design</t>
  </si>
  <si>
    <t>Sleep</t>
  </si>
  <si>
    <t>One or more living creatures within a 10 ft radius burst</t>
  </si>
  <si>
    <t>Puts 4 HD of creatures into magical slumber</t>
  </si>
  <si>
    <t>Summon Monster I</t>
  </si>
  <si>
    <t>Conjuration
Summoning
See text</t>
  </si>
  <si>
    <t>One summoned creature</t>
  </si>
  <si>
    <t>Calls extraplanar creature to fight for you</t>
  </si>
  <si>
    <t>Undetectable Alignment</t>
  </si>
  <si>
    <t>24 hours</t>
  </si>
  <si>
    <t>Conceals alignment for 24 hours</t>
  </si>
  <si>
    <t>Unseen Servant</t>
  </si>
  <si>
    <t>One invisible, mindless, shapeless servant</t>
  </si>
  <si>
    <t>Invisible force obeys your commands</t>
  </si>
  <si>
    <t>Ventriloquism</t>
  </si>
  <si>
    <t>V, F</t>
  </si>
  <si>
    <t>Intelligible sound, usually speech</t>
  </si>
  <si>
    <t>Alter Self</t>
  </si>
  <si>
    <t>Assume form of a similar creature</t>
  </si>
  <si>
    <t>Animal Messenger</t>
  </si>
  <si>
    <t>One Tiny animal</t>
  </si>
  <si>
    <t>Sends a Tiny animal to a specific place.</t>
  </si>
  <si>
    <t>Animal Trance</t>
  </si>
  <si>
    <t>Enchantment
Compulsion
Mind-Affecting
Sonic</t>
  </si>
  <si>
    <t>Animals or magical beasts with Intelligence 1 or 2</t>
  </si>
  <si>
    <t>Will negates
see text</t>
  </si>
  <si>
    <t>Fascinates 2d6 HD of animals.</t>
  </si>
  <si>
    <t>Blindness/Deafness</t>
  </si>
  <si>
    <t>Necromancy</t>
  </si>
  <si>
    <t>Permanent (D)</t>
  </si>
  <si>
    <t>Makes subject blind or deaf</t>
  </si>
  <si>
    <t>Blur</t>
  </si>
  <si>
    <t>Attacks miss subject 20% of the time</t>
  </si>
  <si>
    <t>Calm Emotions</t>
  </si>
  <si>
    <t>Creatures in a 20 ft radius spread</t>
  </si>
  <si>
    <t>Calms creatures, negating emotion effects</t>
  </si>
  <si>
    <t>Cat's Grace</t>
  </si>
  <si>
    <t xml:space="preserve">Yes
</t>
  </si>
  <si>
    <t>Cure Moderate Wounds</t>
  </si>
  <si>
    <t>Darkness</t>
  </si>
  <si>
    <t>Evocation
Darkness</t>
  </si>
  <si>
    <t>Object touched</t>
  </si>
  <si>
    <t>20 ft radius of supernatural shadow</t>
  </si>
  <si>
    <t>Daze Monster</t>
  </si>
  <si>
    <t>One living creature of 6 HD or less</t>
  </si>
  <si>
    <t>Living creature of 6 HD or less loses next action</t>
  </si>
  <si>
    <t>Delay Posion</t>
  </si>
  <si>
    <t>Fortitude negates
harmless</t>
  </si>
  <si>
    <t>Detect Thoughts</t>
  </si>
  <si>
    <t>Divination
Mind-Affecting</t>
  </si>
  <si>
    <t>V, S, F
Focus: 1 copper piece</t>
  </si>
  <si>
    <t>Allows “listening” to surface thoughts</t>
  </si>
  <si>
    <t>Eagle's Splendor</t>
  </si>
  <si>
    <t>Enthrall</t>
  </si>
  <si>
    <t>Enchantment
Charm
Language-
Dependant
Mind-Affecting
Sonic</t>
  </si>
  <si>
    <t>Any number of creatures</t>
  </si>
  <si>
    <t>1 hour or less</t>
  </si>
  <si>
    <t>Fox's Cunning</t>
  </si>
  <si>
    <t>Glitterdust</t>
  </si>
  <si>
    <t>Creatures and objects within 10 ft radius spread</t>
  </si>
  <si>
    <t>Will negates
blinding only</t>
  </si>
  <si>
    <t>Blinds creatures, outlines invisible creatures</t>
  </si>
  <si>
    <t>Heroism</t>
  </si>
  <si>
    <t>Gives +2 on attack rolls, saves, skill checks</t>
  </si>
  <si>
    <t>Hold Person</t>
  </si>
  <si>
    <t>Hypnotic Pattern</t>
  </si>
  <si>
    <t>Illusion
Pattern
Mind-Affecting</t>
  </si>
  <si>
    <t>V, S, M
No Listed Cost
see text</t>
  </si>
  <si>
    <t>Colorful lights in a 10 ft radius spread</t>
  </si>
  <si>
    <t>Concentration + 2 rounds</t>
  </si>
  <si>
    <t>Invisibility</t>
  </si>
  <si>
    <t>Personal or Touch</t>
  </si>
  <si>
    <t>Will negates
harmless
or
Will negates
harmless, object</t>
  </si>
  <si>
    <t>Yes
harmless
or
Yes
harmless, object</t>
  </si>
  <si>
    <t>Locate Object</t>
  </si>
  <si>
    <t>Senses direction toward object (specific or type)</t>
  </si>
  <si>
    <t>Minor Image</t>
  </si>
  <si>
    <t>As silent image, plus some sound</t>
  </si>
  <si>
    <t>Mirror Image</t>
  </si>
  <si>
    <t>Personal, see text</t>
  </si>
  <si>
    <t>Misdirection</t>
  </si>
  <si>
    <t>One creature or object, up to a 10 ft cube in size</t>
  </si>
  <si>
    <t>None
or
Will negates
see text</t>
  </si>
  <si>
    <t>Misleads divinations for one creature or object</t>
  </si>
  <si>
    <t>Pyrotechnics</t>
  </si>
  <si>
    <t>One fire source, up to a 20 ft cube</t>
  </si>
  <si>
    <t>1d4+1 rounds, or 1d4+1 rounds after creatures leave the smoke cloud; see text</t>
  </si>
  <si>
    <t>Will negates
or
Fortitude negates
see text</t>
  </si>
  <si>
    <t>Yes
or
No
see text</t>
  </si>
  <si>
    <t>Turns fire into blinding light or choking smoke</t>
  </si>
  <si>
    <t>Rage</t>
  </si>
  <si>
    <t>Gives +2 to Str and Con, +1 on Will saves, -2 to AC</t>
  </si>
  <si>
    <t>Scare</t>
  </si>
  <si>
    <t>Panics creatures of less than 6 HD</t>
  </si>
  <si>
    <t>Shatter</t>
  </si>
  <si>
    <t>Evocation
Sonic</t>
  </si>
  <si>
    <t>5 ft radius spread; or one solid object or one crystalline creature</t>
  </si>
  <si>
    <t>Will negates
object or
Will negates
object or
Fortitude half
see text</t>
  </si>
  <si>
    <t>Sonic vibration damages objects or crystalline creatures</t>
  </si>
  <si>
    <t>Silence</t>
  </si>
  <si>
    <t>20 ft radius emanation centered on a creature, object, or point in space</t>
  </si>
  <si>
    <t>Will negates
see text
or
None
object</t>
  </si>
  <si>
    <t>Yes
see text
or
No
object</t>
  </si>
  <si>
    <t>Negates sound in 20 ft radius</t>
  </si>
  <si>
    <t>Sound Burst</t>
  </si>
  <si>
    <t>10 ft radius spread</t>
  </si>
  <si>
    <t>Fortitude partial</t>
  </si>
  <si>
    <t>Deals 1d8 sonic damage to subjects; may stun them</t>
  </si>
  <si>
    <t>Suggestion</t>
  </si>
  <si>
    <t>Enchantment
Compulsion
Language-
Dependant
Mind-Affecting</t>
  </si>
  <si>
    <t>Compels subject to follow stated course of action</t>
  </si>
  <si>
    <t>Summon Monster II</t>
  </si>
  <si>
    <t>Summon Swarm</t>
  </si>
  <si>
    <t>One swarm of bats, rats, or spiders</t>
  </si>
  <si>
    <t>Concentration
+2 rounds</t>
  </si>
  <si>
    <t>Summons swarm of bats, rats, or spiders</t>
  </si>
  <si>
    <t>Tongues</t>
  </si>
  <si>
    <t>Speak any language</t>
  </si>
  <si>
    <t>Whispering Winds</t>
  </si>
  <si>
    <t>Transmutation
Air</t>
  </si>
  <si>
    <t>Blink</t>
  </si>
  <si>
    <t>Charm Monster</t>
  </si>
  <si>
    <t>Makes monster believe it is your ally</t>
  </si>
  <si>
    <t>Clairaudience
Clairvoyance</t>
  </si>
  <si>
    <t>Divination
Scrying</t>
  </si>
  <si>
    <t>10 minutes</t>
  </si>
  <si>
    <t>Magical sensor</t>
  </si>
  <si>
    <t>Confusion</t>
  </si>
  <si>
    <t>All creatures within a 15 ft burst</t>
  </si>
  <si>
    <t>Crushing Despair</t>
  </si>
  <si>
    <t>30 ft</t>
  </si>
  <si>
    <t>Cone shaped burst</t>
  </si>
  <si>
    <t>Subjects take -2 on attack rolls, damage rolls, saves, and checks</t>
  </si>
  <si>
    <t>Cure Serious Wounds</t>
  </si>
  <si>
    <t>Daylight</t>
  </si>
  <si>
    <t>60 ft radius of bright light</t>
  </si>
  <si>
    <t>Deep Slumber</t>
  </si>
  <si>
    <t>One or more living creatures within a 10 ft burst</t>
  </si>
  <si>
    <t>Puts 10 HD of creatures to sleep</t>
  </si>
  <si>
    <t>Dispel Magic</t>
  </si>
  <si>
    <t>One spellcaster, creature, or object; or 20 ft radius burst</t>
  </si>
  <si>
    <t>Cancels magical spells and effects</t>
  </si>
  <si>
    <t>Displacement</t>
  </si>
  <si>
    <t>Attacks miss subject 50%</t>
  </si>
  <si>
    <t>Fear</t>
  </si>
  <si>
    <t>Gaseous Form</t>
  </si>
  <si>
    <t>S, M
No Listed Cost</t>
  </si>
  <si>
    <t>Willing corporeal creature touched</t>
  </si>
  <si>
    <t>Subject becomes insubstantial and can fly slowly</t>
  </si>
  <si>
    <t>Lesser Geas</t>
  </si>
  <si>
    <t>Enchantment
Compulsion
Language-
Dependant
Mind-Affecting</t>
  </si>
  <si>
    <t>One living creature of 7 HD or less</t>
  </si>
  <si>
    <t>Commands subject of 7 HD or less</t>
  </si>
  <si>
    <t>Glibness</t>
  </si>
  <si>
    <t>S</t>
  </si>
  <si>
    <t>You gain +30 bonus on Bluff checks, and your lies can escape magical discernment</t>
  </si>
  <si>
    <t>Good Hope</t>
  </si>
  <si>
    <t>Subjects gain +2 on attack rolls, damage rolls, saves, and checks</t>
  </si>
  <si>
    <t>Haste</t>
  </si>
  <si>
    <t>Illusory Script</t>
  </si>
  <si>
    <t>Illusion
Phantasm
Mind-Affecting</t>
  </si>
  <si>
    <t>V, S, M
Cost: 50 gp</t>
  </si>
  <si>
    <t>1 minute or longer, see text</t>
  </si>
  <si>
    <t>One touched object weighing no more than 10 lbs</t>
  </si>
  <si>
    <t>Only intended reader can decipher</t>
  </si>
  <si>
    <t>Invisibility Sphere</t>
  </si>
  <si>
    <t>10 ft radius emanation around the creature or object touched</t>
  </si>
  <si>
    <t>Makes everyone within 10 ft invisible</t>
  </si>
  <si>
    <t>Major Image</t>
  </si>
  <si>
    <t>Concentration + 3 rounds</t>
  </si>
  <si>
    <t>As silent image, plus sound, smell and thermal effects</t>
  </si>
  <si>
    <t>Phantom Steed</t>
  </si>
  <si>
    <t>One quasi-real, horselike creature</t>
  </si>
  <si>
    <t>Remove Curse</t>
  </si>
  <si>
    <t>Creature or item touched</t>
  </si>
  <si>
    <t>Frees object or person from curse</t>
  </si>
  <si>
    <t>Scrying</t>
  </si>
  <si>
    <t>V, S, M, F
No Listed Cost
Focus: 1000 gp</t>
  </si>
  <si>
    <t>Spies on subject from a distance</t>
  </si>
  <si>
    <t>Sculpt Sound</t>
  </si>
  <si>
    <t>Creates new sounds or changes existing ones</t>
  </si>
  <si>
    <t>Secret page</t>
  </si>
  <si>
    <t>Page touched, up to 3 sq ft in size</t>
  </si>
  <si>
    <t>Permanent</t>
  </si>
  <si>
    <t>Changes one page to hide its real content</t>
  </si>
  <si>
    <t>See Invisibility</t>
  </si>
  <si>
    <t>Reveals invisible creatures or objects</t>
  </si>
  <si>
    <t>Sepia Snake Sigil</t>
  </si>
  <si>
    <t>Conjuration
Creation
Force</t>
  </si>
  <si>
    <t>V, S, M
Cost: 500 gp</t>
  </si>
  <si>
    <t>One touched book or written work</t>
  </si>
  <si>
    <t>Reflex negates</t>
  </si>
  <si>
    <t>Creates text symbol that immobilizes reader</t>
  </si>
  <si>
    <t>Slow</t>
  </si>
  <si>
    <t>Speak with Animals</t>
  </si>
  <si>
    <t>You can communicate with animals.</t>
  </si>
  <si>
    <t>Summon Monster III</t>
  </si>
  <si>
    <t>Leomund's Tiny Hut</t>
  </si>
  <si>
    <t>Evocation
Force</t>
  </si>
  <si>
    <t>20 ft</t>
  </si>
  <si>
    <t>20 ft radius sphere centered on your location</t>
  </si>
  <si>
    <t>Creates shelter for ten creatures</t>
  </si>
  <si>
    <t>Break Enchantment</t>
  </si>
  <si>
    <t>Frees subjects from enchantments, alterations, curses, and petrification</t>
  </si>
  <si>
    <t>Cure Critical Wounds</t>
  </si>
  <si>
    <t>Detect Scrying</t>
  </si>
  <si>
    <t>40 ft</t>
  </si>
  <si>
    <t>40 ft radius emanation centered on you</t>
  </si>
  <si>
    <t>Alerts you of magical eavesdropping</t>
  </si>
  <si>
    <t>Dimension Door</t>
  </si>
  <si>
    <t>Conjuration
Teleportation</t>
  </si>
  <si>
    <t>You and touched objects or other touched willing creatures</t>
  </si>
  <si>
    <t>None
and
Will negates
object</t>
  </si>
  <si>
    <t>No
and
Yes
object</t>
  </si>
  <si>
    <t>Teleports you short distance</t>
  </si>
  <si>
    <t>Dominate Person</t>
  </si>
  <si>
    <t>One humanoid</t>
  </si>
  <si>
    <t>Controls humanoid telepathically</t>
  </si>
  <si>
    <t>Freedom of Movement</t>
  </si>
  <si>
    <t>You or creature touched</t>
  </si>
  <si>
    <t>Subject moves normally despite impediments</t>
  </si>
  <si>
    <t>Hallucinatory Terrain</t>
  </si>
  <si>
    <t>Makes one type of terrain appear like another (field into forest, or the like)</t>
  </si>
  <si>
    <t>Hold Monster</t>
  </si>
  <si>
    <t>As hold person, but any creature</t>
  </si>
  <si>
    <t>Greater Invisibility</t>
  </si>
  <si>
    <t>Personal or touched</t>
  </si>
  <si>
    <t>As invisibility, but subject can attack and stay invisible</t>
  </si>
  <si>
    <t>Legend Lore</t>
  </si>
  <si>
    <t>V, S, M, F
Cost: 250 gp
Focus: 200 gp</t>
  </si>
  <si>
    <t>Lets you learn tales about a person, place, or thing</t>
  </si>
  <si>
    <t>Locate Creature</t>
  </si>
  <si>
    <t>Indicates direction to familiar creature</t>
  </si>
  <si>
    <t>Modify Memory</t>
  </si>
  <si>
    <t>1 round, see text</t>
  </si>
  <si>
    <t>Changes 5 minutes of subject’s memories</t>
  </si>
  <si>
    <t>Neutralize Poison</t>
  </si>
  <si>
    <t>Will negates
harmless
object</t>
  </si>
  <si>
    <t>Yes
harmless
object</t>
  </si>
  <si>
    <t>Immunizes subject against poison, detoxifies venom in or on subject</t>
  </si>
  <si>
    <t>Rainbow Pattern</t>
  </si>
  <si>
    <t>V, S, M, F
No Listed Cost</t>
  </si>
  <si>
    <t>Colorful lights with a 20 ft radius spread</t>
  </si>
  <si>
    <t>Lights fascinate 24 HD of creatures</t>
  </si>
  <si>
    <t>Repel Vermin</t>
  </si>
  <si>
    <t>10 ft radius emanation centered on you</t>
  </si>
  <si>
    <t>Insects, spiders, and other vermin stay 10 ft away</t>
  </si>
  <si>
    <t>Leomund's Secure Shelter</t>
  </si>
  <si>
    <t>V, S, M, F, see text
No Listed Cost</t>
  </si>
  <si>
    <t>20 ft square structure</t>
  </si>
  <si>
    <t>Creates sturdy cottage</t>
  </si>
  <si>
    <t>Shadow Conjuration</t>
  </si>
  <si>
    <t>Illusion
Shadow</t>
  </si>
  <si>
    <t>Will disbelief
if interacted with
varies, see text</t>
  </si>
  <si>
    <t>Yes
see text</t>
  </si>
  <si>
    <t>Mimics conjuring below 4th level, but only 20% real</t>
  </si>
  <si>
    <t>Shout</t>
  </si>
  <si>
    <t>Fortitude partial
or
Reflex negates
object
see text</t>
  </si>
  <si>
    <t>Deafens all within cone and deals 5d6 sonic damage</t>
  </si>
  <si>
    <t>Speak with Plants</t>
  </si>
  <si>
    <t>You can talk to normal plants and plant creatures</t>
  </si>
  <si>
    <t>Summon Monster IV</t>
  </si>
  <si>
    <t>Zone of Silence</t>
  </si>
  <si>
    <t>5 ft emanation centered on you</t>
  </si>
  <si>
    <t>Keeps eavesdroppers from overhearing conversations</t>
  </si>
  <si>
    <t>Mass Cure Light Wounds</t>
  </si>
  <si>
    <t>Will half
harmless
or
Will half
see text</t>
  </si>
  <si>
    <t>Yes
harmless
or
Yes
see text</t>
  </si>
  <si>
    <t>Greater Dispel Magic</t>
  </si>
  <si>
    <t>As dispel magic, but +20 on check</t>
  </si>
  <si>
    <t>Dream</t>
  </si>
  <si>
    <t>Unlimited</t>
  </si>
  <si>
    <t>One living creature touched</t>
  </si>
  <si>
    <t>Sends message to anyone sleeping</t>
  </si>
  <si>
    <t>False Vision</t>
  </si>
  <si>
    <t>V, S, M
Cost: 250 gp</t>
  </si>
  <si>
    <t>40 ft radius emanation</t>
  </si>
  <si>
    <t>Fools scrying with an illusion</t>
  </si>
  <si>
    <t>Greater Heroism</t>
  </si>
  <si>
    <t>Gives +4 bonus on attack rolls, saves, skill checks; immunity to fear; temporary hp</t>
  </si>
  <si>
    <t>Mind Fog</t>
  </si>
  <si>
    <t>Fog spreads in 20 ft radius, 20 ft high</t>
  </si>
  <si>
    <t>30 minutes and 2d6 rounds, see text</t>
  </si>
  <si>
    <t>Subjects in fog get -10 to Wis and Will checks</t>
  </si>
  <si>
    <t>Mirage Arcana</t>
  </si>
  <si>
    <t>As hallucinatory terrain, plus structures</t>
  </si>
  <si>
    <t>Mislead</t>
  </si>
  <si>
    <t>Illusion
Figment
Glamer</t>
  </si>
  <si>
    <t>You and 1 illusory double</t>
  </si>
  <si>
    <t>None
or
Will disbelief
if interacted with
see text</t>
  </si>
  <si>
    <t>Turns you invisible and creates illusory double</t>
  </si>
  <si>
    <t>Nightmare</t>
  </si>
  <si>
    <t>Illusion
Phantasm
Mind-Affecting
Evil</t>
  </si>
  <si>
    <t>Sends vision dealing 1d10 damage, fatigue</t>
  </si>
  <si>
    <t>Persistent Image</t>
  </si>
  <si>
    <t>As major image, but no concentration required</t>
  </si>
  <si>
    <t>Seeming</t>
  </si>
  <si>
    <t>12 hours (D)</t>
  </si>
  <si>
    <t>Will negates
or
Will disbelief
if interacted with</t>
  </si>
  <si>
    <t>Shadow Evocation</t>
  </si>
  <si>
    <t>Mimics evocation of lower than 5th level, but only 20% real</t>
  </si>
  <si>
    <t>Shadow Walk</t>
  </si>
  <si>
    <t>Step into shadow to travel rapidly</t>
  </si>
  <si>
    <t>Song of Discord</t>
  </si>
  <si>
    <t>Enchantment
Compulsion
Mind Affecting
Sonic</t>
  </si>
  <si>
    <t>Creatures within a 20 ft radius spread</t>
  </si>
  <si>
    <t>Forces targets to attack each other</t>
  </si>
  <si>
    <t>Mass Suggestion</t>
  </si>
  <si>
    <t>Summon Monster V</t>
  </si>
  <si>
    <t>Analyze Dweomer</t>
  </si>
  <si>
    <t>V, S, F
Focus: 1500 gp</t>
  </si>
  <si>
    <t>Reveals magical aspects of subject</t>
  </si>
  <si>
    <t>Animate Objects</t>
  </si>
  <si>
    <t>Objects attack your foes</t>
  </si>
  <si>
    <t>Mass Cat's Grace</t>
  </si>
  <si>
    <t>Mass Charm Monster</t>
  </si>
  <si>
    <t>One or more creatures, no two of which can be more than 30 ft apart</t>
  </si>
  <si>
    <t>Mass Cure Moderate Wounds</t>
  </si>
  <si>
    <t>Mass Eagle's Splendor</t>
  </si>
  <si>
    <t>Eyebite</t>
  </si>
  <si>
    <t>Necromancy
Evil</t>
  </si>
  <si>
    <t>Target becomes panicked, sickened, and comatose</t>
  </si>
  <si>
    <t>Find the Path</t>
  </si>
  <si>
    <t>3 rounds</t>
  </si>
  <si>
    <t>Personal or touch</t>
  </si>
  <si>
    <t>None
or
Will negates
harmless</t>
  </si>
  <si>
    <t>No
or
Yes
harmless</t>
  </si>
  <si>
    <t>Shows most direct way to a location</t>
  </si>
  <si>
    <t>Mass Fox's Cunning</t>
  </si>
  <si>
    <t>Geas/Quest</t>
  </si>
  <si>
    <t>As lesser geas, plus it affects any creature</t>
  </si>
  <si>
    <t>Heroes' Feast</t>
  </si>
  <si>
    <t>1 hour plus 12 hours, see text</t>
  </si>
  <si>
    <t>Otto's Irresistible Dance</t>
  </si>
  <si>
    <t>Living creature touch</t>
  </si>
  <si>
    <t>1d4+1 rounds</t>
  </si>
  <si>
    <t>Forces subject to dance</t>
  </si>
  <si>
    <t>Permanent Image</t>
  </si>
  <si>
    <t>V, S, M, F
Cost: 100 gp</t>
  </si>
  <si>
    <t>Includes sight, sound, and smell</t>
  </si>
  <si>
    <t>Programmed Image</t>
  </si>
  <si>
    <t>V, S, M, F
Cost: 25 gp</t>
  </si>
  <si>
    <t>As major image, plus triggered by event</t>
  </si>
  <si>
    <t>Project Image</t>
  </si>
  <si>
    <t>V, S, M
Cost: 5 gp</t>
  </si>
  <si>
    <t>One shadow duplicate</t>
  </si>
  <si>
    <t>Illusory double can talk and cast spells</t>
  </si>
  <si>
    <t>Greater Scrying</t>
  </si>
  <si>
    <t>As scrying, but faster and longer</t>
  </si>
  <si>
    <t>Greater Shout</t>
  </si>
  <si>
    <t>Devastating yell deals 10d6 sonic damage; stuns creatures, damages objects</t>
  </si>
  <si>
    <t>Summon Monster VI</t>
  </si>
  <si>
    <t>Sympathetic Vibrations</t>
  </si>
  <si>
    <t>One freestanding structure</t>
  </si>
  <si>
    <t>Deals 2d10 damage/round to freestanding structure</t>
  </si>
  <si>
    <t>Veil</t>
  </si>
  <si>
    <t>One or more creatures, no 2 of which can be more than 30 ft apart</t>
  </si>
  <si>
    <t>Changes appearance of group of creatures</t>
  </si>
  <si>
    <t>0th</t>
  </si>
  <si>
    <t>1st</t>
  </si>
  <si>
    <t>2nd</t>
  </si>
  <si>
    <t>3rd</t>
  </si>
  <si>
    <t>4th</t>
  </si>
  <si>
    <t>5th</t>
  </si>
  <si>
    <t>6th</t>
  </si>
  <si>
    <t>Prepared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</si>
</sst>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+&quot;0;&quot;-&quot;0"/>
  </numFmts>
  <fonts count="25">
    <font>
      <sz val="10.0"/>
      <color rgb="FF000000"/>
      <name val="Arial"/>
    </font>
    <font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u/>
      <sz val="12.0"/>
      <color rgb="FF1155CC"/>
    </font>
    <font>
      <u/>
      <sz val="12.0"/>
      <color rgb="FF1155CC"/>
    </font>
    <font>
      <sz val="24.0"/>
      <color theme="1"/>
      <name val="Arial"/>
    </font>
    <font>
      <sz val="12.0"/>
      <color rgb="FF000000"/>
      <name val="Arial"/>
    </font>
    <font>
      <u/>
      <sz val="12.0"/>
      <color rgb="FF1155CC"/>
      <name val="Arial"/>
    </font>
    <font>
      <sz val="10.0"/>
      <color theme="1"/>
      <name val="Arial"/>
    </font>
    <font>
      <u/>
      <sz val="12.0"/>
      <color rgb="FF1155CC"/>
      <name val="Arial"/>
    </font>
    <font>
      <sz val="11.0"/>
      <color theme="1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</font>
    <font>
      <u/>
      <sz val="12.0"/>
      <color rgb="FF1155CC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sz val="14.0"/>
      <color rgb="FF000000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 shrinkToFit="0" wrapText="1"/>
    </xf>
    <xf borderId="2" fillId="2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ill="1" applyFont="1">
      <alignment horizontal="center" readingOrder="0" shrinkToFit="0" vertical="center" wrapText="1"/>
    </xf>
    <xf borderId="2" fillId="3" fontId="3" numFmtId="0" xfId="0" applyBorder="1" applyFont="1"/>
    <xf borderId="4" fillId="3" fontId="4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top" wrapText="1"/>
    </xf>
    <xf borderId="4" fillId="0" fontId="4" numFmtId="164" xfId="0" applyAlignment="1" applyBorder="1" applyFont="1" applyNumberFormat="1">
      <alignment horizontal="center" readingOrder="0" shrinkToFit="0" vertical="top" wrapText="1"/>
    </xf>
    <xf borderId="1" fillId="2" fontId="6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3" fillId="2" fontId="3" numFmtId="0" xfId="0" applyBorder="1" applyFont="1"/>
    <xf borderId="0" fillId="0" fontId="7" numFmtId="0" xfId="0" applyAlignment="1" applyFont="1">
      <alignment horizontal="center" readingOrder="0" vertical="center"/>
    </xf>
    <xf borderId="4" fillId="3" fontId="4" numFmtId="0" xfId="0" applyAlignment="1" applyBorder="1" applyFont="1">
      <alignment horizontal="center" readingOrder="0" shrinkToFit="0" vertical="top" wrapText="1"/>
    </xf>
    <xf borderId="1" fillId="3" fontId="4" numFmtId="0" xfId="0" applyAlignment="1" applyBorder="1" applyFont="1">
      <alignment horizontal="center" readingOrder="0" shrinkToFit="0" vertical="top" wrapText="1"/>
    </xf>
    <xf borderId="3" fillId="3" fontId="3" numFmtId="0" xfId="0" applyBorder="1" applyFont="1"/>
    <xf borderId="0" fillId="0" fontId="2" numFmtId="0" xfId="0" applyAlignment="1" applyFont="1">
      <alignment horizontal="center" readingOrder="0" vertical="top"/>
    </xf>
    <xf borderId="4" fillId="2" fontId="8" numFmtId="0" xfId="0" applyAlignment="1" applyBorder="1" applyFont="1">
      <alignment horizontal="center" readingOrder="0" shrinkToFit="0" vertical="top" wrapText="1"/>
    </xf>
    <xf borderId="1" fillId="2" fontId="9" numFmtId="0" xfId="0" applyAlignment="1" applyBorder="1" applyFont="1">
      <alignment horizontal="center" shrinkToFit="0" vertical="top" wrapText="1"/>
    </xf>
    <xf borderId="1" fillId="2" fontId="10" numFmtId="0" xfId="0" applyAlignment="1" applyBorder="1" applyFont="1">
      <alignment horizontal="center" shrinkToFit="0" vertical="top" wrapText="1"/>
    </xf>
    <xf borderId="1" fillId="2" fontId="10" numFmtId="0" xfId="0" applyAlignment="1" applyBorder="1" applyFont="1">
      <alignment horizontal="center" readingOrder="0" shrinkToFit="0" vertical="top" wrapText="1"/>
    </xf>
    <xf borderId="1" fillId="2" fontId="10" numFmtId="0" xfId="0" applyAlignment="1" applyBorder="1" applyFont="1">
      <alignment shrinkToFit="0" vertical="top" wrapText="1"/>
    </xf>
    <xf borderId="4" fillId="2" fontId="10" numFmtId="0" xfId="0" applyAlignment="1" applyBorder="1" applyFont="1">
      <alignment horizontal="center" shrinkToFit="0" vertical="top" wrapText="1"/>
    </xf>
    <xf borderId="4" fillId="3" fontId="8" numFmtId="0" xfId="0" applyAlignment="1" applyBorder="1" applyFont="1">
      <alignment horizontal="center" readingOrder="0" shrinkToFit="0" vertical="top" wrapText="1"/>
    </xf>
    <xf borderId="1" fillId="3" fontId="11" numFmtId="0" xfId="0" applyAlignment="1" applyBorder="1" applyFont="1">
      <alignment horizontal="center" shrinkToFit="0" vertical="top" wrapText="1"/>
    </xf>
    <xf borderId="1" fillId="3" fontId="10" numFmtId="0" xfId="0" applyAlignment="1" applyBorder="1" applyFont="1">
      <alignment horizontal="center" shrinkToFit="0" vertical="top" wrapText="1"/>
    </xf>
    <xf borderId="1" fillId="3" fontId="10" numFmtId="0" xfId="0" applyAlignment="1" applyBorder="1" applyFont="1">
      <alignment horizontal="center" readingOrder="0" shrinkToFit="0" vertical="top" wrapText="1"/>
    </xf>
    <xf borderId="1" fillId="3" fontId="10" numFmtId="0" xfId="0" applyAlignment="1" applyBorder="1" applyFont="1">
      <alignment shrinkToFit="0" vertical="top" wrapText="1"/>
    </xf>
    <xf borderId="4" fillId="3" fontId="10" numFmtId="0" xfId="0" applyAlignment="1" applyBorder="1" applyFont="1">
      <alignment horizontal="center" shrinkToFit="0" vertical="top" wrapText="1"/>
    </xf>
    <xf borderId="0" fillId="0" fontId="12" numFmtId="0" xfId="0" applyAlignment="1" applyFont="1">
      <alignment readingOrder="0"/>
    </xf>
    <xf borderId="4" fillId="3" fontId="8" numFmtId="0" xfId="0" applyAlignment="1" applyBorder="1" applyFont="1">
      <alignment horizontal="center" shrinkToFit="0" vertical="top" wrapText="1"/>
    </xf>
    <xf borderId="0" fillId="0" fontId="12" numFmtId="0" xfId="0" applyFont="1"/>
    <xf borderId="4" fillId="2" fontId="8" numFmtId="0" xfId="0" applyAlignment="1" applyBorder="1" applyFont="1">
      <alignment horizontal="center" shrinkToFit="0" vertical="top" wrapText="1"/>
    </xf>
    <xf borderId="4" fillId="3" fontId="8" numFmtId="0" xfId="0" applyAlignment="1" applyBorder="1" applyFont="1">
      <alignment horizontal="center" readingOrder="0" shrinkToFit="0" vertical="top" wrapText="1"/>
    </xf>
    <xf borderId="3" fillId="2" fontId="4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vertical="bottom"/>
    </xf>
    <xf borderId="2" fillId="0" fontId="3" numFmtId="0" xfId="0" applyBorder="1" applyFont="1"/>
    <xf borderId="1" fillId="3" fontId="13" numFmtId="0" xfId="0" applyAlignment="1" applyBorder="1" applyFont="1">
      <alignment horizontal="center" readingOrder="0"/>
    </xf>
    <xf borderId="1" fillId="2" fontId="14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vertical="top"/>
    </xf>
    <xf borderId="1" fillId="3" fontId="4" numFmtId="0" xfId="0" applyAlignment="1" applyBorder="1" applyFont="1">
      <alignment horizontal="center" vertical="top"/>
    </xf>
    <xf borderId="4" fillId="2" fontId="8" numFmtId="0" xfId="0" applyAlignment="1" applyBorder="1" applyFont="1">
      <alignment horizontal="center" readingOrder="0" vertical="top"/>
    </xf>
    <xf borderId="1" fillId="2" fontId="15" numFmtId="0" xfId="0" applyAlignment="1" applyBorder="1" applyFont="1">
      <alignment horizontal="center" readingOrder="0" shrinkToFit="0" vertical="top" wrapText="1"/>
    </xf>
    <xf borderId="1" fillId="2" fontId="10" numFmtId="0" xfId="0" applyAlignment="1" applyBorder="1" applyFont="1">
      <alignment horizontal="center" readingOrder="0" vertical="top"/>
    </xf>
    <xf borderId="1" fillId="2" fontId="10" numFmtId="0" xfId="0" applyAlignment="1" applyBorder="1" applyFont="1">
      <alignment readingOrder="0" shrinkToFit="0" vertical="top" wrapText="1"/>
    </xf>
    <xf borderId="4" fillId="3" fontId="8" numFmtId="0" xfId="0" applyAlignment="1" applyBorder="1" applyFont="1">
      <alignment horizontal="center" readingOrder="0" vertical="top"/>
    </xf>
    <xf borderId="1" fillId="3" fontId="16" numFmtId="0" xfId="0" applyAlignment="1" applyBorder="1" applyFont="1">
      <alignment horizontal="center" readingOrder="0" shrinkToFit="0" vertical="top" wrapText="1"/>
    </xf>
    <xf borderId="1" fillId="3" fontId="10" numFmtId="0" xfId="0" applyAlignment="1" applyBorder="1" applyFont="1">
      <alignment horizontal="center" readingOrder="0" vertical="top"/>
    </xf>
    <xf borderId="1" fillId="3" fontId="10" numFmtId="0" xfId="0" applyAlignment="1" applyBorder="1" applyFont="1">
      <alignment readingOrder="0" shrinkToFit="0" vertical="top" wrapText="1"/>
    </xf>
    <xf borderId="4" fillId="3" fontId="8" numFmtId="0" xfId="0" applyAlignment="1" applyBorder="1" applyFont="1">
      <alignment horizontal="center" readingOrder="0" shrinkToFit="0" vertical="top" wrapText="1"/>
    </xf>
    <xf borderId="4" fillId="2" fontId="8" numFmtId="0" xfId="0" applyAlignment="1" applyBorder="1" applyFont="1">
      <alignment horizontal="center" readingOrder="0" shrinkToFit="0" vertical="top" wrapText="1"/>
    </xf>
    <xf borderId="0" fillId="0" fontId="7" numFmtId="0" xfId="0" applyAlignment="1" applyFont="1">
      <alignment horizontal="center" vertical="center"/>
    </xf>
    <xf borderId="0" fillId="0" fontId="2" numFmtId="0" xfId="0" applyAlignment="1" applyFont="1">
      <alignment horizontal="center" vertical="top"/>
    </xf>
    <xf borderId="1" fillId="2" fontId="17" numFmtId="0" xfId="0" applyAlignment="1" applyBorder="1" applyFont="1">
      <alignment horizontal="center" readingOrder="0" shrinkToFit="0" vertical="top" wrapText="1"/>
    </xf>
    <xf borderId="1" fillId="2" fontId="10" numFmtId="0" xfId="0" applyAlignment="1" applyBorder="1" applyFont="1">
      <alignment horizontal="center" vertical="top"/>
    </xf>
    <xf borderId="1" fillId="2" fontId="10" numFmtId="0" xfId="0" applyAlignment="1" applyBorder="1" applyFont="1">
      <alignment horizontal="left" shrinkToFit="0" vertical="top" wrapText="1"/>
    </xf>
    <xf borderId="0" fillId="0" fontId="12" numFmtId="0" xfId="0" applyFont="1"/>
    <xf borderId="1" fillId="3" fontId="18" numFmtId="0" xfId="0" applyAlignment="1" applyBorder="1" applyFont="1">
      <alignment horizontal="center" readingOrder="0" shrinkToFit="0" vertical="top" wrapText="1"/>
    </xf>
    <xf borderId="1" fillId="3" fontId="10" numFmtId="0" xfId="0" applyAlignment="1" applyBorder="1" applyFont="1">
      <alignment horizontal="center" vertical="top"/>
    </xf>
    <xf borderId="1" fillId="3" fontId="10" numFmtId="0" xfId="0" applyAlignment="1" applyBorder="1" applyFont="1">
      <alignment horizontal="left" readingOrder="0" shrinkToFit="0" vertical="top" wrapText="1"/>
    </xf>
    <xf borderId="1" fillId="3" fontId="10" numFmtId="0" xfId="0" applyAlignment="1" applyBorder="1" applyFont="1">
      <alignment horizontal="center" shrinkToFit="0" vertical="top" wrapText="1"/>
    </xf>
    <xf borderId="1" fillId="2" fontId="10" numFmtId="0" xfId="0" applyAlignment="1" applyBorder="1" applyFont="1">
      <alignment horizontal="center" shrinkToFit="0" vertical="top" wrapText="1"/>
    </xf>
    <xf borderId="1" fillId="3" fontId="19" numFmtId="0" xfId="0" applyAlignment="1" applyBorder="1" applyFont="1">
      <alignment horizontal="center" shrinkToFit="0" vertical="top" wrapText="1"/>
    </xf>
    <xf borderId="1" fillId="3" fontId="10" numFmtId="0" xfId="0" applyAlignment="1" applyBorder="1" applyFont="1">
      <alignment shrinkToFit="0" vertical="top" wrapText="1"/>
    </xf>
    <xf borderId="1" fillId="2" fontId="20" numFmtId="0" xfId="0" applyAlignment="1" applyBorder="1" applyFont="1">
      <alignment horizontal="center" shrinkToFit="0" vertical="top" wrapText="1"/>
    </xf>
    <xf borderId="1" fillId="2" fontId="10" numFmtId="0" xfId="0" applyAlignment="1" applyBorder="1" applyFont="1">
      <alignment shrinkToFit="0" vertical="top" wrapText="1"/>
    </xf>
    <xf borderId="1" fillId="2" fontId="10" numFmtId="0" xfId="0" applyAlignment="1" applyBorder="1" applyFont="1">
      <alignment horizontal="left" shrinkToFit="0" vertical="top" wrapText="1"/>
    </xf>
    <xf borderId="1" fillId="3" fontId="10" numFmtId="0" xfId="0" applyAlignment="1" applyBorder="1" applyFont="1">
      <alignment horizontal="left" shrinkToFit="0" vertical="top" wrapText="1"/>
    </xf>
    <xf borderId="1" fillId="2" fontId="10" numFmtId="0" xfId="0" applyAlignment="1" applyBorder="1" applyFont="1">
      <alignment horizontal="left" readingOrder="0" shrinkToFit="0" vertical="top" wrapText="1"/>
    </xf>
    <xf borderId="0" fillId="4" fontId="1" numFmtId="0" xfId="0" applyFill="1" applyFont="1"/>
    <xf borderId="0" fillId="4" fontId="21" numFmtId="0" xfId="0" applyAlignment="1" applyFont="1">
      <alignment horizontal="center" readingOrder="0" shrinkToFit="0" vertical="top" wrapText="1"/>
    </xf>
    <xf borderId="0" fillId="4" fontId="22" numFmtId="0" xfId="0" applyAlignment="1" applyFont="1">
      <alignment horizontal="center" readingOrder="0" shrinkToFit="0" vertical="top" wrapText="1"/>
    </xf>
    <xf borderId="0" fillId="4" fontId="4" numFmtId="0" xfId="0" applyAlignment="1" applyFont="1">
      <alignment horizontal="center" readingOrder="0" shrinkToFit="0" vertical="top" wrapText="1"/>
    </xf>
    <xf borderId="0" fillId="4" fontId="4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7" numFmtId="0" xfId="0" applyAlignment="1" applyBorder="1" applyFont="1">
      <alignment horizontal="center" vertical="center"/>
    </xf>
    <xf borderId="4" fillId="3" fontId="2" numFmtId="0" xfId="0" applyAlignment="1" applyBorder="1" applyFont="1">
      <alignment horizontal="center" vertical="top"/>
    </xf>
    <xf borderId="1" fillId="3" fontId="2" numFmtId="0" xfId="0" applyAlignment="1" applyBorder="1" applyFont="1">
      <alignment horizontal="center" vertical="top"/>
    </xf>
    <xf borderId="4" fillId="2" fontId="21" numFmtId="0" xfId="0" applyAlignment="1" applyBorder="1" applyFont="1">
      <alignment horizontal="center" shrinkToFit="0" vertical="top" wrapText="1"/>
    </xf>
    <xf borderId="4" fillId="2" fontId="8" numFmtId="0" xfId="0" applyAlignment="1" applyBorder="1" applyFont="1">
      <alignment horizontal="center" shrinkToFit="0" vertical="top" wrapText="1"/>
    </xf>
    <xf borderId="1" fillId="2" fontId="23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shrinkToFit="0" vertical="top" wrapText="1"/>
    </xf>
    <xf borderId="4" fillId="2" fontId="4" numFmtId="0" xfId="0" applyAlignment="1" applyBorder="1" applyFont="1">
      <alignment horizontal="center" vertical="top"/>
    </xf>
    <xf borderId="4" fillId="3" fontId="21" numFmtId="0" xfId="0" applyAlignment="1" applyBorder="1" applyFont="1">
      <alignment horizontal="center" shrinkToFit="0" vertical="top" wrapText="1"/>
    </xf>
    <xf borderId="4" fillId="3" fontId="8" numFmtId="0" xfId="0" applyAlignment="1" applyBorder="1" applyFont="1">
      <alignment horizontal="center" shrinkToFit="0" vertical="top" wrapText="1"/>
    </xf>
    <xf borderId="1" fillId="3" fontId="24" numFmtId="0" xfId="0" applyAlignment="1" applyBorder="1" applyFont="1">
      <alignment horizontal="center" shrinkToFit="0" vertical="top" wrapText="1"/>
    </xf>
    <xf borderId="1" fillId="3" fontId="4" numFmtId="0" xfId="0" applyAlignment="1" applyBorder="1" applyFont="1">
      <alignment horizontal="center" shrinkToFit="0" vertical="top" wrapText="1"/>
    </xf>
    <xf borderId="1" fillId="3" fontId="4" numFmtId="0" xfId="0" applyAlignment="1" applyBorder="1" applyFont="1">
      <alignment shrinkToFit="0" vertical="top" wrapText="1"/>
    </xf>
    <xf borderId="4" fillId="3" fontId="4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5">
    <dxf>
      <font>
        <color rgb="FF0000FF"/>
      </font>
      <fill>
        <patternFill patternType="solid">
          <fgColor rgb="FF34A853"/>
          <bgColor rgb="FF34A85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>
        <color rgb="FF0000FF"/>
      </font>
      <fill>
        <patternFill patternType="solid">
          <fgColor theme="7"/>
          <bgColor theme="7"/>
        </patternFill>
      </fill>
      <border/>
    </dxf>
  </dxfs>
  <tableStyles count="1">
    <tableStyle count="3" pivot="0" name="Known Spells-style">
      <tableStyleElement dxfId="2" type="headerRow"/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H2:H3" displayName="Table_1" id="1">
  <tableColumns count="1">
    <tableColumn name="CHA Mod" id="1"/>
  </tableColumns>
  <tableStyleInfo name="Known Spell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20srd.org/srd/spells/undetectableAlignment.htm" TargetMode="External"/><Relationship Id="rId42" Type="http://schemas.openxmlformats.org/officeDocument/2006/relationships/hyperlink" Target="https://www.d20srd.org/srd/spells/ventriloquism.htm" TargetMode="External"/><Relationship Id="rId41" Type="http://schemas.openxmlformats.org/officeDocument/2006/relationships/hyperlink" Target="https://www.d20srd.org/srd/spells/unseenServant.htm" TargetMode="External"/><Relationship Id="rId44" Type="http://schemas.openxmlformats.org/officeDocument/2006/relationships/hyperlink" Target="https://www.d20srd.org/srd/spells/animalMessenger.htm" TargetMode="External"/><Relationship Id="rId43" Type="http://schemas.openxmlformats.org/officeDocument/2006/relationships/hyperlink" Target="https://www.d20srd.org/srd/spells/alterSelf.htm" TargetMode="External"/><Relationship Id="rId46" Type="http://schemas.openxmlformats.org/officeDocument/2006/relationships/hyperlink" Target="https://www.d20srd.org/srd/spells/blindnessDeafness.htm" TargetMode="External"/><Relationship Id="rId45" Type="http://schemas.openxmlformats.org/officeDocument/2006/relationships/hyperlink" Target="https://www.d20srd.org/srd/spells/animalTrance.htm" TargetMode="External"/><Relationship Id="rId107" Type="http://schemas.openxmlformats.org/officeDocument/2006/relationships/hyperlink" Target="https://www.d20srd.org/srd/spells/tinyHut.htm" TargetMode="External"/><Relationship Id="rId106" Type="http://schemas.openxmlformats.org/officeDocument/2006/relationships/hyperlink" Target="https://www.d20srd.org/srd/spells/summonMonsterIII.htm" TargetMode="External"/><Relationship Id="rId105" Type="http://schemas.openxmlformats.org/officeDocument/2006/relationships/hyperlink" Target="https://www.d20srd.org/srd/spells/speakWithAnimals.htm" TargetMode="External"/><Relationship Id="rId104" Type="http://schemas.openxmlformats.org/officeDocument/2006/relationships/hyperlink" Target="https://www.d20srd.org/srd/spells/slow.htm" TargetMode="External"/><Relationship Id="rId109" Type="http://schemas.openxmlformats.org/officeDocument/2006/relationships/hyperlink" Target="https://www.d20srd.org/srd/spells/cureCriticalWounds.htm" TargetMode="External"/><Relationship Id="rId108" Type="http://schemas.openxmlformats.org/officeDocument/2006/relationships/hyperlink" Target="https://www.d20srd.org/srd/spells/breakEnchantment.htm" TargetMode="External"/><Relationship Id="rId48" Type="http://schemas.openxmlformats.org/officeDocument/2006/relationships/hyperlink" Target="https://www.d20srd.org/srd/spells/calmEmotions.htm" TargetMode="External"/><Relationship Id="rId47" Type="http://schemas.openxmlformats.org/officeDocument/2006/relationships/hyperlink" Target="https://www.d20srd.org/srd/spells/blur.htm" TargetMode="External"/><Relationship Id="rId49" Type="http://schemas.openxmlformats.org/officeDocument/2006/relationships/hyperlink" Target="https://www.d20srd.org/srd/spells/catsGrace.htm" TargetMode="External"/><Relationship Id="rId103" Type="http://schemas.openxmlformats.org/officeDocument/2006/relationships/hyperlink" Target="https://www.d20srd.org/srd/spells/sepiaSnakeSigil.htm" TargetMode="External"/><Relationship Id="rId102" Type="http://schemas.openxmlformats.org/officeDocument/2006/relationships/hyperlink" Target="https://www.d20srd.org/srd/spells/seeInvisibility.htm" TargetMode="External"/><Relationship Id="rId101" Type="http://schemas.openxmlformats.org/officeDocument/2006/relationships/hyperlink" Target="https://www.d20srd.org/srd/spells/secretPage.htm" TargetMode="External"/><Relationship Id="rId100" Type="http://schemas.openxmlformats.org/officeDocument/2006/relationships/hyperlink" Target="https://www.d20srd.org/srd/spells/sculptSound.htm" TargetMode="External"/><Relationship Id="rId31" Type="http://schemas.openxmlformats.org/officeDocument/2006/relationships/hyperlink" Target="https://www.d20srd.org/srd/spells/hypnotism.htm" TargetMode="External"/><Relationship Id="rId30" Type="http://schemas.openxmlformats.org/officeDocument/2006/relationships/hyperlink" Target="https://www.d20srd.org/srd/spells/hideousLaughter.htm" TargetMode="External"/><Relationship Id="rId33" Type="http://schemas.openxmlformats.org/officeDocument/2006/relationships/hyperlink" Target="https://www.d20srd.org/srd/spells/magicMouth.htm" TargetMode="External"/><Relationship Id="rId32" Type="http://schemas.openxmlformats.org/officeDocument/2006/relationships/hyperlink" Target="https://www.d20srd.org/srd/spells/identify.htm" TargetMode="External"/><Relationship Id="rId35" Type="http://schemas.openxmlformats.org/officeDocument/2006/relationships/hyperlink" Target="https://www.d20srd.org/srd/spells/obscureObject.htm" TargetMode="External"/><Relationship Id="rId34" Type="http://schemas.openxmlformats.org/officeDocument/2006/relationships/hyperlink" Target="https://www.d20srd.org/srd/spells/magicAura.htm" TargetMode="External"/><Relationship Id="rId37" Type="http://schemas.openxmlformats.org/officeDocument/2006/relationships/hyperlink" Target="https://www.d20srd.org/srd/spells/silentImage.htm" TargetMode="External"/><Relationship Id="rId36" Type="http://schemas.openxmlformats.org/officeDocument/2006/relationships/hyperlink" Target="https://www.d20srd.org/srd/spells/removeFear.htm" TargetMode="External"/><Relationship Id="rId39" Type="http://schemas.openxmlformats.org/officeDocument/2006/relationships/hyperlink" Target="https://www.d20srd.org/srd/spells/summonMonsterI.htm" TargetMode="External"/><Relationship Id="rId38" Type="http://schemas.openxmlformats.org/officeDocument/2006/relationships/hyperlink" Target="https://www.d20srd.org/srd/spells/sleep.htm" TargetMode="External"/><Relationship Id="rId20" Type="http://schemas.openxmlformats.org/officeDocument/2006/relationships/hyperlink" Target="https://www.d20srd.org/srd/spells/charmPerson.htm" TargetMode="External"/><Relationship Id="rId22" Type="http://schemas.openxmlformats.org/officeDocument/2006/relationships/hyperlink" Target="https://www.d20srd.org/srd/spells/confusionLesser.htm" TargetMode="External"/><Relationship Id="rId21" Type="http://schemas.openxmlformats.org/officeDocument/2006/relationships/hyperlink" Target="https://www.d20srd.org/srd/spells/comprehendLanguages.htm" TargetMode="External"/><Relationship Id="rId24" Type="http://schemas.openxmlformats.org/officeDocument/2006/relationships/hyperlink" Target="https://www.d20srd.org/srd/spells/detectSecretDoors.htm" TargetMode="External"/><Relationship Id="rId23" Type="http://schemas.openxmlformats.org/officeDocument/2006/relationships/hyperlink" Target="https://www.d20srd.org/srd/spells/cureLightWounds.htm" TargetMode="External"/><Relationship Id="rId129" Type="http://schemas.openxmlformats.org/officeDocument/2006/relationships/hyperlink" Target="https://www.d20srd.org/srd/spells/cureLightWoundsMass.htm" TargetMode="External"/><Relationship Id="rId128" Type="http://schemas.openxmlformats.org/officeDocument/2006/relationships/hyperlink" Target="https://www.d20srd.org/srd/spells/zoneOfSilence.htm" TargetMode="External"/><Relationship Id="rId127" Type="http://schemas.openxmlformats.org/officeDocument/2006/relationships/hyperlink" Target="https://www.d20srd.org/srd/spells/summonMonsterIV.htm" TargetMode="External"/><Relationship Id="rId126" Type="http://schemas.openxmlformats.org/officeDocument/2006/relationships/hyperlink" Target="https://www.d20srd.org/srd/spells/speakWithPlants.htm" TargetMode="External"/><Relationship Id="rId26" Type="http://schemas.openxmlformats.org/officeDocument/2006/relationships/hyperlink" Target="https://www.d20srd.org/srd/spells/erase.htm" TargetMode="External"/><Relationship Id="rId121" Type="http://schemas.openxmlformats.org/officeDocument/2006/relationships/hyperlink" Target="https://www.d20srd.org/srd/spells/rainbowPattern.htm" TargetMode="External"/><Relationship Id="rId25" Type="http://schemas.openxmlformats.org/officeDocument/2006/relationships/hyperlink" Target="https://www.d20srd.org/srd/spells/disguiseSelf.htm" TargetMode="External"/><Relationship Id="rId120" Type="http://schemas.openxmlformats.org/officeDocument/2006/relationships/hyperlink" Target="https://www.d20srd.org/srd/spells/neutralizePoison.htm" TargetMode="External"/><Relationship Id="rId28" Type="http://schemas.openxmlformats.org/officeDocument/2006/relationships/hyperlink" Target="https://www.d20srd.org/srd/spells/featherFall.htm" TargetMode="External"/><Relationship Id="rId27" Type="http://schemas.openxmlformats.org/officeDocument/2006/relationships/hyperlink" Target="https://www.d20srd.org/srd/spells/expeditiousRetreat.htm" TargetMode="External"/><Relationship Id="rId125" Type="http://schemas.openxmlformats.org/officeDocument/2006/relationships/hyperlink" Target="https://www.d20srd.org/srd/spells/shout.htm" TargetMode="External"/><Relationship Id="rId29" Type="http://schemas.openxmlformats.org/officeDocument/2006/relationships/hyperlink" Target="https://www.d20srd.org/srd/spells/grease.htm" TargetMode="External"/><Relationship Id="rId124" Type="http://schemas.openxmlformats.org/officeDocument/2006/relationships/hyperlink" Target="https://www.d20srd.org/srd/spells/shadowConjuration.htm" TargetMode="External"/><Relationship Id="rId123" Type="http://schemas.openxmlformats.org/officeDocument/2006/relationships/hyperlink" Target="https://www.d20srd.org/srd/spells/secureShelter.htm" TargetMode="External"/><Relationship Id="rId122" Type="http://schemas.openxmlformats.org/officeDocument/2006/relationships/hyperlink" Target="https://www.d20srd.org/srd/spells/repelVermin.htm" TargetMode="External"/><Relationship Id="rId95" Type="http://schemas.openxmlformats.org/officeDocument/2006/relationships/hyperlink" Target="https://www.d20srd.org/srd/spells/invisibilitySphere.htm" TargetMode="External"/><Relationship Id="rId94" Type="http://schemas.openxmlformats.org/officeDocument/2006/relationships/hyperlink" Target="https://www.d20srd.org/srd/spells/illusoryScript.htm" TargetMode="External"/><Relationship Id="rId97" Type="http://schemas.openxmlformats.org/officeDocument/2006/relationships/hyperlink" Target="https://www.d20srd.org/srd/spells/phantomSteed.htm" TargetMode="External"/><Relationship Id="rId96" Type="http://schemas.openxmlformats.org/officeDocument/2006/relationships/hyperlink" Target="https://www.d20srd.org/srd/spells/majorImage.htm" TargetMode="External"/><Relationship Id="rId11" Type="http://schemas.openxmlformats.org/officeDocument/2006/relationships/hyperlink" Target="https://www.d20srd.org/srd/spells/message.htm" TargetMode="External"/><Relationship Id="rId99" Type="http://schemas.openxmlformats.org/officeDocument/2006/relationships/hyperlink" Target="https://www.d20srd.org/srd/spells/scrying.htm" TargetMode="External"/><Relationship Id="rId10" Type="http://schemas.openxmlformats.org/officeDocument/2006/relationships/hyperlink" Target="https://www.d20srd.org/srd/spells/mending.htm" TargetMode="External"/><Relationship Id="rId98" Type="http://schemas.openxmlformats.org/officeDocument/2006/relationships/hyperlink" Target="https://www.d20srd.org/srd/spells/removeCurse.htm" TargetMode="External"/><Relationship Id="rId13" Type="http://schemas.openxmlformats.org/officeDocument/2006/relationships/hyperlink" Target="https://www.d20srd.org/srd/spells/prestidigitation.htm" TargetMode="External"/><Relationship Id="rId12" Type="http://schemas.openxmlformats.org/officeDocument/2006/relationships/hyperlink" Target="https://www.d20srd.org/srd/spells/openClose.htm" TargetMode="External"/><Relationship Id="rId91" Type="http://schemas.openxmlformats.org/officeDocument/2006/relationships/hyperlink" Target="https://www.d20srd.org/srd/spells/glibness.htm" TargetMode="External"/><Relationship Id="rId90" Type="http://schemas.openxmlformats.org/officeDocument/2006/relationships/hyperlink" Target="https://www.d20srd.org/srd/spells/geasLesser.htm" TargetMode="External"/><Relationship Id="rId93" Type="http://schemas.openxmlformats.org/officeDocument/2006/relationships/hyperlink" Target="https://www.d20srd.org/srd/spells/haste.htm" TargetMode="External"/><Relationship Id="rId92" Type="http://schemas.openxmlformats.org/officeDocument/2006/relationships/hyperlink" Target="https://www.d20srd.org/srd/spells/goodHope.htm" TargetMode="External"/><Relationship Id="rId118" Type="http://schemas.openxmlformats.org/officeDocument/2006/relationships/hyperlink" Target="https://www.d20srd.org/srd/spells/locateCreature.htm" TargetMode="External"/><Relationship Id="rId117" Type="http://schemas.openxmlformats.org/officeDocument/2006/relationships/hyperlink" Target="https://www.d20srd.org/srd/spells/legendLore.htm" TargetMode="External"/><Relationship Id="rId116" Type="http://schemas.openxmlformats.org/officeDocument/2006/relationships/hyperlink" Target="https://www.d20srd.org/srd/spells/invisibilityGreater.htm" TargetMode="External"/><Relationship Id="rId115" Type="http://schemas.openxmlformats.org/officeDocument/2006/relationships/hyperlink" Target="https://www.d20srd.org/srd/spells/holdMonster.htm" TargetMode="External"/><Relationship Id="rId119" Type="http://schemas.openxmlformats.org/officeDocument/2006/relationships/hyperlink" Target="https://www.d20srd.org/srd/spells/modifyMemory.htm" TargetMode="External"/><Relationship Id="rId15" Type="http://schemas.openxmlformats.org/officeDocument/2006/relationships/hyperlink" Target="https://www.d20srd.org/srd/spells/resistance.htm" TargetMode="External"/><Relationship Id="rId110" Type="http://schemas.openxmlformats.org/officeDocument/2006/relationships/hyperlink" Target="https://www.d20srd.org/srd/spells/detectScrying.htm" TargetMode="External"/><Relationship Id="rId14" Type="http://schemas.openxmlformats.org/officeDocument/2006/relationships/hyperlink" Target="https://www.d20srd.org/srd/spells/readMagic.htm" TargetMode="External"/><Relationship Id="rId17" Type="http://schemas.openxmlformats.org/officeDocument/2006/relationships/hyperlink" Target="https://www.d20srd.org/srd/spells/alarm.htm" TargetMode="External"/><Relationship Id="rId16" Type="http://schemas.openxmlformats.org/officeDocument/2006/relationships/hyperlink" Target="https://www.d20srd.org/srd/spells/summonInstrument.htm" TargetMode="External"/><Relationship Id="rId19" Type="http://schemas.openxmlformats.org/officeDocument/2006/relationships/hyperlink" Target="https://www.d20srd.org/srd/spells/causeFear.htm" TargetMode="External"/><Relationship Id="rId114" Type="http://schemas.openxmlformats.org/officeDocument/2006/relationships/hyperlink" Target="https://www.d20srd.org/srd/spells/hallucinatoryTerrain.htm" TargetMode="External"/><Relationship Id="rId18" Type="http://schemas.openxmlformats.org/officeDocument/2006/relationships/hyperlink" Target="https://www.d20srd.org/srd/spells/animateRope.htm" TargetMode="External"/><Relationship Id="rId113" Type="http://schemas.openxmlformats.org/officeDocument/2006/relationships/hyperlink" Target="https://www.d20srd.org/srd/spells/freedomOfMovement.htm" TargetMode="External"/><Relationship Id="rId112" Type="http://schemas.openxmlformats.org/officeDocument/2006/relationships/hyperlink" Target="https://www.d20srd.org/srd/spells/dominatePerson.htm" TargetMode="External"/><Relationship Id="rId111" Type="http://schemas.openxmlformats.org/officeDocument/2006/relationships/hyperlink" Target="https://www.d20srd.org/srd/spells/dimensionDoor.htm" TargetMode="External"/><Relationship Id="rId84" Type="http://schemas.openxmlformats.org/officeDocument/2006/relationships/hyperlink" Target="https://www.d20srd.org/srd/spells/daylight.htm" TargetMode="External"/><Relationship Id="rId83" Type="http://schemas.openxmlformats.org/officeDocument/2006/relationships/hyperlink" Target="https://www.d20srd.org/srd/spells/cureSeriousWounds.htm" TargetMode="External"/><Relationship Id="rId86" Type="http://schemas.openxmlformats.org/officeDocument/2006/relationships/hyperlink" Target="https://www.d20srd.org/srd/spells/dispelMagic.htm" TargetMode="External"/><Relationship Id="rId85" Type="http://schemas.openxmlformats.org/officeDocument/2006/relationships/hyperlink" Target="https://www.d20srd.org/srd/spells/deepSlumber.htm" TargetMode="External"/><Relationship Id="rId88" Type="http://schemas.openxmlformats.org/officeDocument/2006/relationships/hyperlink" Target="https://www.d20srd.org/srd/spells/fear.htm" TargetMode="External"/><Relationship Id="rId150" Type="http://schemas.openxmlformats.org/officeDocument/2006/relationships/hyperlink" Target="https://www.d20srd.org/srd/spells/eaglesSplendorMass.htm" TargetMode="External"/><Relationship Id="rId87" Type="http://schemas.openxmlformats.org/officeDocument/2006/relationships/hyperlink" Target="https://www.d20srd.org/srd/spells/displacement.htm" TargetMode="External"/><Relationship Id="rId89" Type="http://schemas.openxmlformats.org/officeDocument/2006/relationships/hyperlink" Target="https://www.d20srd.org/srd/spells/gaseousForm.htm" TargetMode="External"/><Relationship Id="rId80" Type="http://schemas.openxmlformats.org/officeDocument/2006/relationships/hyperlink" Target="https://www.d20srd.org/srd/spells/clairaudienceClairvoyance.htm" TargetMode="External"/><Relationship Id="rId82" Type="http://schemas.openxmlformats.org/officeDocument/2006/relationships/hyperlink" Target="https://www.d20srd.org/srd/spells/crushingDespair.htm" TargetMode="External"/><Relationship Id="rId81" Type="http://schemas.openxmlformats.org/officeDocument/2006/relationships/hyperlink" Target="https://www.d20srd.org/srd/spells/confusion.htm" TargetMode="External"/><Relationship Id="rId1" Type="http://schemas.openxmlformats.org/officeDocument/2006/relationships/hyperlink" Target="https://www.d20srd.org/srd/spells/dancingLights.htm" TargetMode="External"/><Relationship Id="rId2" Type="http://schemas.openxmlformats.org/officeDocument/2006/relationships/hyperlink" Target="https://www.d20srd.org/srd/spells/daze.htm" TargetMode="External"/><Relationship Id="rId3" Type="http://schemas.openxmlformats.org/officeDocument/2006/relationships/hyperlink" Target="https://www.d20srd.org/srd/spells/detectMagic.htm" TargetMode="External"/><Relationship Id="rId149" Type="http://schemas.openxmlformats.org/officeDocument/2006/relationships/hyperlink" Target="https://www.d20srd.org/srd/spells/cureModerateWoundsMass.htm" TargetMode="External"/><Relationship Id="rId4" Type="http://schemas.openxmlformats.org/officeDocument/2006/relationships/hyperlink" Target="https://www.d20srd.org/srd/spells/flare.htm" TargetMode="External"/><Relationship Id="rId148" Type="http://schemas.openxmlformats.org/officeDocument/2006/relationships/hyperlink" Target="https://www.d20srd.org/srd/spells/charmMonsterMass.htm" TargetMode="External"/><Relationship Id="rId9" Type="http://schemas.openxmlformats.org/officeDocument/2006/relationships/hyperlink" Target="https://www.d20srd.org/srd/spells/mageHand.htm" TargetMode="External"/><Relationship Id="rId143" Type="http://schemas.openxmlformats.org/officeDocument/2006/relationships/hyperlink" Target="https://www.d20srd.org/srd/spells/suggestionMass.htm" TargetMode="External"/><Relationship Id="rId142" Type="http://schemas.openxmlformats.org/officeDocument/2006/relationships/hyperlink" Target="https://www.d20srd.org/srd/spells/songOfDiscord.htm" TargetMode="External"/><Relationship Id="rId141" Type="http://schemas.openxmlformats.org/officeDocument/2006/relationships/hyperlink" Target="https://www.d20srd.org/srd/spells/shadowWalk.htm" TargetMode="External"/><Relationship Id="rId140" Type="http://schemas.openxmlformats.org/officeDocument/2006/relationships/hyperlink" Target="https://www.d20srd.org/srd/spells/shadowEvocation.htm" TargetMode="External"/><Relationship Id="rId5" Type="http://schemas.openxmlformats.org/officeDocument/2006/relationships/hyperlink" Target="https://www.d20srd.org/srd/spells/ghostSound.htm" TargetMode="External"/><Relationship Id="rId147" Type="http://schemas.openxmlformats.org/officeDocument/2006/relationships/hyperlink" Target="https://www.d20srd.org/srd/spells/catsGraceMass.htm" TargetMode="External"/><Relationship Id="rId6" Type="http://schemas.openxmlformats.org/officeDocument/2006/relationships/hyperlink" Target="https://www.d20srd.org/srd/spells/knowDirection.htm" TargetMode="External"/><Relationship Id="rId146" Type="http://schemas.openxmlformats.org/officeDocument/2006/relationships/hyperlink" Target="https://www.d20srd.org/srd/spells/animateObjects.htm" TargetMode="External"/><Relationship Id="rId7" Type="http://schemas.openxmlformats.org/officeDocument/2006/relationships/hyperlink" Target="https://www.d20srd.org/srd/spells/light.htm" TargetMode="External"/><Relationship Id="rId145" Type="http://schemas.openxmlformats.org/officeDocument/2006/relationships/hyperlink" Target="https://www.d20srd.org/srd/spells/analyzeDweomer.htm" TargetMode="External"/><Relationship Id="rId8" Type="http://schemas.openxmlformats.org/officeDocument/2006/relationships/hyperlink" Target="https://www.d20srd.org/srd/spells/lullaby.htm" TargetMode="External"/><Relationship Id="rId144" Type="http://schemas.openxmlformats.org/officeDocument/2006/relationships/hyperlink" Target="https://www.d20srd.org/srd/spells/summonMonsterV.htm" TargetMode="External"/><Relationship Id="rId73" Type="http://schemas.openxmlformats.org/officeDocument/2006/relationships/hyperlink" Target="https://www.d20srd.org/srd/spells/suggestion.htm" TargetMode="External"/><Relationship Id="rId72" Type="http://schemas.openxmlformats.org/officeDocument/2006/relationships/hyperlink" Target="https://www.d20srd.org/srd/spells/soundBurst.htm" TargetMode="External"/><Relationship Id="rId75" Type="http://schemas.openxmlformats.org/officeDocument/2006/relationships/hyperlink" Target="https://www.d20srd.org/srd/spells/summonSwarm.htm" TargetMode="External"/><Relationship Id="rId74" Type="http://schemas.openxmlformats.org/officeDocument/2006/relationships/hyperlink" Target="https://www.d20srd.org/srd/spells/summonMonsterII.htm" TargetMode="External"/><Relationship Id="rId77" Type="http://schemas.openxmlformats.org/officeDocument/2006/relationships/hyperlink" Target="https://www.d20srd.org/srd/spells/whisperingWind.htm" TargetMode="External"/><Relationship Id="rId76" Type="http://schemas.openxmlformats.org/officeDocument/2006/relationships/hyperlink" Target="https://www.d20srd.org/srd/spells/tongues.htm" TargetMode="External"/><Relationship Id="rId79" Type="http://schemas.openxmlformats.org/officeDocument/2006/relationships/hyperlink" Target="https://www.d20srd.org/srd/spells/charmMonster.htm" TargetMode="External"/><Relationship Id="rId78" Type="http://schemas.openxmlformats.org/officeDocument/2006/relationships/hyperlink" Target="https://www.d20srd.org/srd/spells/blink.htm" TargetMode="External"/><Relationship Id="rId71" Type="http://schemas.openxmlformats.org/officeDocument/2006/relationships/hyperlink" Target="https://www.d20srd.org/srd/spells/silence.htm" TargetMode="External"/><Relationship Id="rId70" Type="http://schemas.openxmlformats.org/officeDocument/2006/relationships/hyperlink" Target="https://www.d20srd.org/srd/spells/shatter.htm" TargetMode="External"/><Relationship Id="rId139" Type="http://schemas.openxmlformats.org/officeDocument/2006/relationships/hyperlink" Target="https://www.d20srd.org/srd/spells/seeming.htm" TargetMode="External"/><Relationship Id="rId138" Type="http://schemas.openxmlformats.org/officeDocument/2006/relationships/hyperlink" Target="https://www.d20srd.org/srd/spells/persistentImage.htm" TargetMode="External"/><Relationship Id="rId137" Type="http://schemas.openxmlformats.org/officeDocument/2006/relationships/hyperlink" Target="https://www.d20srd.org/srd/spells/nightmare.htm" TargetMode="External"/><Relationship Id="rId132" Type="http://schemas.openxmlformats.org/officeDocument/2006/relationships/hyperlink" Target="https://www.d20srd.org/srd/spells/falseVision.htm" TargetMode="External"/><Relationship Id="rId131" Type="http://schemas.openxmlformats.org/officeDocument/2006/relationships/hyperlink" Target="https://www.d20srd.org/srd/spells/dream.htm" TargetMode="External"/><Relationship Id="rId130" Type="http://schemas.openxmlformats.org/officeDocument/2006/relationships/hyperlink" Target="https://www.d20srd.org/srd/spells/dispelMagicGreater.htm" TargetMode="External"/><Relationship Id="rId136" Type="http://schemas.openxmlformats.org/officeDocument/2006/relationships/hyperlink" Target="https://www.d20srd.org/srd/spells/mislead.htm" TargetMode="External"/><Relationship Id="rId135" Type="http://schemas.openxmlformats.org/officeDocument/2006/relationships/hyperlink" Target="https://www.d20srd.org/srd/spells/mirageArcana.htm" TargetMode="External"/><Relationship Id="rId134" Type="http://schemas.openxmlformats.org/officeDocument/2006/relationships/hyperlink" Target="https://www.d20srd.org/srd/spells/mindFog.htm" TargetMode="External"/><Relationship Id="rId133" Type="http://schemas.openxmlformats.org/officeDocument/2006/relationships/hyperlink" Target="https://www.d20srd.org/srd/spells/heroismGreater.htm" TargetMode="External"/><Relationship Id="rId62" Type="http://schemas.openxmlformats.org/officeDocument/2006/relationships/hyperlink" Target="https://www.d20srd.org/srd/spells/invisibility.htm" TargetMode="External"/><Relationship Id="rId61" Type="http://schemas.openxmlformats.org/officeDocument/2006/relationships/hyperlink" Target="https://www.d20srd.org/srd/spells/hypnoticPattern.htm" TargetMode="External"/><Relationship Id="rId64" Type="http://schemas.openxmlformats.org/officeDocument/2006/relationships/hyperlink" Target="https://www.d20srd.org/srd/spells/minorImage.htm" TargetMode="External"/><Relationship Id="rId63" Type="http://schemas.openxmlformats.org/officeDocument/2006/relationships/hyperlink" Target="https://www.d20srd.org/srd/spells/locateObject.htm" TargetMode="External"/><Relationship Id="rId66" Type="http://schemas.openxmlformats.org/officeDocument/2006/relationships/hyperlink" Target="https://www.d20srd.org/srd/spells/misdirection.htm" TargetMode="External"/><Relationship Id="rId65" Type="http://schemas.openxmlformats.org/officeDocument/2006/relationships/hyperlink" Target="https://www.d20srd.org/srd/spells/mirrorImage.htm" TargetMode="External"/><Relationship Id="rId68" Type="http://schemas.openxmlformats.org/officeDocument/2006/relationships/hyperlink" Target="https://www.d20srd.org/srd/spells/rage.htm" TargetMode="External"/><Relationship Id="rId67" Type="http://schemas.openxmlformats.org/officeDocument/2006/relationships/hyperlink" Target="https://www.d20srd.org/srd/spells/pyrotechnics.htm" TargetMode="External"/><Relationship Id="rId60" Type="http://schemas.openxmlformats.org/officeDocument/2006/relationships/hyperlink" Target="https://www.d20srd.org/srd/spells/holdPerson.htm" TargetMode="External"/><Relationship Id="rId165" Type="http://schemas.openxmlformats.org/officeDocument/2006/relationships/drawing" Target="../drawings/drawing3.xml"/><Relationship Id="rId69" Type="http://schemas.openxmlformats.org/officeDocument/2006/relationships/hyperlink" Target="https://www.d20srd.org/srd/spells/scare.htm" TargetMode="External"/><Relationship Id="rId164" Type="http://schemas.openxmlformats.org/officeDocument/2006/relationships/hyperlink" Target="https://www.d20srd.org/srd/spells/veil.htm" TargetMode="External"/><Relationship Id="rId163" Type="http://schemas.openxmlformats.org/officeDocument/2006/relationships/hyperlink" Target="https://www.d20srd.org/srd/spells/sympatheticVibration.htm" TargetMode="External"/><Relationship Id="rId162" Type="http://schemas.openxmlformats.org/officeDocument/2006/relationships/hyperlink" Target="https://www.d20srd.org/srd/spells/summonMonsterVI.htm" TargetMode="External"/><Relationship Id="rId51" Type="http://schemas.openxmlformats.org/officeDocument/2006/relationships/hyperlink" Target="https://www.d20srd.org/srd/spells/darkness.htm" TargetMode="External"/><Relationship Id="rId50" Type="http://schemas.openxmlformats.org/officeDocument/2006/relationships/hyperlink" Target="https://www.d20srd.org/srd/spells/cureModerateWounds.htm" TargetMode="External"/><Relationship Id="rId53" Type="http://schemas.openxmlformats.org/officeDocument/2006/relationships/hyperlink" Target="https://www.d20srd.org/srd/spells/delayPoison.htm" TargetMode="External"/><Relationship Id="rId52" Type="http://schemas.openxmlformats.org/officeDocument/2006/relationships/hyperlink" Target="https://www.d20srd.org/srd/spells/dazeMonster.htm" TargetMode="External"/><Relationship Id="rId55" Type="http://schemas.openxmlformats.org/officeDocument/2006/relationships/hyperlink" Target="https://www.d20srd.org/srd/spells/eaglesSplendor.htm" TargetMode="External"/><Relationship Id="rId161" Type="http://schemas.openxmlformats.org/officeDocument/2006/relationships/hyperlink" Target="https://www.d20srd.org/srd/spells/shoutGreater.htm" TargetMode="External"/><Relationship Id="rId54" Type="http://schemas.openxmlformats.org/officeDocument/2006/relationships/hyperlink" Target="https://www.d20srd.org/srd/spells/detectThoughts.htm" TargetMode="External"/><Relationship Id="rId160" Type="http://schemas.openxmlformats.org/officeDocument/2006/relationships/hyperlink" Target="https://www.d20srd.org/srd/spells/scryingGreater.htm" TargetMode="External"/><Relationship Id="rId57" Type="http://schemas.openxmlformats.org/officeDocument/2006/relationships/hyperlink" Target="https://www.d20srd.org/srd/spells/foxsCunning.htm" TargetMode="External"/><Relationship Id="rId56" Type="http://schemas.openxmlformats.org/officeDocument/2006/relationships/hyperlink" Target="https://www.d20srd.org/srd/spells/enthrall.htm" TargetMode="External"/><Relationship Id="rId159" Type="http://schemas.openxmlformats.org/officeDocument/2006/relationships/hyperlink" Target="https://www.d20srd.org/srd/spells/projectImage.htm" TargetMode="External"/><Relationship Id="rId59" Type="http://schemas.openxmlformats.org/officeDocument/2006/relationships/hyperlink" Target="https://www.d20srd.org/srd/spells/heroism.htm" TargetMode="External"/><Relationship Id="rId154" Type="http://schemas.openxmlformats.org/officeDocument/2006/relationships/hyperlink" Target="https://www.d20srd.org/srd/spells/geasQuest.htm" TargetMode="External"/><Relationship Id="rId58" Type="http://schemas.openxmlformats.org/officeDocument/2006/relationships/hyperlink" Target="https://www.d20srd.org/srd/spells/glitterdust.htm" TargetMode="External"/><Relationship Id="rId153" Type="http://schemas.openxmlformats.org/officeDocument/2006/relationships/hyperlink" Target="https://www.d20srd.org/srd/spells/foxsCunningMass.htm" TargetMode="External"/><Relationship Id="rId152" Type="http://schemas.openxmlformats.org/officeDocument/2006/relationships/hyperlink" Target="https://www.d20srd.org/srd/spells/findThePath.htm" TargetMode="External"/><Relationship Id="rId151" Type="http://schemas.openxmlformats.org/officeDocument/2006/relationships/hyperlink" Target="https://www.d20srd.org/srd/spells/eyebite.htm" TargetMode="External"/><Relationship Id="rId158" Type="http://schemas.openxmlformats.org/officeDocument/2006/relationships/hyperlink" Target="https://www.d20srd.org/srd/spells/programmedImage.htm" TargetMode="External"/><Relationship Id="rId157" Type="http://schemas.openxmlformats.org/officeDocument/2006/relationships/hyperlink" Target="https://www.d20srd.org/srd/spells/permanentImage.htm" TargetMode="External"/><Relationship Id="rId156" Type="http://schemas.openxmlformats.org/officeDocument/2006/relationships/hyperlink" Target="https://www.d20srd.org/srd/spells/irresistibleDance.htm" TargetMode="External"/><Relationship Id="rId155" Type="http://schemas.openxmlformats.org/officeDocument/2006/relationships/hyperlink" Target="https://www.d20srd.org/srd/spells/heroesFeast.ht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tr">
        <f>"Close: "&amp;25+(5*FLOOR(Level/2,1)) &amp;" ft"</f>
        <v>Close: 35 ft</v>
      </c>
    </row>
    <row r="4">
      <c r="B4" s="1" t="str">
        <f>"Medium: "&amp;100+(10*Level) &amp;" ft"</f>
        <v>Medium: 140 ft</v>
      </c>
    </row>
    <row r="5">
      <c r="B5" s="1" t="str">
        <f>"Long: "&amp; 400+40*Level &amp; " ft"</f>
        <v>Long: 560 ft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4.43" defaultRowHeight="15.75"/>
  <cols>
    <col customWidth="1" min="1" max="1" width="1.29"/>
    <col customWidth="1" min="2" max="2" width="27.29"/>
    <col customWidth="1" min="3" max="3" width="21.57"/>
    <col customWidth="1" min="4" max="4" width="18.14"/>
    <col customWidth="1" min="5" max="5" width="3.14"/>
    <col customWidth="1" min="6" max="6" width="10.43"/>
    <col customWidth="1" min="7" max="7" width="3.14"/>
    <col customWidth="1" min="8" max="8" width="11.57"/>
    <col customWidth="1" min="9" max="9" width="3.0"/>
    <col customWidth="1" min="10" max="10" width="7.29"/>
    <col customWidth="1" min="11" max="11" width="8.43"/>
    <col customWidth="1" min="12" max="12" width="6.57"/>
    <col customWidth="1" min="13" max="13" width="7.86"/>
    <col customWidth="1" min="14" max="15" width="14.43"/>
    <col customWidth="1" min="16" max="16" width="11.57"/>
    <col customWidth="1" min="17" max="17" width="8.29"/>
    <col customWidth="1" min="18" max="18" width="10.0"/>
    <col customWidth="1" min="19" max="19" width="7.14"/>
    <col customWidth="1" min="20" max="20" width="8.86"/>
    <col customWidth="1" min="21" max="21" width="9.57"/>
    <col customWidth="1" min="22" max="23" width="7.29"/>
    <col customWidth="1" min="24" max="24" width="4.86"/>
    <col customWidth="1" min="25" max="25" width="14.43"/>
    <col customWidth="1" min="26" max="26" width="7.43"/>
    <col customWidth="1" min="27" max="27" width="1.29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3" t="s">
        <v>0</v>
      </c>
      <c r="C2" s="4"/>
      <c r="D2" s="5"/>
      <c r="E2" s="2"/>
      <c r="F2" s="6" t="s">
        <v>1</v>
      </c>
      <c r="G2" s="2"/>
      <c r="H2" s="7" t="s">
        <v>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8" t="s">
        <v>3</v>
      </c>
      <c r="C3" s="9"/>
      <c r="D3" s="5"/>
      <c r="E3" s="2"/>
      <c r="F3" s="10">
        <v>4.0</v>
      </c>
      <c r="G3" s="11"/>
      <c r="H3" s="12">
        <v>2.0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13" t="s">
        <v>4</v>
      </c>
      <c r="C4" s="4"/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8" t="s">
        <v>5</v>
      </c>
      <c r="C5" s="9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13" t="s">
        <v>6</v>
      </c>
      <c r="C6" s="4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8" t="s">
        <v>7</v>
      </c>
      <c r="C7" s="9"/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3" t="s">
        <v>8</v>
      </c>
      <c r="C8" s="4"/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8" t="s">
        <v>9</v>
      </c>
      <c r="C9" s="9"/>
      <c r="D9" s="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5" t="s">
        <v>10</v>
      </c>
      <c r="W11" s="16"/>
      <c r="X11" s="6" t="str">
        <f>SUM(Z13:Z18)&amp;"/"&amp;dget(base_spells,"0th",F2:F3)</f>
        <v>0/3</v>
      </c>
      <c r="Y11" s="6" t="s">
        <v>11</v>
      </c>
      <c r="Z11" s="6">
        <f>dget(known_spells,"0th",F2:F3)</f>
        <v>6</v>
      </c>
      <c r="AA11" s="17"/>
    </row>
    <row r="12">
      <c r="A12" s="2"/>
      <c r="B12" s="18" t="s">
        <v>12</v>
      </c>
      <c r="C12" s="18" t="s">
        <v>13</v>
      </c>
      <c r="D12" s="19" t="s">
        <v>14</v>
      </c>
      <c r="E12" s="20"/>
      <c r="F12" s="19" t="s">
        <v>15</v>
      </c>
      <c r="G12" s="20"/>
      <c r="H12" s="19" t="s">
        <v>16</v>
      </c>
      <c r="I12" s="20"/>
      <c r="J12" s="19" t="s">
        <v>17</v>
      </c>
      <c r="K12" s="20"/>
      <c r="L12" s="19" t="s">
        <v>18</v>
      </c>
      <c r="M12" s="20"/>
      <c r="N12" s="19" t="s">
        <v>19</v>
      </c>
      <c r="O12" s="20"/>
      <c r="P12" s="19" t="s">
        <v>20</v>
      </c>
      <c r="Q12" s="20"/>
      <c r="R12" s="19" t="s">
        <v>21</v>
      </c>
      <c r="S12" s="20"/>
      <c r="T12" s="19" t="s">
        <v>22</v>
      </c>
      <c r="U12" s="20"/>
      <c r="V12" s="19" t="s">
        <v>23</v>
      </c>
      <c r="W12" s="9"/>
      <c r="X12" s="9"/>
      <c r="Y12" s="20"/>
      <c r="Z12" s="18" t="s">
        <v>10</v>
      </c>
      <c r="AA12" s="21"/>
    </row>
    <row r="13">
      <c r="A13" s="2"/>
      <c r="B13" s="22"/>
      <c r="C13" s="22"/>
      <c r="D13" s="23" t="str">
        <f t="shared" ref="D13:D18" si="1">indirect("Dupe!D"&amp;ROW())</f>
        <v/>
      </c>
      <c r="E13" s="16"/>
      <c r="F13" s="24" t="str">
        <f t="shared" ref="F13:F18" si="2">indirect("Dupe!F"&amp;ROW())</f>
        <v/>
      </c>
      <c r="G13" s="16"/>
      <c r="H13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" s="16"/>
      <c r="J13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3" s="16"/>
      <c r="L13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" s="16"/>
      <c r="N13" s="24" t="str">
        <f>IFERROR(__xludf.DUMMYFUNCTION("indirect(""Dupe!N""&amp;row())&amp;if(regexmatch(indirect(""C""&amp;row()),""Widen""),""
Widened
Any numeric measurements of the spell’s area increase by 100%"","""")"),"")</f>
        <v/>
      </c>
      <c r="O13" s="16"/>
      <c r="P13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" s="16"/>
      <c r="R13" s="24" t="str">
        <f t="shared" ref="R13:R18" si="3">indirect("Dupe!R"&amp;row())</f>
        <v/>
      </c>
      <c r="S13" s="16"/>
      <c r="T13" s="24" t="str">
        <f t="shared" ref="T13:T18" si="4">indirect("Dupe!T"&amp;row())</f>
        <v/>
      </c>
      <c r="U13" s="16"/>
      <c r="V13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" s="4"/>
      <c r="X13" s="4"/>
      <c r="Y13" s="16"/>
      <c r="Z13" s="27"/>
      <c r="AA13" s="21"/>
    </row>
    <row r="14">
      <c r="A14" s="2"/>
      <c r="B14" s="28"/>
      <c r="C14" s="28"/>
      <c r="D14" s="29" t="str">
        <f t="shared" si="1"/>
        <v/>
      </c>
      <c r="E14" s="20"/>
      <c r="F14" s="30" t="str">
        <f t="shared" si="2"/>
        <v/>
      </c>
      <c r="G14" s="20"/>
      <c r="H14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" s="20"/>
      <c r="J14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4" s="20"/>
      <c r="L14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" s="20"/>
      <c r="N14" s="30" t="str">
        <f>IFERROR(__xludf.DUMMYFUNCTION("indirect(""Dupe!N""&amp;row())&amp;if(regexmatch(indirect(""C""&amp;row()),""Widen""),""
Widened
Any numeric measurements of the spell’s area increase by 100%"","""")"),"")</f>
        <v/>
      </c>
      <c r="O14" s="20"/>
      <c r="P14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" s="20"/>
      <c r="R14" s="30" t="str">
        <f t="shared" si="3"/>
        <v/>
      </c>
      <c r="S14" s="20"/>
      <c r="T14" s="30" t="str">
        <f t="shared" si="4"/>
        <v/>
      </c>
      <c r="U14" s="20"/>
      <c r="V14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" s="9"/>
      <c r="X14" s="9"/>
      <c r="Y14" s="20"/>
      <c r="Z14" s="33"/>
      <c r="AA14" s="21"/>
    </row>
    <row r="15">
      <c r="A15" s="2"/>
      <c r="B15" s="22"/>
      <c r="C15" s="22"/>
      <c r="D15" s="23" t="str">
        <f t="shared" si="1"/>
        <v/>
      </c>
      <c r="E15" s="16"/>
      <c r="F15" s="24" t="str">
        <f t="shared" si="2"/>
        <v/>
      </c>
      <c r="G15" s="16"/>
      <c r="H15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" s="16"/>
      <c r="J15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5" s="16"/>
      <c r="L15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" s="16"/>
      <c r="N15" s="24" t="str">
        <f>IFERROR(__xludf.DUMMYFUNCTION("indirect(""Dupe!N""&amp;row())&amp;if(regexmatch(indirect(""C""&amp;row()),""Widen""),""
Widened
Any numeric measurements of the spell’s area increase by 100%"","""")"),"")</f>
        <v/>
      </c>
      <c r="O15" s="16"/>
      <c r="P15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" s="16"/>
      <c r="R15" s="24" t="str">
        <f t="shared" si="3"/>
        <v/>
      </c>
      <c r="S15" s="16"/>
      <c r="T15" s="24" t="str">
        <f t="shared" si="4"/>
        <v/>
      </c>
      <c r="U15" s="16"/>
      <c r="V15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" s="4"/>
      <c r="X15" s="4"/>
      <c r="Y15" s="16"/>
      <c r="Z15" s="27"/>
      <c r="AA15" s="34"/>
    </row>
    <row r="16">
      <c r="A16" s="2"/>
      <c r="B16" s="35"/>
      <c r="C16" s="35"/>
      <c r="D16" s="29" t="str">
        <f t="shared" si="1"/>
        <v/>
      </c>
      <c r="E16" s="20"/>
      <c r="F16" s="30" t="str">
        <f t="shared" si="2"/>
        <v/>
      </c>
      <c r="G16" s="20"/>
      <c r="H16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" s="20"/>
      <c r="J16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6" s="20"/>
      <c r="L16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" s="20"/>
      <c r="N16" s="30" t="str">
        <f>IFERROR(__xludf.DUMMYFUNCTION("indirect(""Dupe!N""&amp;row())&amp;if(regexmatch(indirect(""C""&amp;row()),""Widen""),""
Widened
Any numeric measurements of the spell’s area increase by 100%"","""")"),"")</f>
        <v/>
      </c>
      <c r="O16" s="20"/>
      <c r="P16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" s="20"/>
      <c r="R16" s="30" t="str">
        <f t="shared" si="3"/>
        <v/>
      </c>
      <c r="S16" s="20"/>
      <c r="T16" s="30" t="str">
        <f t="shared" si="4"/>
        <v/>
      </c>
      <c r="U16" s="20"/>
      <c r="V16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" s="9"/>
      <c r="X16" s="9"/>
      <c r="Y16" s="20"/>
      <c r="Z16" s="33"/>
      <c r="AA16" s="36"/>
    </row>
    <row r="17">
      <c r="A17" s="2"/>
      <c r="B17" s="37"/>
      <c r="C17" s="37"/>
      <c r="D17" s="23" t="str">
        <f t="shared" si="1"/>
        <v/>
      </c>
      <c r="E17" s="16"/>
      <c r="F17" s="24" t="str">
        <f t="shared" si="2"/>
        <v/>
      </c>
      <c r="G17" s="16"/>
      <c r="H17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7" s="16"/>
      <c r="J17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7" s="16"/>
      <c r="L17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7" s="16"/>
      <c r="N17" s="24" t="str">
        <f>IFERROR(__xludf.DUMMYFUNCTION("indirect(""Dupe!N""&amp;row())&amp;if(regexmatch(indirect(""C""&amp;row()),""Widen""),""
Widened
Any numeric measurements of the spell’s area increase by 100%"","""")"),"")</f>
        <v/>
      </c>
      <c r="O17" s="16"/>
      <c r="P17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7" s="16"/>
      <c r="R17" s="24" t="str">
        <f t="shared" si="3"/>
        <v/>
      </c>
      <c r="S17" s="16"/>
      <c r="T17" s="24" t="str">
        <f t="shared" si="4"/>
        <v/>
      </c>
      <c r="U17" s="16"/>
      <c r="V17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7" s="4"/>
      <c r="X17" s="4"/>
      <c r="Y17" s="16"/>
      <c r="Z17" s="27"/>
      <c r="AA17" s="36"/>
    </row>
    <row r="18">
      <c r="A18" s="2"/>
      <c r="B18" s="35"/>
      <c r="C18" s="35"/>
      <c r="D18" s="29" t="str">
        <f t="shared" si="1"/>
        <v/>
      </c>
      <c r="E18" s="20"/>
      <c r="F18" s="30" t="str">
        <f t="shared" si="2"/>
        <v/>
      </c>
      <c r="G18" s="20"/>
      <c r="H18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8" s="20"/>
      <c r="J18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8" s="20"/>
      <c r="L18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8" s="20"/>
      <c r="N18" s="30" t="str">
        <f>IFERROR(__xludf.DUMMYFUNCTION("indirect(""Dupe!N""&amp;row())&amp;if(regexmatch(indirect(""C""&amp;row()),""Widen""),""
Widened
Any numeric measurements of the spell’s area increase by 100%"","""")"),"")</f>
        <v/>
      </c>
      <c r="O18" s="20"/>
      <c r="P18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8" s="20"/>
      <c r="R18" s="30" t="str">
        <f t="shared" si="3"/>
        <v/>
      </c>
      <c r="S18" s="20"/>
      <c r="T18" s="30" t="str">
        <f t="shared" si="4"/>
        <v/>
      </c>
      <c r="U18" s="20"/>
      <c r="V18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8" s="9"/>
      <c r="X18" s="9"/>
      <c r="Y18" s="20"/>
      <c r="Z18" s="33"/>
      <c r="AA18" s="36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14" t="s">
        <v>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5" t="s">
        <v>10</v>
      </c>
      <c r="W20" s="4"/>
      <c r="X20" s="6" t="str">
        <f>SUM(Z22:Z35)&amp;"/"&amp;IF(not(isblank(dget(base_spells,"1st",$F$2:$F$3))),dget(base_spells,"1st",$F$2:$F$3)+dget(bonus_spells,"1st",$H$2:$H$3),0)</f>
        <v>0/3</v>
      </c>
      <c r="Y20" s="6" t="s">
        <v>11</v>
      </c>
      <c r="Z20" s="6">
        <f>if(dget(known_spells,"1st",$F$2:$F$3)=2,if(dget(bonus_spells,"1st",$H$2:$H$3)&gt;0,dget(known_spells,"1st",$F$2:$F$3),""),dget(known_spells,"1st",$F$2:$F$3))</f>
        <v>3</v>
      </c>
    </row>
    <row r="21">
      <c r="A21" s="2"/>
      <c r="B21" s="18" t="s">
        <v>12</v>
      </c>
      <c r="C21" s="18" t="s">
        <v>13</v>
      </c>
      <c r="D21" s="19" t="s">
        <v>14</v>
      </c>
      <c r="E21" s="20"/>
      <c r="F21" s="19" t="s">
        <v>15</v>
      </c>
      <c r="G21" s="20"/>
      <c r="H21" s="19" t="s">
        <v>16</v>
      </c>
      <c r="I21" s="20"/>
      <c r="J21" s="19" t="s">
        <v>17</v>
      </c>
      <c r="K21" s="20"/>
      <c r="L21" s="19" t="s">
        <v>18</v>
      </c>
      <c r="M21" s="20"/>
      <c r="N21" s="19" t="s">
        <v>19</v>
      </c>
      <c r="O21" s="20"/>
      <c r="P21" s="19" t="s">
        <v>20</v>
      </c>
      <c r="Q21" s="20"/>
      <c r="R21" s="19" t="s">
        <v>21</v>
      </c>
      <c r="S21" s="20"/>
      <c r="T21" s="19" t="s">
        <v>22</v>
      </c>
      <c r="U21" s="20"/>
      <c r="V21" s="19" t="s">
        <v>23</v>
      </c>
      <c r="W21" s="9"/>
      <c r="X21" s="9"/>
      <c r="Y21" s="20"/>
      <c r="Z21" s="18" t="s">
        <v>10</v>
      </c>
    </row>
    <row r="22">
      <c r="A22" s="2"/>
      <c r="B22" s="22"/>
      <c r="C22" s="22"/>
      <c r="D22" s="23" t="str">
        <f t="shared" ref="D22:D35" si="5">indirect("Dupe!D"&amp;ROW())</f>
        <v/>
      </c>
      <c r="E22" s="16"/>
      <c r="F22" s="24" t="str">
        <f t="shared" ref="F22:F35" si="6">indirect("Dupe!F"&amp;ROW())</f>
        <v/>
      </c>
      <c r="G22" s="16"/>
      <c r="H22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2" s="16"/>
      <c r="J2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22" s="16"/>
      <c r="L22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2" s="16"/>
      <c r="N22" s="24" t="str">
        <f>IFERROR(__xludf.DUMMYFUNCTION("indirect(""Dupe!N""&amp;row())&amp;if(regexmatch(indirect(""C""&amp;row()),""Widen""),""
Widened
Any numeric measurements of the spell’s area increase by 100%"","""")"),"")</f>
        <v/>
      </c>
      <c r="O22" s="16"/>
      <c r="P22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2" s="16"/>
      <c r="R22" s="24" t="str">
        <f t="shared" ref="R22:R35" si="7">indirect("Dupe!R"&amp;row())</f>
        <v/>
      </c>
      <c r="S22" s="16"/>
      <c r="T22" s="24" t="str">
        <f t="shared" ref="T22:T35" si="8">indirect("Dupe!T"&amp;row())</f>
        <v/>
      </c>
      <c r="U22" s="16"/>
      <c r="V22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2" s="4"/>
      <c r="X22" s="4"/>
      <c r="Y22" s="16"/>
      <c r="Z22" s="27"/>
    </row>
    <row r="23">
      <c r="A23" s="2"/>
      <c r="B23" s="38"/>
      <c r="C23" s="38"/>
      <c r="D23" s="29" t="str">
        <f t="shared" si="5"/>
        <v/>
      </c>
      <c r="E23" s="20"/>
      <c r="F23" s="30" t="str">
        <f t="shared" si="6"/>
        <v/>
      </c>
      <c r="G23" s="20"/>
      <c r="H23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3" s="20"/>
      <c r="J2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23" s="20"/>
      <c r="L23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3" s="20"/>
      <c r="N23" s="30" t="str">
        <f>IFERROR(__xludf.DUMMYFUNCTION("indirect(""Dupe!N""&amp;row())&amp;if(regexmatch(indirect(""C""&amp;row()),""Widen""),""
Widened
Any numeric measurements of the spell’s area increase by 100%"","""")"),"")</f>
        <v/>
      </c>
      <c r="O23" s="20"/>
      <c r="P23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3" s="20"/>
      <c r="R23" s="30" t="str">
        <f t="shared" si="7"/>
        <v/>
      </c>
      <c r="S23" s="20"/>
      <c r="T23" s="30" t="str">
        <f t="shared" si="8"/>
        <v/>
      </c>
      <c r="U23" s="20"/>
      <c r="V23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3" s="9"/>
      <c r="X23" s="9"/>
      <c r="Y23" s="20"/>
      <c r="Z23" s="33"/>
    </row>
    <row r="24">
      <c r="A24" s="2"/>
      <c r="B24" s="22"/>
      <c r="C24" s="22"/>
      <c r="D24" s="23" t="str">
        <f t="shared" si="5"/>
        <v/>
      </c>
      <c r="E24" s="16"/>
      <c r="F24" s="24" t="str">
        <f t="shared" si="6"/>
        <v/>
      </c>
      <c r="G24" s="16"/>
      <c r="H24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4" s="16"/>
      <c r="J2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24" s="16"/>
      <c r="L24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4" s="16"/>
      <c r="N24" s="24" t="str">
        <f>IFERROR(__xludf.DUMMYFUNCTION("indirect(""Dupe!N""&amp;row())&amp;if(regexmatch(indirect(""C""&amp;row()),""Widen""),""
Widened
Any numeric measurements of the spell’s area increase by 100%"","""")"),"")</f>
        <v/>
      </c>
      <c r="O24" s="16"/>
      <c r="P24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4" s="16"/>
      <c r="R24" s="24" t="str">
        <f t="shared" si="7"/>
        <v/>
      </c>
      <c r="S24" s="16"/>
      <c r="T24" s="24" t="str">
        <f t="shared" si="8"/>
        <v/>
      </c>
      <c r="U24" s="16"/>
      <c r="V24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4" s="4"/>
      <c r="X24" s="4"/>
      <c r="Y24" s="16"/>
      <c r="Z24" s="27"/>
    </row>
    <row r="25">
      <c r="A25" s="2"/>
      <c r="B25" s="38"/>
      <c r="C25" s="38"/>
      <c r="D25" s="29" t="str">
        <f t="shared" si="5"/>
        <v/>
      </c>
      <c r="E25" s="20"/>
      <c r="F25" s="30" t="str">
        <f t="shared" si="6"/>
        <v/>
      </c>
      <c r="G25" s="20"/>
      <c r="H25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5" s="20"/>
      <c r="J2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25" s="20"/>
      <c r="L25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5" s="20"/>
      <c r="N25" s="30" t="str">
        <f>IFERROR(__xludf.DUMMYFUNCTION("indirect(""Dupe!N""&amp;row())&amp;if(regexmatch(indirect(""C""&amp;row()),""Widen""),""
Widened
Any numeric measurements of the spell’s area increase by 100%"","""")"),"")</f>
        <v/>
      </c>
      <c r="O25" s="20"/>
      <c r="P25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5" s="20"/>
      <c r="R25" s="30" t="str">
        <f t="shared" si="7"/>
        <v/>
      </c>
      <c r="S25" s="20"/>
      <c r="T25" s="30" t="str">
        <f t="shared" si="8"/>
        <v/>
      </c>
      <c r="U25" s="20"/>
      <c r="V25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5" s="9"/>
      <c r="X25" s="9"/>
      <c r="Y25" s="20"/>
      <c r="Z25" s="33"/>
    </row>
    <row r="26">
      <c r="A26" s="2"/>
      <c r="B26" s="22"/>
      <c r="C26" s="22"/>
      <c r="D26" s="23" t="str">
        <f t="shared" si="5"/>
        <v/>
      </c>
      <c r="E26" s="16"/>
      <c r="F26" s="24" t="str">
        <f t="shared" si="6"/>
        <v/>
      </c>
      <c r="G26" s="16"/>
      <c r="H26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6" s="16"/>
      <c r="J2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26" s="16"/>
      <c r="L26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6" s="16"/>
      <c r="N26" s="24" t="str">
        <f>IFERROR(__xludf.DUMMYFUNCTION("indirect(""Dupe!N""&amp;row())&amp;if(regexmatch(indirect(""C""&amp;row()),""Widen""),""
Widened
Any numeric measurements of the spell’s area increase by 100%"","""")"),"")</f>
        <v/>
      </c>
      <c r="O26" s="16"/>
      <c r="P26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6" s="16"/>
      <c r="R26" s="24" t="str">
        <f t="shared" si="7"/>
        <v/>
      </c>
      <c r="S26" s="16"/>
      <c r="T26" s="24" t="str">
        <f t="shared" si="8"/>
        <v/>
      </c>
      <c r="U26" s="16"/>
      <c r="V26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6" s="4"/>
      <c r="X26" s="4"/>
      <c r="Y26" s="16"/>
      <c r="Z26" s="27"/>
    </row>
    <row r="27">
      <c r="A27" s="2"/>
      <c r="B27" s="38"/>
      <c r="C27" s="38"/>
      <c r="D27" s="29" t="str">
        <f t="shared" si="5"/>
        <v/>
      </c>
      <c r="E27" s="20"/>
      <c r="F27" s="30" t="str">
        <f t="shared" si="6"/>
        <v/>
      </c>
      <c r="G27" s="20"/>
      <c r="H27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7" s="20"/>
      <c r="J2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27" s="20"/>
      <c r="L27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7" s="20"/>
      <c r="N27" s="30" t="str">
        <f>IFERROR(__xludf.DUMMYFUNCTION("indirect(""Dupe!N""&amp;row())&amp;if(regexmatch(indirect(""C""&amp;row()),""Widen""),""
Widened
Any numeric measurements of the spell’s area increase by 100%"","""")"),"")</f>
        <v/>
      </c>
      <c r="O27" s="20"/>
      <c r="P27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7" s="20"/>
      <c r="R27" s="30" t="str">
        <f t="shared" si="7"/>
        <v/>
      </c>
      <c r="S27" s="20"/>
      <c r="T27" s="30" t="str">
        <f t="shared" si="8"/>
        <v/>
      </c>
      <c r="U27" s="20"/>
      <c r="V27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7" s="9"/>
      <c r="X27" s="9"/>
      <c r="Y27" s="20"/>
      <c r="Z27" s="33"/>
    </row>
    <row r="28">
      <c r="A28" s="2"/>
      <c r="B28" s="22"/>
      <c r="C28" s="22"/>
      <c r="D28" s="23" t="str">
        <f t="shared" si="5"/>
        <v/>
      </c>
      <c r="E28" s="16"/>
      <c r="F28" s="24" t="str">
        <f t="shared" si="6"/>
        <v/>
      </c>
      <c r="G28" s="16"/>
      <c r="H28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8" s="16"/>
      <c r="J2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28" s="16"/>
      <c r="L28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8" s="16"/>
      <c r="N28" s="24" t="str">
        <f>IFERROR(__xludf.DUMMYFUNCTION("indirect(""Dupe!N""&amp;row())&amp;if(regexmatch(indirect(""C""&amp;row()),""Widen""),""
Widened
Any numeric measurements of the spell’s area increase by 100%"","""")"),"")</f>
        <v/>
      </c>
      <c r="O28" s="16"/>
      <c r="P28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8" s="16"/>
      <c r="R28" s="24" t="str">
        <f t="shared" si="7"/>
        <v/>
      </c>
      <c r="S28" s="16"/>
      <c r="T28" s="24" t="str">
        <f t="shared" si="8"/>
        <v/>
      </c>
      <c r="U28" s="16"/>
      <c r="V28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8" s="4"/>
      <c r="X28" s="4"/>
      <c r="Y28" s="16"/>
      <c r="Z28" s="27"/>
    </row>
    <row r="29">
      <c r="A29" s="2"/>
      <c r="B29" s="38"/>
      <c r="C29" s="38"/>
      <c r="D29" s="29" t="str">
        <f t="shared" si="5"/>
        <v/>
      </c>
      <c r="E29" s="20"/>
      <c r="F29" s="30" t="str">
        <f t="shared" si="6"/>
        <v/>
      </c>
      <c r="G29" s="20"/>
      <c r="H29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9" s="20"/>
      <c r="J2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29" s="20"/>
      <c r="L29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9" s="20"/>
      <c r="N29" s="30" t="str">
        <f>IFERROR(__xludf.DUMMYFUNCTION("indirect(""Dupe!N""&amp;row())&amp;if(regexmatch(indirect(""C""&amp;row()),""Widen""),""
Widened
Any numeric measurements of the spell’s area increase by 100%"","""")"),"")</f>
        <v/>
      </c>
      <c r="O29" s="20"/>
      <c r="P29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9" s="20"/>
      <c r="R29" s="30" t="str">
        <f t="shared" si="7"/>
        <v/>
      </c>
      <c r="S29" s="20"/>
      <c r="T29" s="30" t="str">
        <f t="shared" si="8"/>
        <v/>
      </c>
      <c r="U29" s="20"/>
      <c r="V29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9" s="9"/>
      <c r="X29" s="9"/>
      <c r="Y29" s="20"/>
      <c r="Z29" s="33"/>
    </row>
    <row r="30">
      <c r="A30" s="2"/>
      <c r="B30" s="22"/>
      <c r="C30" s="22"/>
      <c r="D30" s="23" t="str">
        <f t="shared" si="5"/>
        <v/>
      </c>
      <c r="E30" s="16"/>
      <c r="F30" s="24" t="str">
        <f t="shared" si="6"/>
        <v/>
      </c>
      <c r="G30" s="16"/>
      <c r="H30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0" s="16"/>
      <c r="J3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30" s="16"/>
      <c r="L30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0" s="16"/>
      <c r="N30" s="24" t="str">
        <f>IFERROR(__xludf.DUMMYFUNCTION("indirect(""Dupe!N""&amp;row())&amp;if(regexmatch(indirect(""C""&amp;row()),""Widen""),""
Widened
Any numeric measurements of the spell’s area increase by 100%"","""")"),"")</f>
        <v/>
      </c>
      <c r="O30" s="16"/>
      <c r="P30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0" s="16"/>
      <c r="R30" s="24" t="str">
        <f t="shared" si="7"/>
        <v/>
      </c>
      <c r="S30" s="16"/>
      <c r="T30" s="24" t="str">
        <f t="shared" si="8"/>
        <v/>
      </c>
      <c r="U30" s="16"/>
      <c r="V30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0" s="4"/>
      <c r="X30" s="4"/>
      <c r="Y30" s="16"/>
      <c r="Z30" s="27"/>
    </row>
    <row r="31">
      <c r="A31" s="2"/>
      <c r="B31" s="38"/>
      <c r="C31" s="38"/>
      <c r="D31" s="29" t="str">
        <f t="shared" si="5"/>
        <v/>
      </c>
      <c r="E31" s="20"/>
      <c r="F31" s="30" t="str">
        <f t="shared" si="6"/>
        <v/>
      </c>
      <c r="G31" s="20"/>
      <c r="H31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1" s="20"/>
      <c r="J3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31" s="20"/>
      <c r="L31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1" s="20"/>
      <c r="N31" s="30" t="str">
        <f>IFERROR(__xludf.DUMMYFUNCTION("indirect(""Dupe!N""&amp;row())&amp;if(regexmatch(indirect(""C""&amp;row()),""Widen""),""
Widened
Any numeric measurements of the spell’s area increase by 100%"","""")"),"")</f>
        <v/>
      </c>
      <c r="O31" s="20"/>
      <c r="P31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1" s="20"/>
      <c r="R31" s="30" t="str">
        <f t="shared" si="7"/>
        <v/>
      </c>
      <c r="S31" s="20"/>
      <c r="T31" s="30" t="str">
        <f t="shared" si="8"/>
        <v/>
      </c>
      <c r="U31" s="20"/>
      <c r="V31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1" s="9"/>
      <c r="X31" s="9"/>
      <c r="Y31" s="20"/>
      <c r="Z31" s="33"/>
    </row>
    <row r="32">
      <c r="A32" s="2"/>
      <c r="B32" s="22"/>
      <c r="C32" s="22"/>
      <c r="D32" s="23" t="str">
        <f t="shared" si="5"/>
        <v/>
      </c>
      <c r="E32" s="16"/>
      <c r="F32" s="24" t="str">
        <f t="shared" si="6"/>
        <v/>
      </c>
      <c r="G32" s="16"/>
      <c r="H32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2" s="16"/>
      <c r="J3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32" s="16"/>
      <c r="L32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2" s="16"/>
      <c r="N32" s="24" t="str">
        <f>IFERROR(__xludf.DUMMYFUNCTION("indirect(""Dupe!N""&amp;row())&amp;if(regexmatch(indirect(""C""&amp;row()),""Widen""),""
Widened
Any numeric measurements of the spell’s area increase by 100%"","""")"),"")</f>
        <v/>
      </c>
      <c r="O32" s="16"/>
      <c r="P32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2" s="16"/>
      <c r="R32" s="24" t="str">
        <f t="shared" si="7"/>
        <v/>
      </c>
      <c r="S32" s="16"/>
      <c r="T32" s="24" t="str">
        <f t="shared" si="8"/>
        <v/>
      </c>
      <c r="U32" s="16"/>
      <c r="V32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2" s="4"/>
      <c r="X32" s="4"/>
      <c r="Y32" s="16"/>
      <c r="Z32" s="27"/>
    </row>
    <row r="33">
      <c r="A33" s="2"/>
      <c r="B33" s="38"/>
      <c r="C33" s="38"/>
      <c r="D33" s="29" t="str">
        <f t="shared" si="5"/>
        <v/>
      </c>
      <c r="E33" s="20"/>
      <c r="F33" s="30" t="str">
        <f t="shared" si="6"/>
        <v/>
      </c>
      <c r="G33" s="20"/>
      <c r="H33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3" s="20"/>
      <c r="J3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33" s="20"/>
      <c r="L33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3" s="20"/>
      <c r="N33" s="30" t="str">
        <f>IFERROR(__xludf.DUMMYFUNCTION("indirect(""Dupe!N""&amp;row())&amp;if(regexmatch(indirect(""C""&amp;row()),""Widen""),""
Widened
Any numeric measurements of the spell’s area increase by 100%"","""")"),"")</f>
        <v/>
      </c>
      <c r="O33" s="20"/>
      <c r="P33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3" s="20"/>
      <c r="R33" s="30" t="str">
        <f t="shared" si="7"/>
        <v/>
      </c>
      <c r="S33" s="20"/>
      <c r="T33" s="30" t="str">
        <f t="shared" si="8"/>
        <v/>
      </c>
      <c r="U33" s="20"/>
      <c r="V33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3" s="9"/>
      <c r="X33" s="9"/>
      <c r="Y33" s="20"/>
      <c r="Z33" s="33"/>
    </row>
    <row r="34">
      <c r="A34" s="2"/>
      <c r="B34" s="22"/>
      <c r="C34" s="22"/>
      <c r="D34" s="23" t="str">
        <f t="shared" si="5"/>
        <v/>
      </c>
      <c r="E34" s="16"/>
      <c r="F34" s="24" t="str">
        <f t="shared" si="6"/>
        <v/>
      </c>
      <c r="G34" s="16"/>
      <c r="H34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4" s="16"/>
      <c r="J3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34" s="16"/>
      <c r="L34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4" s="16"/>
      <c r="N34" s="24" t="str">
        <f>IFERROR(__xludf.DUMMYFUNCTION("indirect(""Dupe!N""&amp;row())&amp;if(regexmatch(indirect(""C""&amp;row()),""Widen""),""
Widened
Any numeric measurements of the spell’s area increase by 100%"","""")"),"")</f>
        <v/>
      </c>
      <c r="O34" s="16"/>
      <c r="P34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4" s="16"/>
      <c r="R34" s="24" t="str">
        <f t="shared" si="7"/>
        <v/>
      </c>
      <c r="S34" s="16"/>
      <c r="T34" s="24" t="str">
        <f t="shared" si="8"/>
        <v/>
      </c>
      <c r="U34" s="16"/>
      <c r="V34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4" s="4"/>
      <c r="X34" s="4"/>
      <c r="Y34" s="16"/>
      <c r="Z34" s="27"/>
    </row>
    <row r="35">
      <c r="A35" s="2"/>
      <c r="B35" s="38"/>
      <c r="C35" s="38"/>
      <c r="D35" s="29" t="str">
        <f t="shared" si="5"/>
        <v/>
      </c>
      <c r="E35" s="20"/>
      <c r="F35" s="30" t="str">
        <f t="shared" si="6"/>
        <v/>
      </c>
      <c r="G35" s="20"/>
      <c r="H35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5" s="20"/>
      <c r="J3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35" s="20"/>
      <c r="L35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5" s="20"/>
      <c r="N35" s="30" t="str">
        <f>IFERROR(__xludf.DUMMYFUNCTION("indirect(""Dupe!N""&amp;row())&amp;if(regexmatch(indirect(""C""&amp;row()),""Widen""),""
Widened
Any numeric measurements of the spell’s area increase by 100%"","""")"),"")</f>
        <v/>
      </c>
      <c r="O35" s="20"/>
      <c r="P35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5" s="20"/>
      <c r="R35" s="30" t="str">
        <f t="shared" si="7"/>
        <v/>
      </c>
      <c r="S35" s="20"/>
      <c r="T35" s="30" t="str">
        <f t="shared" si="8"/>
        <v/>
      </c>
      <c r="U35" s="20"/>
      <c r="V35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5" s="9"/>
      <c r="X35" s="9"/>
      <c r="Y35" s="20"/>
      <c r="Z35" s="33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14" t="s">
        <v>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5" t="s">
        <v>10</v>
      </c>
      <c r="W37" s="4"/>
      <c r="X37" s="6" t="str">
        <f>SUM(Z39:Z51)&amp;"/"&amp;IF(not(isblank(dget(base_spells,"2nd",$F$2:$F$3))),dget(base_spells,"2nd",$F$2:$F$3)+dget(bonus_spells,"2nd",$H$2:$H$3),0)</f>
        <v>0/1</v>
      </c>
      <c r="Y37" s="6" t="s">
        <v>11</v>
      </c>
      <c r="Z37" s="6">
        <f>if(dget(known_spells,"2nd",$F$2:$F$3)=2,if(dget(bonus_spells,"2nd",$H$2:$H$3)&gt;0,dget(known_spells,"2nd",$F$2:$F$3),""),dget(known_spells,"2nd",$F$2:$F$3))</f>
        <v>2</v>
      </c>
    </row>
    <row r="38">
      <c r="A38" s="2"/>
      <c r="B38" s="18" t="s">
        <v>12</v>
      </c>
      <c r="C38" s="18" t="s">
        <v>13</v>
      </c>
      <c r="D38" s="19" t="s">
        <v>14</v>
      </c>
      <c r="E38" s="20"/>
      <c r="F38" s="19" t="s">
        <v>15</v>
      </c>
      <c r="G38" s="20"/>
      <c r="H38" s="19" t="s">
        <v>16</v>
      </c>
      <c r="I38" s="20"/>
      <c r="J38" s="19" t="s">
        <v>17</v>
      </c>
      <c r="K38" s="20"/>
      <c r="L38" s="19" t="s">
        <v>18</v>
      </c>
      <c r="M38" s="20"/>
      <c r="N38" s="19" t="s">
        <v>19</v>
      </c>
      <c r="O38" s="20"/>
      <c r="P38" s="19" t="s">
        <v>20</v>
      </c>
      <c r="Q38" s="20"/>
      <c r="R38" s="19" t="s">
        <v>21</v>
      </c>
      <c r="S38" s="20"/>
      <c r="T38" s="19" t="s">
        <v>22</v>
      </c>
      <c r="U38" s="20"/>
      <c r="V38" s="19" t="s">
        <v>23</v>
      </c>
      <c r="W38" s="9"/>
      <c r="X38" s="9"/>
      <c r="Y38" s="20"/>
      <c r="Z38" s="18" t="s">
        <v>10</v>
      </c>
    </row>
    <row r="39">
      <c r="A39" s="2"/>
      <c r="B39" s="22"/>
      <c r="C39" s="22"/>
      <c r="D39" s="23" t="str">
        <f t="shared" ref="D39:D51" si="9">indirect("Dupe!D"&amp;ROW())</f>
        <v/>
      </c>
      <c r="E39" s="16"/>
      <c r="F39" s="24" t="str">
        <f t="shared" ref="F39:F51" si="10">indirect("Dupe!F"&amp;ROW())</f>
        <v/>
      </c>
      <c r="G39" s="16"/>
      <c r="H39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9" s="16"/>
      <c r="J39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39" s="16"/>
      <c r="L39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9" s="16"/>
      <c r="N39" s="24" t="str">
        <f>IFERROR(__xludf.DUMMYFUNCTION("indirect(""Dupe!N""&amp;row())&amp;if(regexmatch(indirect(""C""&amp;row()),""Widen""),""
Widened
Any numeric measurements of the spell’s area increase by 100%"","""")"),"")</f>
        <v/>
      </c>
      <c r="O39" s="16"/>
      <c r="P39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9" s="16"/>
      <c r="R39" s="24" t="str">
        <f t="shared" ref="R39:R51" si="11">indirect("Dupe!R"&amp;row())</f>
        <v/>
      </c>
      <c r="S39" s="16"/>
      <c r="T39" s="24" t="str">
        <f t="shared" ref="T39:T51" si="12">indirect("Dupe!T"&amp;row())</f>
        <v/>
      </c>
      <c r="U39" s="16"/>
      <c r="V39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9" s="4"/>
      <c r="X39" s="4"/>
      <c r="Y39" s="16"/>
      <c r="Z39" s="27"/>
    </row>
    <row r="40">
      <c r="A40" s="2"/>
      <c r="B40" s="38"/>
      <c r="C40" s="38"/>
      <c r="D40" s="29" t="str">
        <f t="shared" si="9"/>
        <v/>
      </c>
      <c r="E40" s="20"/>
      <c r="F40" s="30" t="str">
        <f t="shared" si="10"/>
        <v/>
      </c>
      <c r="G40" s="20"/>
      <c r="H40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0" s="20"/>
      <c r="J40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40" s="20"/>
      <c r="L40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0" s="20"/>
      <c r="N40" s="30" t="str">
        <f>IFERROR(__xludf.DUMMYFUNCTION("indirect(""Dupe!N""&amp;row())&amp;if(regexmatch(indirect(""C""&amp;row()),""Widen""),""
Widened
Any numeric measurements of the spell’s area increase by 100%"","""")"),"")</f>
        <v/>
      </c>
      <c r="O40" s="20"/>
      <c r="P40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0" s="20"/>
      <c r="R40" s="30" t="str">
        <f t="shared" si="11"/>
        <v/>
      </c>
      <c r="S40" s="20"/>
      <c r="T40" s="30" t="str">
        <f t="shared" si="12"/>
        <v/>
      </c>
      <c r="U40" s="20"/>
      <c r="V40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0" s="9"/>
      <c r="X40" s="9"/>
      <c r="Y40" s="20"/>
      <c r="Z40" s="33"/>
    </row>
    <row r="41">
      <c r="A41" s="2"/>
      <c r="B41" s="22"/>
      <c r="C41" s="22"/>
      <c r="D41" s="23" t="str">
        <f t="shared" si="9"/>
        <v/>
      </c>
      <c r="E41" s="16"/>
      <c r="F41" s="24" t="str">
        <f t="shared" si="10"/>
        <v/>
      </c>
      <c r="G41" s="16"/>
      <c r="H41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1" s="16"/>
      <c r="J41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41" s="16"/>
      <c r="L41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1" s="16"/>
      <c r="N41" s="24" t="str">
        <f>IFERROR(__xludf.DUMMYFUNCTION("indirect(""Dupe!N""&amp;row())&amp;if(regexmatch(indirect(""C""&amp;row()),""Widen""),""
Widened
Any numeric measurements of the spell’s area increase by 100%"","""")"),"")</f>
        <v/>
      </c>
      <c r="O41" s="16"/>
      <c r="P41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1" s="16"/>
      <c r="R41" s="24" t="str">
        <f t="shared" si="11"/>
        <v/>
      </c>
      <c r="S41" s="16"/>
      <c r="T41" s="24" t="str">
        <f t="shared" si="12"/>
        <v/>
      </c>
      <c r="U41" s="16"/>
      <c r="V41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1" s="4"/>
      <c r="X41" s="4"/>
      <c r="Y41" s="16"/>
      <c r="Z41" s="27"/>
    </row>
    <row r="42">
      <c r="A42" s="2"/>
      <c r="B42" s="38"/>
      <c r="C42" s="38"/>
      <c r="D42" s="29" t="str">
        <f t="shared" si="9"/>
        <v/>
      </c>
      <c r="E42" s="20"/>
      <c r="F42" s="30" t="str">
        <f t="shared" si="10"/>
        <v/>
      </c>
      <c r="G42" s="20"/>
      <c r="H42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2" s="20"/>
      <c r="J42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42" s="20"/>
      <c r="L42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2" s="20"/>
      <c r="N42" s="30" t="str">
        <f>IFERROR(__xludf.DUMMYFUNCTION("indirect(""Dupe!N""&amp;row())&amp;if(regexmatch(indirect(""C""&amp;row()),""Widen""),""
Widened
Any numeric measurements of the spell’s area increase by 100%"","""")"),"")</f>
        <v/>
      </c>
      <c r="O42" s="20"/>
      <c r="P42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2" s="20"/>
      <c r="R42" s="30" t="str">
        <f t="shared" si="11"/>
        <v/>
      </c>
      <c r="S42" s="20"/>
      <c r="T42" s="30" t="str">
        <f t="shared" si="12"/>
        <v/>
      </c>
      <c r="U42" s="20"/>
      <c r="V42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2" s="9"/>
      <c r="X42" s="9"/>
      <c r="Y42" s="20"/>
      <c r="Z42" s="33"/>
    </row>
    <row r="43">
      <c r="A43" s="2"/>
      <c r="B43" s="22"/>
      <c r="C43" s="22"/>
      <c r="D43" s="23" t="str">
        <f t="shared" si="9"/>
        <v/>
      </c>
      <c r="E43" s="16"/>
      <c r="F43" s="24" t="str">
        <f t="shared" si="10"/>
        <v/>
      </c>
      <c r="G43" s="16"/>
      <c r="H43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3" s="16"/>
      <c r="J43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43" s="16"/>
      <c r="L43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3" s="16"/>
      <c r="N43" s="24" t="str">
        <f>IFERROR(__xludf.DUMMYFUNCTION("indirect(""Dupe!N""&amp;row())&amp;if(regexmatch(indirect(""C""&amp;row()),""Widen""),""
Widened
Any numeric measurements of the spell’s area increase by 100%"","""")"),"")</f>
        <v/>
      </c>
      <c r="O43" s="16"/>
      <c r="P43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3" s="16"/>
      <c r="R43" s="24" t="str">
        <f t="shared" si="11"/>
        <v/>
      </c>
      <c r="S43" s="16"/>
      <c r="T43" s="24" t="str">
        <f t="shared" si="12"/>
        <v/>
      </c>
      <c r="U43" s="16"/>
      <c r="V43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3" s="4"/>
      <c r="X43" s="4"/>
      <c r="Y43" s="16"/>
      <c r="Z43" s="27"/>
    </row>
    <row r="44">
      <c r="A44" s="2"/>
      <c r="B44" s="38"/>
      <c r="C44" s="38"/>
      <c r="D44" s="29" t="str">
        <f t="shared" si="9"/>
        <v/>
      </c>
      <c r="E44" s="20"/>
      <c r="F44" s="30" t="str">
        <f t="shared" si="10"/>
        <v/>
      </c>
      <c r="G44" s="20"/>
      <c r="H44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4" s="20"/>
      <c r="J44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44" s="20"/>
      <c r="L44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4" s="20"/>
      <c r="N44" s="30" t="str">
        <f>IFERROR(__xludf.DUMMYFUNCTION("indirect(""Dupe!N""&amp;row())&amp;if(regexmatch(indirect(""C""&amp;row()),""Widen""),""
Widened
Any numeric measurements of the spell’s area increase by 100%"","""")"),"")</f>
        <v/>
      </c>
      <c r="O44" s="20"/>
      <c r="P44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4" s="20"/>
      <c r="R44" s="30" t="str">
        <f t="shared" si="11"/>
        <v/>
      </c>
      <c r="S44" s="20"/>
      <c r="T44" s="30" t="str">
        <f t="shared" si="12"/>
        <v/>
      </c>
      <c r="U44" s="20"/>
      <c r="V44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4" s="9"/>
      <c r="X44" s="9"/>
      <c r="Y44" s="20"/>
      <c r="Z44" s="33"/>
    </row>
    <row r="45">
      <c r="A45" s="2"/>
      <c r="B45" s="22"/>
      <c r="C45" s="22"/>
      <c r="D45" s="23" t="str">
        <f t="shared" si="9"/>
        <v/>
      </c>
      <c r="E45" s="16"/>
      <c r="F45" s="24" t="str">
        <f t="shared" si="10"/>
        <v/>
      </c>
      <c r="G45" s="16"/>
      <c r="H45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5" s="16"/>
      <c r="J45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45" s="16"/>
      <c r="L45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5" s="16"/>
      <c r="N45" s="24" t="str">
        <f>IFERROR(__xludf.DUMMYFUNCTION("indirect(""Dupe!N""&amp;row())&amp;if(regexmatch(indirect(""C""&amp;row()),""Widen""),""
Widened
Any numeric measurements of the spell’s area increase by 100%"","""")"),"")</f>
        <v/>
      </c>
      <c r="O45" s="16"/>
      <c r="P45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5" s="16"/>
      <c r="R45" s="24" t="str">
        <f t="shared" si="11"/>
        <v/>
      </c>
      <c r="S45" s="16"/>
      <c r="T45" s="24" t="str">
        <f t="shared" si="12"/>
        <v/>
      </c>
      <c r="U45" s="16"/>
      <c r="V45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5" s="4"/>
      <c r="X45" s="4"/>
      <c r="Y45" s="16"/>
      <c r="Z45" s="27"/>
    </row>
    <row r="46">
      <c r="A46" s="2"/>
      <c r="B46" s="38"/>
      <c r="C46" s="38"/>
      <c r="D46" s="29" t="str">
        <f t="shared" si="9"/>
        <v/>
      </c>
      <c r="E46" s="20"/>
      <c r="F46" s="30" t="str">
        <f t="shared" si="10"/>
        <v/>
      </c>
      <c r="G46" s="20"/>
      <c r="H46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6" s="20"/>
      <c r="J46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46" s="20"/>
      <c r="L46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6" s="20"/>
      <c r="N46" s="30" t="str">
        <f>IFERROR(__xludf.DUMMYFUNCTION("indirect(""Dupe!N""&amp;row())&amp;if(regexmatch(indirect(""C""&amp;row()),""Widen""),""
Widened
Any numeric measurements of the spell’s area increase by 100%"","""")"),"")</f>
        <v/>
      </c>
      <c r="O46" s="20"/>
      <c r="P46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6" s="20"/>
      <c r="R46" s="30" t="str">
        <f t="shared" si="11"/>
        <v/>
      </c>
      <c r="S46" s="20"/>
      <c r="T46" s="30" t="str">
        <f t="shared" si="12"/>
        <v/>
      </c>
      <c r="U46" s="20"/>
      <c r="V46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6" s="9"/>
      <c r="X46" s="9"/>
      <c r="Y46" s="20"/>
      <c r="Z46" s="33"/>
    </row>
    <row r="47">
      <c r="A47" s="2"/>
      <c r="B47" s="22"/>
      <c r="C47" s="22"/>
      <c r="D47" s="23" t="str">
        <f t="shared" si="9"/>
        <v/>
      </c>
      <c r="E47" s="16"/>
      <c r="F47" s="24" t="str">
        <f t="shared" si="10"/>
        <v/>
      </c>
      <c r="G47" s="16"/>
      <c r="H47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7" s="16"/>
      <c r="J47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47" s="16"/>
      <c r="L47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7" s="16"/>
      <c r="N47" s="24" t="str">
        <f>IFERROR(__xludf.DUMMYFUNCTION("indirect(""Dupe!N""&amp;row())&amp;if(regexmatch(indirect(""C""&amp;row()),""Widen""),""
Widened
Any numeric measurements of the spell’s area increase by 100%"","""")"),"")</f>
        <v/>
      </c>
      <c r="O47" s="16"/>
      <c r="P47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7" s="16"/>
      <c r="R47" s="24" t="str">
        <f t="shared" si="11"/>
        <v/>
      </c>
      <c r="S47" s="16"/>
      <c r="T47" s="24" t="str">
        <f t="shared" si="12"/>
        <v/>
      </c>
      <c r="U47" s="16"/>
      <c r="V47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7" s="4"/>
      <c r="X47" s="4"/>
      <c r="Y47" s="16"/>
      <c r="Z47" s="27"/>
    </row>
    <row r="48">
      <c r="A48" s="2"/>
      <c r="B48" s="38"/>
      <c r="C48" s="38"/>
      <c r="D48" s="29" t="str">
        <f t="shared" si="9"/>
        <v/>
      </c>
      <c r="E48" s="20"/>
      <c r="F48" s="30" t="str">
        <f t="shared" si="10"/>
        <v/>
      </c>
      <c r="G48" s="20"/>
      <c r="H48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8" s="20"/>
      <c r="J48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48" s="20"/>
      <c r="L48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8" s="20"/>
      <c r="N48" s="30" t="str">
        <f>IFERROR(__xludf.DUMMYFUNCTION("indirect(""Dupe!N""&amp;row())&amp;if(regexmatch(indirect(""C""&amp;row()),""Widen""),""
Widened
Any numeric measurements of the spell’s area increase by 100%"","""")"),"")</f>
        <v/>
      </c>
      <c r="O48" s="20"/>
      <c r="P48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8" s="20"/>
      <c r="R48" s="30" t="str">
        <f t="shared" si="11"/>
        <v/>
      </c>
      <c r="S48" s="20"/>
      <c r="T48" s="30" t="str">
        <f t="shared" si="12"/>
        <v/>
      </c>
      <c r="U48" s="20"/>
      <c r="V48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8" s="9"/>
      <c r="X48" s="9"/>
      <c r="Y48" s="20"/>
      <c r="Z48" s="33"/>
    </row>
    <row r="49">
      <c r="A49" s="2"/>
      <c r="B49" s="22"/>
      <c r="C49" s="22"/>
      <c r="D49" s="23" t="str">
        <f t="shared" si="9"/>
        <v/>
      </c>
      <c r="E49" s="16"/>
      <c r="F49" s="24" t="str">
        <f t="shared" si="10"/>
        <v/>
      </c>
      <c r="G49" s="16"/>
      <c r="H49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9" s="16"/>
      <c r="J49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49" s="16"/>
      <c r="L49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9" s="16"/>
      <c r="N49" s="24" t="str">
        <f>IFERROR(__xludf.DUMMYFUNCTION("indirect(""Dupe!N""&amp;row())&amp;if(regexmatch(indirect(""C""&amp;row()),""Widen""),""
Widened
Any numeric measurements of the spell’s area increase by 100%"","""")"),"")</f>
        <v/>
      </c>
      <c r="O49" s="16"/>
      <c r="P49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9" s="16"/>
      <c r="R49" s="24" t="str">
        <f t="shared" si="11"/>
        <v/>
      </c>
      <c r="S49" s="16"/>
      <c r="T49" s="24" t="str">
        <f t="shared" si="12"/>
        <v/>
      </c>
      <c r="U49" s="16"/>
      <c r="V49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9" s="4"/>
      <c r="X49" s="4"/>
      <c r="Y49" s="16"/>
      <c r="Z49" s="27"/>
    </row>
    <row r="50">
      <c r="A50" s="2"/>
      <c r="B50" s="38"/>
      <c r="C50" s="38"/>
      <c r="D50" s="29" t="str">
        <f t="shared" si="9"/>
        <v/>
      </c>
      <c r="E50" s="20"/>
      <c r="F50" s="30" t="str">
        <f t="shared" si="10"/>
        <v/>
      </c>
      <c r="G50" s="20"/>
      <c r="H50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0" s="20"/>
      <c r="J50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50" s="20"/>
      <c r="L50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0" s="20"/>
      <c r="N50" s="30" t="str">
        <f>IFERROR(__xludf.DUMMYFUNCTION("indirect(""Dupe!N""&amp;row())&amp;if(regexmatch(indirect(""C""&amp;row()),""Widen""),""
Widened
Any numeric measurements of the spell’s area increase by 100%"","""")"),"")</f>
        <v/>
      </c>
      <c r="O50" s="20"/>
      <c r="P50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0" s="20"/>
      <c r="R50" s="30" t="str">
        <f t="shared" si="11"/>
        <v/>
      </c>
      <c r="S50" s="20"/>
      <c r="T50" s="30" t="str">
        <f t="shared" si="12"/>
        <v/>
      </c>
      <c r="U50" s="20"/>
      <c r="V50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0" s="9"/>
      <c r="X50" s="9"/>
      <c r="Y50" s="20"/>
      <c r="Z50" s="33"/>
    </row>
    <row r="51">
      <c r="A51" s="2"/>
      <c r="B51" s="22"/>
      <c r="C51" s="22"/>
      <c r="D51" s="23" t="str">
        <f t="shared" si="9"/>
        <v/>
      </c>
      <c r="E51" s="16"/>
      <c r="F51" s="24" t="str">
        <f t="shared" si="10"/>
        <v/>
      </c>
      <c r="G51" s="16"/>
      <c r="H51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1" s="16"/>
      <c r="J51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51" s="16"/>
      <c r="L51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1" s="16"/>
      <c r="N51" s="24" t="str">
        <f>IFERROR(__xludf.DUMMYFUNCTION("indirect(""Dupe!N""&amp;row())&amp;if(regexmatch(indirect(""C""&amp;row()),""Widen""),""
Widened
Any numeric measurements of the spell’s area increase by 100%"","""")"),"")</f>
        <v/>
      </c>
      <c r="O51" s="16"/>
      <c r="P51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1" s="16"/>
      <c r="R51" s="24" t="str">
        <f t="shared" si="11"/>
        <v/>
      </c>
      <c r="S51" s="16"/>
      <c r="T51" s="24" t="str">
        <f t="shared" si="12"/>
        <v/>
      </c>
      <c r="U51" s="16"/>
      <c r="V51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1" s="4"/>
      <c r="X51" s="4"/>
      <c r="Y51" s="16"/>
      <c r="Z51" s="27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14" t="s">
        <v>6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15" t="s">
        <v>10</v>
      </c>
      <c r="W53" s="16"/>
      <c r="X53" s="39" t="str">
        <f>SUM(Z55:Z67)&amp;"/"&amp;IF(not(isblank(dget(base_spells,"3rd",F2:F3))),dget(base_spells,"3rd",F2:F3)+dget(bonus_spells,"3rd",H2:H3),0)</f>
        <v>0/0</v>
      </c>
      <c r="Y53" s="6" t="s">
        <v>11</v>
      </c>
      <c r="Z53" s="6" t="str">
        <f>if(dget(known_spells,"3rd",$F$2:$F$3)=2,if(dget(bonus_spells,"3rd",$H$2:$H$3)&gt;0,dget(known_spells,"3rd",$F$2:$F$3),""),dget(known_spells,"3rd",$F$2:$F$3))</f>
        <v/>
      </c>
    </row>
    <row r="54">
      <c r="A54" s="2"/>
      <c r="B54" s="18" t="s">
        <v>12</v>
      </c>
      <c r="C54" s="18" t="s">
        <v>13</v>
      </c>
      <c r="D54" s="19" t="s">
        <v>14</v>
      </c>
      <c r="E54" s="20"/>
      <c r="F54" s="19" t="s">
        <v>15</v>
      </c>
      <c r="G54" s="20"/>
      <c r="H54" s="19" t="s">
        <v>16</v>
      </c>
      <c r="I54" s="20"/>
      <c r="J54" s="19" t="s">
        <v>17</v>
      </c>
      <c r="K54" s="20"/>
      <c r="L54" s="19" t="s">
        <v>18</v>
      </c>
      <c r="M54" s="20"/>
      <c r="N54" s="19" t="s">
        <v>19</v>
      </c>
      <c r="O54" s="20"/>
      <c r="P54" s="19" t="s">
        <v>20</v>
      </c>
      <c r="Q54" s="20"/>
      <c r="R54" s="19" t="s">
        <v>21</v>
      </c>
      <c r="S54" s="20"/>
      <c r="T54" s="19" t="s">
        <v>22</v>
      </c>
      <c r="U54" s="20"/>
      <c r="V54" s="19" t="s">
        <v>23</v>
      </c>
      <c r="W54" s="9"/>
      <c r="X54" s="9"/>
      <c r="Y54" s="20"/>
      <c r="Z54" s="18" t="s">
        <v>10</v>
      </c>
    </row>
    <row r="55">
      <c r="A55" s="2"/>
      <c r="B55" s="22"/>
      <c r="C55" s="22"/>
      <c r="D55" s="23" t="str">
        <f t="shared" ref="D55:D67" si="13">indirect("Dupe!D"&amp;ROW())</f>
        <v/>
      </c>
      <c r="E55" s="16"/>
      <c r="F55" s="24" t="str">
        <f t="shared" ref="F55:F67" si="14">indirect("Dupe!F"&amp;ROW())</f>
        <v/>
      </c>
      <c r="G55" s="16"/>
      <c r="H55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5" s="16"/>
      <c r="J55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55" s="16"/>
      <c r="L55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5" s="16"/>
      <c r="N55" s="24" t="str">
        <f>IFERROR(__xludf.DUMMYFUNCTION("indirect(""Dupe!N""&amp;row())&amp;if(regexmatch(indirect(""C""&amp;row()),""Widen""),""
Widened
Any numeric measurements of the spell’s area increase by 100%"","""")"),"")</f>
        <v/>
      </c>
      <c r="O55" s="16"/>
      <c r="P55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5" s="16"/>
      <c r="R55" s="24" t="str">
        <f t="shared" ref="R55:R67" si="15">indirect("Dupe!R"&amp;row())</f>
        <v/>
      </c>
      <c r="S55" s="16"/>
      <c r="T55" s="24" t="str">
        <f t="shared" ref="T55:T67" si="16">indirect("Dupe!T"&amp;row())</f>
        <v/>
      </c>
      <c r="U55" s="16"/>
      <c r="V55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5" s="4"/>
      <c r="X55" s="4"/>
      <c r="Y55" s="16"/>
      <c r="Z55" s="27"/>
    </row>
    <row r="56">
      <c r="A56" s="2"/>
      <c r="B56" s="38"/>
      <c r="C56" s="38"/>
      <c r="D56" s="29" t="str">
        <f t="shared" si="13"/>
        <v/>
      </c>
      <c r="E56" s="20"/>
      <c r="F56" s="30" t="str">
        <f t="shared" si="14"/>
        <v/>
      </c>
      <c r="G56" s="20"/>
      <c r="H56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6" s="20"/>
      <c r="J56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56" s="20"/>
      <c r="L56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6" s="20"/>
      <c r="N56" s="30" t="str">
        <f>IFERROR(__xludf.DUMMYFUNCTION("indirect(""Dupe!N""&amp;row())&amp;if(regexmatch(indirect(""C""&amp;row()),""Widen""),""
Widened
Any numeric measurements of the spell’s area increase by 100%"","""")"),"")</f>
        <v/>
      </c>
      <c r="O56" s="20"/>
      <c r="P56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6" s="20"/>
      <c r="R56" s="30" t="str">
        <f t="shared" si="15"/>
        <v/>
      </c>
      <c r="S56" s="20"/>
      <c r="T56" s="30" t="str">
        <f t="shared" si="16"/>
        <v/>
      </c>
      <c r="U56" s="20"/>
      <c r="V56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6" s="9"/>
      <c r="X56" s="9"/>
      <c r="Y56" s="20"/>
      <c r="Z56" s="33"/>
    </row>
    <row r="57">
      <c r="A57" s="2"/>
      <c r="B57" s="22"/>
      <c r="C57" s="22"/>
      <c r="D57" s="23" t="str">
        <f t="shared" si="13"/>
        <v/>
      </c>
      <c r="E57" s="16"/>
      <c r="F57" s="24" t="str">
        <f t="shared" si="14"/>
        <v/>
      </c>
      <c r="G57" s="16"/>
      <c r="H57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7" s="16"/>
      <c r="J57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57" s="16"/>
      <c r="L57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7" s="16"/>
      <c r="N57" s="24" t="str">
        <f>IFERROR(__xludf.DUMMYFUNCTION("indirect(""Dupe!N""&amp;row())&amp;if(regexmatch(indirect(""C""&amp;row()),""Widen""),""
Widened
Any numeric measurements of the spell’s area increase by 100%"","""")"),"")</f>
        <v/>
      </c>
      <c r="O57" s="16"/>
      <c r="P57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7" s="16"/>
      <c r="R57" s="24" t="str">
        <f t="shared" si="15"/>
        <v/>
      </c>
      <c r="S57" s="16"/>
      <c r="T57" s="24" t="str">
        <f t="shared" si="16"/>
        <v/>
      </c>
      <c r="U57" s="16"/>
      <c r="V57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7" s="4"/>
      <c r="X57" s="4"/>
      <c r="Y57" s="16"/>
      <c r="Z57" s="27"/>
    </row>
    <row r="58">
      <c r="A58" s="2"/>
      <c r="B58" s="38"/>
      <c r="C58" s="38"/>
      <c r="D58" s="29" t="str">
        <f t="shared" si="13"/>
        <v/>
      </c>
      <c r="E58" s="20"/>
      <c r="F58" s="30" t="str">
        <f t="shared" si="14"/>
        <v/>
      </c>
      <c r="G58" s="20"/>
      <c r="H58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8" s="20"/>
      <c r="J58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58" s="20"/>
      <c r="L58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8" s="20"/>
      <c r="N58" s="30" t="str">
        <f>IFERROR(__xludf.DUMMYFUNCTION("indirect(""Dupe!N""&amp;row())&amp;if(regexmatch(indirect(""C""&amp;row()),""Widen""),""
Widened
Any numeric measurements of the spell’s area increase by 100%"","""")"),"")</f>
        <v/>
      </c>
      <c r="O58" s="20"/>
      <c r="P58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8" s="20"/>
      <c r="R58" s="30" t="str">
        <f t="shared" si="15"/>
        <v/>
      </c>
      <c r="S58" s="20"/>
      <c r="T58" s="30" t="str">
        <f t="shared" si="16"/>
        <v/>
      </c>
      <c r="U58" s="20"/>
      <c r="V58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8" s="9"/>
      <c r="X58" s="9"/>
      <c r="Y58" s="20"/>
      <c r="Z58" s="33"/>
    </row>
    <row r="59">
      <c r="A59" s="2"/>
      <c r="B59" s="22"/>
      <c r="C59" s="22"/>
      <c r="D59" s="23" t="str">
        <f t="shared" si="13"/>
        <v/>
      </c>
      <c r="E59" s="16"/>
      <c r="F59" s="24" t="str">
        <f t="shared" si="14"/>
        <v/>
      </c>
      <c r="G59" s="16"/>
      <c r="H59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9" s="16"/>
      <c r="J59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59" s="16"/>
      <c r="L59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9" s="16"/>
      <c r="N59" s="24" t="str">
        <f>IFERROR(__xludf.DUMMYFUNCTION("indirect(""Dupe!N""&amp;row())&amp;if(regexmatch(indirect(""C""&amp;row()),""Widen""),""
Widened
Any numeric measurements of the spell’s area increase by 100%"","""")"),"")</f>
        <v/>
      </c>
      <c r="O59" s="16"/>
      <c r="P59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9" s="16"/>
      <c r="R59" s="24" t="str">
        <f t="shared" si="15"/>
        <v/>
      </c>
      <c r="S59" s="16"/>
      <c r="T59" s="24" t="str">
        <f t="shared" si="16"/>
        <v/>
      </c>
      <c r="U59" s="16"/>
      <c r="V59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9" s="4"/>
      <c r="X59" s="4"/>
      <c r="Y59" s="16"/>
      <c r="Z59" s="27"/>
    </row>
    <row r="60">
      <c r="A60" s="2"/>
      <c r="B60" s="38"/>
      <c r="C60" s="38"/>
      <c r="D60" s="29" t="str">
        <f t="shared" si="13"/>
        <v/>
      </c>
      <c r="E60" s="20"/>
      <c r="F60" s="30" t="str">
        <f t="shared" si="14"/>
        <v/>
      </c>
      <c r="G60" s="20"/>
      <c r="H60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0" s="20"/>
      <c r="J60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60" s="20"/>
      <c r="L60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0" s="20"/>
      <c r="N60" s="30" t="str">
        <f>IFERROR(__xludf.DUMMYFUNCTION("indirect(""Dupe!N""&amp;row())&amp;if(regexmatch(indirect(""C""&amp;row()),""Widen""),""
Widened
Any numeric measurements of the spell’s area increase by 100%"","""")"),"")</f>
        <v/>
      </c>
      <c r="O60" s="20"/>
      <c r="P60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0" s="20"/>
      <c r="R60" s="30" t="str">
        <f t="shared" si="15"/>
        <v/>
      </c>
      <c r="S60" s="20"/>
      <c r="T60" s="30" t="str">
        <f t="shared" si="16"/>
        <v/>
      </c>
      <c r="U60" s="20"/>
      <c r="V60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0" s="9"/>
      <c r="X60" s="9"/>
      <c r="Y60" s="20"/>
      <c r="Z60" s="33"/>
    </row>
    <row r="61">
      <c r="A61" s="2"/>
      <c r="B61" s="22"/>
      <c r="C61" s="22"/>
      <c r="D61" s="23" t="str">
        <f t="shared" si="13"/>
        <v/>
      </c>
      <c r="E61" s="16"/>
      <c r="F61" s="24" t="str">
        <f t="shared" si="14"/>
        <v/>
      </c>
      <c r="G61" s="16"/>
      <c r="H61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1" s="16"/>
      <c r="J61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61" s="16"/>
      <c r="L61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1" s="16"/>
      <c r="N61" s="24" t="str">
        <f>IFERROR(__xludf.DUMMYFUNCTION("indirect(""Dupe!N""&amp;row())&amp;if(regexmatch(indirect(""C""&amp;row()),""Widen""),""
Widened
Any numeric measurements of the spell’s area increase by 100%"","""")"),"")</f>
        <v/>
      </c>
      <c r="O61" s="16"/>
      <c r="P61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1" s="16"/>
      <c r="R61" s="24" t="str">
        <f t="shared" si="15"/>
        <v/>
      </c>
      <c r="S61" s="16"/>
      <c r="T61" s="24" t="str">
        <f t="shared" si="16"/>
        <v/>
      </c>
      <c r="U61" s="16"/>
      <c r="V61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1" s="4"/>
      <c r="X61" s="4"/>
      <c r="Y61" s="16"/>
      <c r="Z61" s="27"/>
    </row>
    <row r="62">
      <c r="A62" s="2"/>
      <c r="B62" s="38"/>
      <c r="C62" s="38"/>
      <c r="D62" s="29" t="str">
        <f t="shared" si="13"/>
        <v/>
      </c>
      <c r="E62" s="20"/>
      <c r="F62" s="30" t="str">
        <f t="shared" si="14"/>
        <v/>
      </c>
      <c r="G62" s="20"/>
      <c r="H62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2" s="20"/>
      <c r="J62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62" s="20"/>
      <c r="L62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2" s="20"/>
      <c r="N62" s="30" t="str">
        <f>IFERROR(__xludf.DUMMYFUNCTION("indirect(""Dupe!N""&amp;row())&amp;if(regexmatch(indirect(""C""&amp;row()),""Widen""),""
Widened
Any numeric measurements of the spell’s area increase by 100%"","""")"),"")</f>
        <v/>
      </c>
      <c r="O62" s="20"/>
      <c r="P62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2" s="20"/>
      <c r="R62" s="30" t="str">
        <f t="shared" si="15"/>
        <v/>
      </c>
      <c r="S62" s="20"/>
      <c r="T62" s="30" t="str">
        <f t="shared" si="16"/>
        <v/>
      </c>
      <c r="U62" s="20"/>
      <c r="V62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2" s="9"/>
      <c r="X62" s="9"/>
      <c r="Y62" s="20"/>
      <c r="Z62" s="33"/>
    </row>
    <row r="63">
      <c r="A63" s="2"/>
      <c r="B63" s="22"/>
      <c r="C63" s="22"/>
      <c r="D63" s="23" t="str">
        <f t="shared" si="13"/>
        <v/>
      </c>
      <c r="E63" s="16"/>
      <c r="F63" s="24" t="str">
        <f t="shared" si="14"/>
        <v/>
      </c>
      <c r="G63" s="16"/>
      <c r="H63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3" s="16"/>
      <c r="J63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63" s="16"/>
      <c r="L63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3" s="16"/>
      <c r="N63" s="24" t="str">
        <f>IFERROR(__xludf.DUMMYFUNCTION("indirect(""Dupe!N""&amp;row())&amp;if(regexmatch(indirect(""C""&amp;row()),""Widen""),""
Widened
Any numeric measurements of the spell’s area increase by 100%"","""")"),"")</f>
        <v/>
      </c>
      <c r="O63" s="16"/>
      <c r="P63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3" s="16"/>
      <c r="R63" s="24" t="str">
        <f t="shared" si="15"/>
        <v/>
      </c>
      <c r="S63" s="16"/>
      <c r="T63" s="24" t="str">
        <f t="shared" si="16"/>
        <v/>
      </c>
      <c r="U63" s="16"/>
      <c r="V63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3" s="4"/>
      <c r="X63" s="4"/>
      <c r="Y63" s="16"/>
      <c r="Z63" s="27"/>
    </row>
    <row r="64">
      <c r="A64" s="2"/>
      <c r="B64" s="38"/>
      <c r="C64" s="38"/>
      <c r="D64" s="29" t="str">
        <f t="shared" si="13"/>
        <v/>
      </c>
      <c r="E64" s="20"/>
      <c r="F64" s="30" t="str">
        <f t="shared" si="14"/>
        <v/>
      </c>
      <c r="G64" s="20"/>
      <c r="H64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4" s="20"/>
      <c r="J64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64" s="20"/>
      <c r="L64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4" s="20"/>
      <c r="N64" s="30" t="str">
        <f>IFERROR(__xludf.DUMMYFUNCTION("indirect(""Dupe!N""&amp;row())&amp;if(regexmatch(indirect(""C""&amp;row()),""Widen""),""
Widened
Any numeric measurements of the spell’s area increase by 100%"","""")"),"")</f>
        <v/>
      </c>
      <c r="O64" s="20"/>
      <c r="P64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4" s="20"/>
      <c r="R64" s="30" t="str">
        <f t="shared" si="15"/>
        <v/>
      </c>
      <c r="S64" s="20"/>
      <c r="T64" s="30" t="str">
        <f t="shared" si="16"/>
        <v/>
      </c>
      <c r="U64" s="20"/>
      <c r="V64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4" s="9"/>
      <c r="X64" s="9"/>
      <c r="Y64" s="20"/>
      <c r="Z64" s="33"/>
    </row>
    <row r="65">
      <c r="A65" s="2"/>
      <c r="B65" s="22"/>
      <c r="C65" s="22"/>
      <c r="D65" s="23" t="str">
        <f t="shared" si="13"/>
        <v/>
      </c>
      <c r="E65" s="16"/>
      <c r="F65" s="24" t="str">
        <f t="shared" si="14"/>
        <v/>
      </c>
      <c r="G65" s="16"/>
      <c r="H65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5" s="16"/>
      <c r="J65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65" s="16"/>
      <c r="L65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5" s="16"/>
      <c r="N65" s="24" t="str">
        <f>IFERROR(__xludf.DUMMYFUNCTION("indirect(""Dupe!N""&amp;row())&amp;if(regexmatch(indirect(""C""&amp;row()),""Widen""),""
Widened
Any numeric measurements of the spell’s area increase by 100%"","""")"),"")</f>
        <v/>
      </c>
      <c r="O65" s="16"/>
      <c r="P65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5" s="16"/>
      <c r="R65" s="24" t="str">
        <f t="shared" si="15"/>
        <v/>
      </c>
      <c r="S65" s="16"/>
      <c r="T65" s="24" t="str">
        <f t="shared" si="16"/>
        <v/>
      </c>
      <c r="U65" s="16"/>
      <c r="V65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5" s="4"/>
      <c r="X65" s="4"/>
      <c r="Y65" s="16"/>
      <c r="Z65" s="27"/>
    </row>
    <row r="66">
      <c r="A66" s="2"/>
      <c r="B66" s="38"/>
      <c r="C66" s="38"/>
      <c r="D66" s="29" t="str">
        <f t="shared" si="13"/>
        <v/>
      </c>
      <c r="E66" s="20"/>
      <c r="F66" s="30" t="str">
        <f t="shared" si="14"/>
        <v/>
      </c>
      <c r="G66" s="20"/>
      <c r="H66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6" s="20"/>
      <c r="J66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66" s="20"/>
      <c r="L66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6" s="20"/>
      <c r="N66" s="30" t="str">
        <f>IFERROR(__xludf.DUMMYFUNCTION("indirect(""Dupe!N""&amp;row())&amp;if(regexmatch(indirect(""C""&amp;row()),""Widen""),""
Widened
Any numeric measurements of the spell’s area increase by 100%"","""")"),"")</f>
        <v/>
      </c>
      <c r="O66" s="20"/>
      <c r="P66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6" s="20"/>
      <c r="R66" s="30" t="str">
        <f t="shared" si="15"/>
        <v/>
      </c>
      <c r="S66" s="20"/>
      <c r="T66" s="30" t="str">
        <f t="shared" si="16"/>
        <v/>
      </c>
      <c r="U66" s="20"/>
      <c r="V66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6" s="9"/>
      <c r="X66" s="9"/>
      <c r="Y66" s="20"/>
      <c r="Z66" s="33"/>
    </row>
    <row r="67">
      <c r="A67" s="2"/>
      <c r="B67" s="22"/>
      <c r="C67" s="22"/>
      <c r="D67" s="23" t="str">
        <f t="shared" si="13"/>
        <v/>
      </c>
      <c r="E67" s="16"/>
      <c r="F67" s="24" t="str">
        <f t="shared" si="14"/>
        <v/>
      </c>
      <c r="G67" s="16"/>
      <c r="H67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7" s="16"/>
      <c r="J67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67" s="16"/>
      <c r="L67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7" s="16"/>
      <c r="N67" s="24" t="str">
        <f>IFERROR(__xludf.DUMMYFUNCTION("indirect(""Dupe!N""&amp;row())&amp;if(regexmatch(indirect(""C""&amp;row()),""Widen""),""
Widened
Any numeric measurements of the spell’s area increase by 100%"","""")"),"")</f>
        <v/>
      </c>
      <c r="O67" s="16"/>
      <c r="P67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7" s="16"/>
      <c r="R67" s="24" t="str">
        <f t="shared" si="15"/>
        <v/>
      </c>
      <c r="S67" s="16"/>
      <c r="T67" s="24" t="str">
        <f t="shared" si="16"/>
        <v/>
      </c>
      <c r="U67" s="16"/>
      <c r="V67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7" s="4"/>
      <c r="X67" s="4"/>
      <c r="Y67" s="16"/>
      <c r="Z67" s="27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14" t="s">
        <v>7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15" t="s">
        <v>10</v>
      </c>
      <c r="W69" s="4"/>
      <c r="X69" s="6" t="str">
        <f>SUM(Z71:Z83)&amp;"/"&amp;if(not(isblank(dget(base_spells,"4th",F2:F3))),dget(base_spells,"4th",F2:F3)+dget(bonus_spells,"4th",H2:H3),0)</f>
        <v>0/0</v>
      </c>
      <c r="Y69" s="6" t="s">
        <v>11</v>
      </c>
      <c r="Z69" s="6" t="str">
        <f>if(dget(known_spells,"4th",$F$2:$F$3)=2,if(dget(bonus_spells,"4th",$H$2:$H$3)&gt;0,dget(known_spells,"4th",$F$2:$F$3),""),dget(known_spells,"4th",$F$2:$F$3))</f>
        <v/>
      </c>
    </row>
    <row r="70">
      <c r="A70" s="2"/>
      <c r="B70" s="18" t="s">
        <v>12</v>
      </c>
      <c r="C70" s="18" t="s">
        <v>13</v>
      </c>
      <c r="D70" s="19" t="s">
        <v>14</v>
      </c>
      <c r="E70" s="20"/>
      <c r="F70" s="19" t="s">
        <v>15</v>
      </c>
      <c r="G70" s="20"/>
      <c r="H70" s="19" t="s">
        <v>16</v>
      </c>
      <c r="I70" s="20"/>
      <c r="J70" s="19" t="s">
        <v>17</v>
      </c>
      <c r="K70" s="20"/>
      <c r="L70" s="19" t="s">
        <v>18</v>
      </c>
      <c r="M70" s="20"/>
      <c r="N70" s="19" t="s">
        <v>19</v>
      </c>
      <c r="O70" s="20"/>
      <c r="P70" s="19" t="s">
        <v>20</v>
      </c>
      <c r="Q70" s="20"/>
      <c r="R70" s="19" t="s">
        <v>21</v>
      </c>
      <c r="S70" s="20"/>
      <c r="T70" s="19" t="s">
        <v>22</v>
      </c>
      <c r="U70" s="20"/>
      <c r="V70" s="19" t="s">
        <v>23</v>
      </c>
      <c r="W70" s="9"/>
      <c r="X70" s="9"/>
      <c r="Y70" s="20"/>
      <c r="Z70" s="18" t="s">
        <v>10</v>
      </c>
    </row>
    <row r="71">
      <c r="A71" s="2"/>
      <c r="B71" s="22"/>
      <c r="C71" s="22"/>
      <c r="D71" s="23" t="str">
        <f t="shared" ref="D71:D83" si="17">indirect("Dupe!D"&amp;ROW())</f>
        <v/>
      </c>
      <c r="E71" s="16"/>
      <c r="F71" s="24" t="str">
        <f t="shared" ref="F71:F83" si="18">indirect("Dupe!F"&amp;ROW())</f>
        <v/>
      </c>
      <c r="G71" s="16"/>
      <c r="H71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1" s="16"/>
      <c r="J71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71" s="16"/>
      <c r="L71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1" s="16"/>
      <c r="N71" s="24" t="str">
        <f>IFERROR(__xludf.DUMMYFUNCTION("indirect(""Dupe!N""&amp;row())&amp;if(regexmatch(indirect(""C""&amp;row()),""Widen""),""
Widened
Any numeric measurements of the spell’s area increase by 100%"","""")"),"")</f>
        <v/>
      </c>
      <c r="O71" s="16"/>
      <c r="P71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1" s="16"/>
      <c r="R71" s="24" t="str">
        <f t="shared" ref="R71:R83" si="19">indirect("Dupe!R"&amp;row())</f>
        <v/>
      </c>
      <c r="S71" s="16"/>
      <c r="T71" s="24" t="str">
        <f t="shared" ref="T71:T83" si="20">indirect("Dupe!T"&amp;row())</f>
        <v/>
      </c>
      <c r="U71" s="16"/>
      <c r="V71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1" s="4"/>
      <c r="X71" s="4"/>
      <c r="Y71" s="16"/>
      <c r="Z71" s="27"/>
    </row>
    <row r="72">
      <c r="A72" s="2"/>
      <c r="B72" s="38"/>
      <c r="C72" s="38"/>
      <c r="D72" s="29" t="str">
        <f t="shared" si="17"/>
        <v/>
      </c>
      <c r="E72" s="20"/>
      <c r="F72" s="30" t="str">
        <f t="shared" si="18"/>
        <v/>
      </c>
      <c r="G72" s="20"/>
      <c r="H72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2" s="20"/>
      <c r="J72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72" s="20"/>
      <c r="L72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2" s="20"/>
      <c r="N72" s="30" t="str">
        <f>IFERROR(__xludf.DUMMYFUNCTION("indirect(""Dupe!N""&amp;row())&amp;if(regexmatch(indirect(""C""&amp;row()),""Widen""),""
Widened
Any numeric measurements of the spell’s area increase by 100%"","""")"),"")</f>
        <v/>
      </c>
      <c r="O72" s="20"/>
      <c r="P72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2" s="20"/>
      <c r="R72" s="30" t="str">
        <f t="shared" si="19"/>
        <v/>
      </c>
      <c r="S72" s="20"/>
      <c r="T72" s="30" t="str">
        <f t="shared" si="20"/>
        <v/>
      </c>
      <c r="U72" s="20"/>
      <c r="V72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2" s="9"/>
      <c r="X72" s="9"/>
      <c r="Y72" s="20"/>
      <c r="Z72" s="33"/>
    </row>
    <row r="73">
      <c r="A73" s="2"/>
      <c r="B73" s="22"/>
      <c r="C73" s="22"/>
      <c r="D73" s="23" t="str">
        <f t="shared" si="17"/>
        <v/>
      </c>
      <c r="E73" s="16"/>
      <c r="F73" s="24" t="str">
        <f t="shared" si="18"/>
        <v/>
      </c>
      <c r="G73" s="16"/>
      <c r="H73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3" s="16"/>
      <c r="J73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73" s="16"/>
      <c r="L73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3" s="16"/>
      <c r="N73" s="24" t="str">
        <f>IFERROR(__xludf.DUMMYFUNCTION("indirect(""Dupe!N""&amp;row())&amp;if(regexmatch(indirect(""C""&amp;row()),""Widen""),""
Widened
Any numeric measurements of the spell’s area increase by 100%"","""")"),"")</f>
        <v/>
      </c>
      <c r="O73" s="16"/>
      <c r="P73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3" s="16"/>
      <c r="R73" s="24" t="str">
        <f t="shared" si="19"/>
        <v/>
      </c>
      <c r="S73" s="16"/>
      <c r="T73" s="24" t="str">
        <f t="shared" si="20"/>
        <v/>
      </c>
      <c r="U73" s="16"/>
      <c r="V73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3" s="4"/>
      <c r="X73" s="4"/>
      <c r="Y73" s="16"/>
      <c r="Z73" s="27"/>
    </row>
    <row r="74">
      <c r="A74" s="2"/>
      <c r="B74" s="38"/>
      <c r="C74" s="38"/>
      <c r="D74" s="29" t="str">
        <f t="shared" si="17"/>
        <v/>
      </c>
      <c r="E74" s="20"/>
      <c r="F74" s="30" t="str">
        <f t="shared" si="18"/>
        <v/>
      </c>
      <c r="G74" s="20"/>
      <c r="H74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4" s="20"/>
      <c r="J74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74" s="20"/>
      <c r="L74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4" s="20"/>
      <c r="N74" s="30" t="str">
        <f>IFERROR(__xludf.DUMMYFUNCTION("indirect(""Dupe!N""&amp;row())&amp;if(regexmatch(indirect(""C""&amp;row()),""Widen""),""
Widened
Any numeric measurements of the spell’s area increase by 100%"","""")"),"")</f>
        <v/>
      </c>
      <c r="O74" s="20"/>
      <c r="P74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4" s="20"/>
      <c r="R74" s="30" t="str">
        <f t="shared" si="19"/>
        <v/>
      </c>
      <c r="S74" s="20"/>
      <c r="T74" s="30" t="str">
        <f t="shared" si="20"/>
        <v/>
      </c>
      <c r="U74" s="20"/>
      <c r="V74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4" s="9"/>
      <c r="X74" s="9"/>
      <c r="Y74" s="20"/>
      <c r="Z74" s="33"/>
    </row>
    <row r="75">
      <c r="A75" s="2"/>
      <c r="B75" s="22"/>
      <c r="C75" s="22"/>
      <c r="D75" s="23" t="str">
        <f t="shared" si="17"/>
        <v/>
      </c>
      <c r="E75" s="16"/>
      <c r="F75" s="24" t="str">
        <f t="shared" si="18"/>
        <v/>
      </c>
      <c r="G75" s="16"/>
      <c r="H75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5" s="16"/>
      <c r="J75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75" s="16"/>
      <c r="L75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5" s="16"/>
      <c r="N75" s="24" t="str">
        <f>IFERROR(__xludf.DUMMYFUNCTION("indirect(""Dupe!N""&amp;row())&amp;if(regexmatch(indirect(""C""&amp;row()),""Widen""),""
Widened
Any numeric measurements of the spell’s area increase by 100%"","""")"),"")</f>
        <v/>
      </c>
      <c r="O75" s="16"/>
      <c r="P75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5" s="16"/>
      <c r="R75" s="24" t="str">
        <f t="shared" si="19"/>
        <v/>
      </c>
      <c r="S75" s="16"/>
      <c r="T75" s="24" t="str">
        <f t="shared" si="20"/>
        <v/>
      </c>
      <c r="U75" s="16"/>
      <c r="V75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5" s="4"/>
      <c r="X75" s="4"/>
      <c r="Y75" s="16"/>
      <c r="Z75" s="27"/>
    </row>
    <row r="76">
      <c r="A76" s="2"/>
      <c r="B76" s="38"/>
      <c r="C76" s="38"/>
      <c r="D76" s="29" t="str">
        <f t="shared" si="17"/>
        <v/>
      </c>
      <c r="E76" s="20"/>
      <c r="F76" s="30" t="str">
        <f t="shared" si="18"/>
        <v/>
      </c>
      <c r="G76" s="20"/>
      <c r="H76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6" s="20"/>
      <c r="J76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76" s="20"/>
      <c r="L76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6" s="20"/>
      <c r="N76" s="30" t="str">
        <f>IFERROR(__xludf.DUMMYFUNCTION("indirect(""Dupe!N""&amp;row())&amp;if(regexmatch(indirect(""C""&amp;row()),""Widen""),""
Widened
Any numeric measurements of the spell’s area increase by 100%"","""")"),"")</f>
        <v/>
      </c>
      <c r="O76" s="20"/>
      <c r="P76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6" s="20"/>
      <c r="R76" s="30" t="str">
        <f t="shared" si="19"/>
        <v/>
      </c>
      <c r="S76" s="20"/>
      <c r="T76" s="30" t="str">
        <f t="shared" si="20"/>
        <v/>
      </c>
      <c r="U76" s="20"/>
      <c r="V76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6" s="9"/>
      <c r="X76" s="9"/>
      <c r="Y76" s="20"/>
      <c r="Z76" s="33"/>
    </row>
    <row r="77">
      <c r="A77" s="2"/>
      <c r="B77" s="22"/>
      <c r="C77" s="22"/>
      <c r="D77" s="23" t="str">
        <f t="shared" si="17"/>
        <v/>
      </c>
      <c r="E77" s="16"/>
      <c r="F77" s="24" t="str">
        <f t="shared" si="18"/>
        <v/>
      </c>
      <c r="G77" s="16"/>
      <c r="H77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7" s="16"/>
      <c r="J77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77" s="16"/>
      <c r="L77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7" s="16"/>
      <c r="N77" s="24" t="str">
        <f>IFERROR(__xludf.DUMMYFUNCTION("indirect(""Dupe!N""&amp;row())&amp;if(regexmatch(indirect(""C""&amp;row()),""Widen""),""
Widened
Any numeric measurements of the spell’s area increase by 100%"","""")"),"")</f>
        <v/>
      </c>
      <c r="O77" s="16"/>
      <c r="P77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7" s="16"/>
      <c r="R77" s="24" t="str">
        <f t="shared" si="19"/>
        <v/>
      </c>
      <c r="S77" s="16"/>
      <c r="T77" s="24" t="str">
        <f t="shared" si="20"/>
        <v/>
      </c>
      <c r="U77" s="16"/>
      <c r="V77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7" s="4"/>
      <c r="X77" s="4"/>
      <c r="Y77" s="16"/>
      <c r="Z77" s="27"/>
    </row>
    <row r="78">
      <c r="A78" s="2"/>
      <c r="B78" s="38"/>
      <c r="C78" s="38"/>
      <c r="D78" s="29" t="str">
        <f t="shared" si="17"/>
        <v/>
      </c>
      <c r="E78" s="20"/>
      <c r="F78" s="30" t="str">
        <f t="shared" si="18"/>
        <v/>
      </c>
      <c r="G78" s="20"/>
      <c r="H78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8" s="20"/>
      <c r="J78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78" s="20"/>
      <c r="L78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8" s="20"/>
      <c r="N78" s="30" t="str">
        <f>IFERROR(__xludf.DUMMYFUNCTION("indirect(""Dupe!N""&amp;row())&amp;if(regexmatch(indirect(""C""&amp;row()),""Widen""),""
Widened
Any numeric measurements of the spell’s area increase by 100%"","""")"),"")</f>
        <v/>
      </c>
      <c r="O78" s="20"/>
      <c r="P78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8" s="20"/>
      <c r="R78" s="30" t="str">
        <f t="shared" si="19"/>
        <v/>
      </c>
      <c r="S78" s="20"/>
      <c r="T78" s="30" t="str">
        <f t="shared" si="20"/>
        <v/>
      </c>
      <c r="U78" s="20"/>
      <c r="V78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8" s="9"/>
      <c r="X78" s="9"/>
      <c r="Y78" s="20"/>
      <c r="Z78" s="33"/>
    </row>
    <row r="79">
      <c r="A79" s="2"/>
      <c r="B79" s="22"/>
      <c r="C79" s="22"/>
      <c r="D79" s="23" t="str">
        <f t="shared" si="17"/>
        <v/>
      </c>
      <c r="E79" s="16"/>
      <c r="F79" s="24" t="str">
        <f t="shared" si="18"/>
        <v/>
      </c>
      <c r="G79" s="16"/>
      <c r="H79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9" s="16"/>
      <c r="J79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79" s="16"/>
      <c r="L79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9" s="16"/>
      <c r="N79" s="24" t="str">
        <f>IFERROR(__xludf.DUMMYFUNCTION("indirect(""Dupe!N""&amp;row())&amp;if(regexmatch(indirect(""C""&amp;row()),""Widen""),""
Widened
Any numeric measurements of the spell’s area increase by 100%"","""")"),"")</f>
        <v/>
      </c>
      <c r="O79" s="16"/>
      <c r="P79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9" s="16"/>
      <c r="R79" s="24" t="str">
        <f t="shared" si="19"/>
        <v/>
      </c>
      <c r="S79" s="16"/>
      <c r="T79" s="24" t="str">
        <f t="shared" si="20"/>
        <v/>
      </c>
      <c r="U79" s="16"/>
      <c r="V79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9" s="4"/>
      <c r="X79" s="4"/>
      <c r="Y79" s="16"/>
      <c r="Z79" s="27"/>
    </row>
    <row r="80">
      <c r="A80" s="2"/>
      <c r="B80" s="38"/>
      <c r="C80" s="38"/>
      <c r="D80" s="29" t="str">
        <f t="shared" si="17"/>
        <v/>
      </c>
      <c r="E80" s="20"/>
      <c r="F80" s="30" t="str">
        <f t="shared" si="18"/>
        <v/>
      </c>
      <c r="G80" s="20"/>
      <c r="H80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0" s="20"/>
      <c r="J80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80" s="20"/>
      <c r="L80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0" s="20"/>
      <c r="N80" s="30" t="str">
        <f>IFERROR(__xludf.DUMMYFUNCTION("indirect(""Dupe!N""&amp;row())&amp;if(regexmatch(indirect(""C""&amp;row()),""Widen""),""
Widened
Any numeric measurements of the spell’s area increase by 100%"","""")"),"")</f>
        <v/>
      </c>
      <c r="O80" s="20"/>
      <c r="P80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0" s="20"/>
      <c r="R80" s="30" t="str">
        <f t="shared" si="19"/>
        <v/>
      </c>
      <c r="S80" s="20"/>
      <c r="T80" s="30" t="str">
        <f t="shared" si="20"/>
        <v/>
      </c>
      <c r="U80" s="20"/>
      <c r="V80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0" s="9"/>
      <c r="X80" s="9"/>
      <c r="Y80" s="20"/>
      <c r="Z80" s="33"/>
    </row>
    <row r="81">
      <c r="A81" s="2"/>
      <c r="B81" s="22"/>
      <c r="C81" s="22"/>
      <c r="D81" s="23" t="str">
        <f t="shared" si="17"/>
        <v/>
      </c>
      <c r="E81" s="16"/>
      <c r="F81" s="24" t="str">
        <f t="shared" si="18"/>
        <v/>
      </c>
      <c r="G81" s="16"/>
      <c r="H81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1" s="16"/>
      <c r="J81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81" s="16"/>
      <c r="L81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1" s="16"/>
      <c r="N81" s="24" t="str">
        <f>IFERROR(__xludf.DUMMYFUNCTION("indirect(""Dupe!N""&amp;row())&amp;if(regexmatch(indirect(""C""&amp;row()),""Widen""),""
Widened
Any numeric measurements of the spell’s area increase by 100%"","""")"),"")</f>
        <v/>
      </c>
      <c r="O81" s="16"/>
      <c r="P81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1" s="16"/>
      <c r="R81" s="24" t="str">
        <f t="shared" si="19"/>
        <v/>
      </c>
      <c r="S81" s="16"/>
      <c r="T81" s="24" t="str">
        <f t="shared" si="20"/>
        <v/>
      </c>
      <c r="U81" s="16"/>
      <c r="V81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1" s="4"/>
      <c r="X81" s="4"/>
      <c r="Y81" s="16"/>
      <c r="Z81" s="27"/>
    </row>
    <row r="82">
      <c r="A82" s="2"/>
      <c r="B82" s="38"/>
      <c r="C82" s="38"/>
      <c r="D82" s="29" t="str">
        <f t="shared" si="17"/>
        <v/>
      </c>
      <c r="E82" s="20"/>
      <c r="F82" s="30" t="str">
        <f t="shared" si="18"/>
        <v/>
      </c>
      <c r="G82" s="20"/>
      <c r="H82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2" s="20"/>
      <c r="J82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82" s="20"/>
      <c r="L82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2" s="20"/>
      <c r="N82" s="30" t="str">
        <f>IFERROR(__xludf.DUMMYFUNCTION("indirect(""Dupe!N""&amp;row())&amp;if(regexmatch(indirect(""C""&amp;row()),""Widen""),""
Widened
Any numeric measurements of the spell’s area increase by 100%"","""")"),"")</f>
        <v/>
      </c>
      <c r="O82" s="20"/>
      <c r="P82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2" s="20"/>
      <c r="R82" s="30" t="str">
        <f t="shared" si="19"/>
        <v/>
      </c>
      <c r="S82" s="20"/>
      <c r="T82" s="30" t="str">
        <f t="shared" si="20"/>
        <v/>
      </c>
      <c r="U82" s="20"/>
      <c r="V82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2" s="9"/>
      <c r="X82" s="9"/>
      <c r="Y82" s="20"/>
      <c r="Z82" s="33"/>
    </row>
    <row r="83">
      <c r="A83" s="2"/>
      <c r="B83" s="22"/>
      <c r="C83" s="22"/>
      <c r="D83" s="23" t="str">
        <f t="shared" si="17"/>
        <v/>
      </c>
      <c r="E83" s="16"/>
      <c r="F83" s="24" t="str">
        <f t="shared" si="18"/>
        <v/>
      </c>
      <c r="G83" s="16"/>
      <c r="H83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3" s="16"/>
      <c r="J83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83" s="16"/>
      <c r="L83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3" s="16"/>
      <c r="N83" s="24" t="str">
        <f>IFERROR(__xludf.DUMMYFUNCTION("indirect(""Dupe!N""&amp;row())&amp;if(regexmatch(indirect(""C""&amp;row()),""Widen""),""
Widened
Any numeric measurements of the spell’s area increase by 100%"","""")"),"")</f>
        <v/>
      </c>
      <c r="O83" s="16"/>
      <c r="P83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3" s="16"/>
      <c r="R83" s="24" t="str">
        <f t="shared" si="19"/>
        <v/>
      </c>
      <c r="S83" s="16"/>
      <c r="T83" s="24" t="str">
        <f t="shared" si="20"/>
        <v/>
      </c>
      <c r="U83" s="16"/>
      <c r="V83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3" s="4"/>
      <c r="X83" s="4"/>
      <c r="Y83" s="16"/>
      <c r="Z83" s="27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14" t="s">
        <v>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15" t="s">
        <v>10</v>
      </c>
      <c r="W85" s="4"/>
      <c r="X85" s="6" t="str">
        <f>SUM(Z87:Z99)&amp;"/"&amp;if(not(isblank(dget(base_spells,"5th",F2:F3))),dget(base_spells,"5th",F2:F3)+dget(bonus_spells,"5th",H2:H3),0)</f>
        <v>0/0</v>
      </c>
      <c r="Y85" s="6" t="s">
        <v>11</v>
      </c>
      <c r="Z85" s="6" t="str">
        <f>if(dget(known_spells,"5th",$F$2:$F$3)=2,if(dget(bonus_spells,"5th",$H$2:$H$3)&gt;0,dget(known_spells,"5th",$F$2:$F$3),""),dget(known_spells,"5th",$F$2:$F$3))</f>
        <v/>
      </c>
    </row>
    <row r="86">
      <c r="A86" s="2"/>
      <c r="B86" s="18" t="s">
        <v>12</v>
      </c>
      <c r="C86" s="18" t="s">
        <v>13</v>
      </c>
      <c r="D86" s="19" t="s">
        <v>14</v>
      </c>
      <c r="E86" s="20"/>
      <c r="F86" s="19" t="s">
        <v>15</v>
      </c>
      <c r="G86" s="20"/>
      <c r="H86" s="19" t="s">
        <v>16</v>
      </c>
      <c r="I86" s="20"/>
      <c r="J86" s="19" t="s">
        <v>17</v>
      </c>
      <c r="K86" s="20"/>
      <c r="L86" s="19" t="s">
        <v>18</v>
      </c>
      <c r="M86" s="20"/>
      <c r="N86" s="19" t="s">
        <v>19</v>
      </c>
      <c r="O86" s="20"/>
      <c r="P86" s="19" t="s">
        <v>20</v>
      </c>
      <c r="Q86" s="20"/>
      <c r="R86" s="19" t="s">
        <v>21</v>
      </c>
      <c r="S86" s="20"/>
      <c r="T86" s="19" t="s">
        <v>22</v>
      </c>
      <c r="U86" s="20"/>
      <c r="V86" s="19" t="s">
        <v>23</v>
      </c>
      <c r="W86" s="9"/>
      <c r="X86" s="9"/>
      <c r="Y86" s="20"/>
      <c r="Z86" s="18" t="s">
        <v>10</v>
      </c>
    </row>
    <row r="87">
      <c r="A87" s="2"/>
      <c r="B87" s="22"/>
      <c r="C87" s="22"/>
      <c r="D87" s="23" t="str">
        <f t="shared" ref="D87:D99" si="21">indirect("Dupe!D"&amp;ROW())</f>
        <v/>
      </c>
      <c r="E87" s="16"/>
      <c r="F87" s="24" t="str">
        <f t="shared" ref="F87:F99" si="22">indirect("Dupe!F"&amp;ROW())</f>
        <v/>
      </c>
      <c r="G87" s="16"/>
      <c r="H87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7" s="16"/>
      <c r="J87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87" s="16"/>
      <c r="L87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7" s="16"/>
      <c r="N87" s="24" t="str">
        <f>IFERROR(__xludf.DUMMYFUNCTION("indirect(""Dupe!N""&amp;row())&amp;if(regexmatch(indirect(""C""&amp;row()),""Widen""),""
Widened
Any numeric measurements of the spell’s area increase by 100%"","""")"),"")</f>
        <v/>
      </c>
      <c r="O87" s="16"/>
      <c r="P87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7" s="16"/>
      <c r="R87" s="24" t="str">
        <f t="shared" ref="R87:R99" si="23">indirect("Dupe!R"&amp;row())</f>
        <v/>
      </c>
      <c r="S87" s="16"/>
      <c r="T87" s="24" t="str">
        <f t="shared" ref="T87:T99" si="24">indirect("Dupe!T"&amp;row())</f>
        <v/>
      </c>
      <c r="U87" s="16"/>
      <c r="V87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7" s="4"/>
      <c r="X87" s="4"/>
      <c r="Y87" s="16"/>
      <c r="Z87" s="27"/>
    </row>
    <row r="88">
      <c r="A88" s="2"/>
      <c r="B88" s="38"/>
      <c r="C88" s="38"/>
      <c r="D88" s="29" t="str">
        <f t="shared" si="21"/>
        <v/>
      </c>
      <c r="E88" s="20"/>
      <c r="F88" s="30" t="str">
        <f t="shared" si="22"/>
        <v/>
      </c>
      <c r="G88" s="20"/>
      <c r="H88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8" s="20"/>
      <c r="J88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88" s="20"/>
      <c r="L88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8" s="20"/>
      <c r="N88" s="30" t="str">
        <f>IFERROR(__xludf.DUMMYFUNCTION("indirect(""Dupe!N""&amp;row())&amp;if(regexmatch(indirect(""C""&amp;row()),""Widen""),""
Widened
Any numeric measurements of the spell’s area increase by 100%"","""")"),"")</f>
        <v/>
      </c>
      <c r="O88" s="20"/>
      <c r="P88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8" s="20"/>
      <c r="R88" s="30" t="str">
        <f t="shared" si="23"/>
        <v/>
      </c>
      <c r="S88" s="20"/>
      <c r="T88" s="30" t="str">
        <f t="shared" si="24"/>
        <v/>
      </c>
      <c r="U88" s="20"/>
      <c r="V88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8" s="9"/>
      <c r="X88" s="9"/>
      <c r="Y88" s="20"/>
      <c r="Z88" s="33"/>
    </row>
    <row r="89">
      <c r="A89" s="2"/>
      <c r="B89" s="22"/>
      <c r="C89" s="22"/>
      <c r="D89" s="23" t="str">
        <f t="shared" si="21"/>
        <v/>
      </c>
      <c r="E89" s="16"/>
      <c r="F89" s="24" t="str">
        <f t="shared" si="22"/>
        <v/>
      </c>
      <c r="G89" s="16"/>
      <c r="H89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9" s="16"/>
      <c r="J89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89" s="16"/>
      <c r="L89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9" s="16"/>
      <c r="N89" s="24" t="str">
        <f>IFERROR(__xludf.DUMMYFUNCTION("indirect(""Dupe!N""&amp;row())&amp;if(regexmatch(indirect(""C""&amp;row()),""Widen""),""
Widened
Any numeric measurements of the spell’s area increase by 100%"","""")"),"")</f>
        <v/>
      </c>
      <c r="O89" s="16"/>
      <c r="P89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9" s="16"/>
      <c r="R89" s="24" t="str">
        <f t="shared" si="23"/>
        <v/>
      </c>
      <c r="S89" s="16"/>
      <c r="T89" s="24" t="str">
        <f t="shared" si="24"/>
        <v/>
      </c>
      <c r="U89" s="16"/>
      <c r="V89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9" s="4"/>
      <c r="X89" s="4"/>
      <c r="Y89" s="16"/>
      <c r="Z89" s="27"/>
    </row>
    <row r="90">
      <c r="A90" s="2"/>
      <c r="B90" s="38"/>
      <c r="C90" s="38"/>
      <c r="D90" s="29" t="str">
        <f t="shared" si="21"/>
        <v/>
      </c>
      <c r="E90" s="20"/>
      <c r="F90" s="30" t="str">
        <f t="shared" si="22"/>
        <v/>
      </c>
      <c r="G90" s="20"/>
      <c r="H90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0" s="20"/>
      <c r="J90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90" s="20"/>
      <c r="L90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0" s="20"/>
      <c r="N90" s="30" t="str">
        <f>IFERROR(__xludf.DUMMYFUNCTION("indirect(""Dupe!N""&amp;row())&amp;if(regexmatch(indirect(""C""&amp;row()),""Widen""),""
Widened
Any numeric measurements of the spell’s area increase by 100%"","""")"),"")</f>
        <v/>
      </c>
      <c r="O90" s="20"/>
      <c r="P90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0" s="20"/>
      <c r="R90" s="30" t="str">
        <f t="shared" si="23"/>
        <v/>
      </c>
      <c r="S90" s="20"/>
      <c r="T90" s="30" t="str">
        <f t="shared" si="24"/>
        <v/>
      </c>
      <c r="U90" s="20"/>
      <c r="V90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0" s="9"/>
      <c r="X90" s="9"/>
      <c r="Y90" s="20"/>
      <c r="Z90" s="33"/>
    </row>
    <row r="91">
      <c r="A91" s="2"/>
      <c r="B91" s="22"/>
      <c r="C91" s="22"/>
      <c r="D91" s="23" t="str">
        <f t="shared" si="21"/>
        <v/>
      </c>
      <c r="E91" s="16"/>
      <c r="F91" s="24" t="str">
        <f t="shared" si="22"/>
        <v/>
      </c>
      <c r="G91" s="16"/>
      <c r="H91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1" s="16"/>
      <c r="J91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91" s="16"/>
      <c r="L91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1" s="16"/>
      <c r="N91" s="24" t="str">
        <f>IFERROR(__xludf.DUMMYFUNCTION("indirect(""Dupe!N""&amp;row())&amp;if(regexmatch(indirect(""C""&amp;row()),""Widen""),""
Widened
Any numeric measurements of the spell’s area increase by 100%"","""")"),"")</f>
        <v/>
      </c>
      <c r="O91" s="16"/>
      <c r="P91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1" s="16"/>
      <c r="R91" s="24" t="str">
        <f t="shared" si="23"/>
        <v/>
      </c>
      <c r="S91" s="16"/>
      <c r="T91" s="24" t="str">
        <f t="shared" si="24"/>
        <v/>
      </c>
      <c r="U91" s="16"/>
      <c r="V91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1" s="4"/>
      <c r="X91" s="4"/>
      <c r="Y91" s="16"/>
      <c r="Z91" s="27"/>
    </row>
    <row r="92">
      <c r="A92" s="2"/>
      <c r="B92" s="38"/>
      <c r="C92" s="38"/>
      <c r="D92" s="29" t="str">
        <f t="shared" si="21"/>
        <v/>
      </c>
      <c r="E92" s="20"/>
      <c r="F92" s="30" t="str">
        <f t="shared" si="22"/>
        <v/>
      </c>
      <c r="G92" s="20"/>
      <c r="H92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2" s="20"/>
      <c r="J92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92" s="20"/>
      <c r="L92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2" s="20"/>
      <c r="N92" s="30" t="str">
        <f>IFERROR(__xludf.DUMMYFUNCTION("indirect(""Dupe!N""&amp;row())&amp;if(regexmatch(indirect(""C""&amp;row()),""Widen""),""
Widened
Any numeric measurements of the spell’s area increase by 100%"","""")"),"")</f>
        <v/>
      </c>
      <c r="O92" s="20"/>
      <c r="P92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2" s="20"/>
      <c r="R92" s="30" t="str">
        <f t="shared" si="23"/>
        <v/>
      </c>
      <c r="S92" s="20"/>
      <c r="T92" s="30" t="str">
        <f t="shared" si="24"/>
        <v/>
      </c>
      <c r="U92" s="20"/>
      <c r="V92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2" s="9"/>
      <c r="X92" s="9"/>
      <c r="Y92" s="20"/>
      <c r="Z92" s="33"/>
    </row>
    <row r="93">
      <c r="A93" s="2"/>
      <c r="B93" s="22"/>
      <c r="C93" s="22"/>
      <c r="D93" s="23" t="str">
        <f t="shared" si="21"/>
        <v/>
      </c>
      <c r="E93" s="16"/>
      <c r="F93" s="24" t="str">
        <f t="shared" si="22"/>
        <v/>
      </c>
      <c r="G93" s="16"/>
      <c r="H93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3" s="16"/>
      <c r="J93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93" s="16"/>
      <c r="L93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3" s="16"/>
      <c r="N93" s="24" t="str">
        <f>IFERROR(__xludf.DUMMYFUNCTION("indirect(""Dupe!N""&amp;row())&amp;if(regexmatch(indirect(""C""&amp;row()),""Widen""),""
Widened
Any numeric measurements of the spell’s area increase by 100%"","""")"),"")</f>
        <v/>
      </c>
      <c r="O93" s="16"/>
      <c r="P93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3" s="16"/>
      <c r="R93" s="24" t="str">
        <f t="shared" si="23"/>
        <v/>
      </c>
      <c r="S93" s="16"/>
      <c r="T93" s="24" t="str">
        <f t="shared" si="24"/>
        <v/>
      </c>
      <c r="U93" s="16"/>
      <c r="V93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3" s="4"/>
      <c r="X93" s="4"/>
      <c r="Y93" s="16"/>
      <c r="Z93" s="27"/>
    </row>
    <row r="94">
      <c r="A94" s="2"/>
      <c r="B94" s="38"/>
      <c r="C94" s="38"/>
      <c r="D94" s="29" t="str">
        <f t="shared" si="21"/>
        <v/>
      </c>
      <c r="E94" s="20"/>
      <c r="F94" s="30" t="str">
        <f t="shared" si="22"/>
        <v/>
      </c>
      <c r="G94" s="20"/>
      <c r="H94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4" s="20"/>
      <c r="J94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94" s="20"/>
      <c r="L94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4" s="20"/>
      <c r="N94" s="30" t="str">
        <f>IFERROR(__xludf.DUMMYFUNCTION("indirect(""Dupe!N""&amp;row())&amp;if(regexmatch(indirect(""C""&amp;row()),""Widen""),""
Widened
Any numeric measurements of the spell’s area increase by 100%"","""")"),"")</f>
        <v/>
      </c>
      <c r="O94" s="20"/>
      <c r="P94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4" s="20"/>
      <c r="R94" s="30" t="str">
        <f t="shared" si="23"/>
        <v/>
      </c>
      <c r="S94" s="20"/>
      <c r="T94" s="30" t="str">
        <f t="shared" si="24"/>
        <v/>
      </c>
      <c r="U94" s="20"/>
      <c r="V94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4" s="9"/>
      <c r="X94" s="9"/>
      <c r="Y94" s="20"/>
      <c r="Z94" s="33"/>
    </row>
    <row r="95">
      <c r="A95" s="2"/>
      <c r="B95" s="22"/>
      <c r="C95" s="22"/>
      <c r="D95" s="23" t="str">
        <f t="shared" si="21"/>
        <v/>
      </c>
      <c r="E95" s="16"/>
      <c r="F95" s="24" t="str">
        <f t="shared" si="22"/>
        <v/>
      </c>
      <c r="G95" s="16"/>
      <c r="H95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5" s="16"/>
      <c r="J95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95" s="16"/>
      <c r="L95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5" s="16"/>
      <c r="N95" s="24" t="str">
        <f>IFERROR(__xludf.DUMMYFUNCTION("indirect(""Dupe!N""&amp;row())&amp;if(regexmatch(indirect(""C""&amp;row()),""Widen""),""
Widened
Any numeric measurements of the spell’s area increase by 100%"","""")"),"")</f>
        <v/>
      </c>
      <c r="O95" s="16"/>
      <c r="P95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5" s="16"/>
      <c r="R95" s="24" t="str">
        <f t="shared" si="23"/>
        <v/>
      </c>
      <c r="S95" s="16"/>
      <c r="T95" s="24" t="str">
        <f t="shared" si="24"/>
        <v/>
      </c>
      <c r="U95" s="16"/>
      <c r="V95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5" s="4"/>
      <c r="X95" s="4"/>
      <c r="Y95" s="16"/>
      <c r="Z95" s="27"/>
    </row>
    <row r="96">
      <c r="A96" s="2"/>
      <c r="B96" s="38"/>
      <c r="C96" s="38"/>
      <c r="D96" s="29" t="str">
        <f t="shared" si="21"/>
        <v/>
      </c>
      <c r="E96" s="20"/>
      <c r="F96" s="30" t="str">
        <f t="shared" si="22"/>
        <v/>
      </c>
      <c r="G96" s="20"/>
      <c r="H96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6" s="20"/>
      <c r="J96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96" s="20"/>
      <c r="L96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6" s="20"/>
      <c r="N96" s="30" t="str">
        <f>IFERROR(__xludf.DUMMYFUNCTION("indirect(""Dupe!N""&amp;row())&amp;if(regexmatch(indirect(""C""&amp;row()),""Widen""),""
Widened
Any numeric measurements of the spell’s area increase by 100%"","""")"),"")</f>
        <v/>
      </c>
      <c r="O96" s="20"/>
      <c r="P96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6" s="20"/>
      <c r="R96" s="30" t="str">
        <f t="shared" si="23"/>
        <v/>
      </c>
      <c r="S96" s="20"/>
      <c r="T96" s="30" t="str">
        <f t="shared" si="24"/>
        <v/>
      </c>
      <c r="U96" s="20"/>
      <c r="V96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6" s="9"/>
      <c r="X96" s="9"/>
      <c r="Y96" s="20"/>
      <c r="Z96" s="33"/>
    </row>
    <row r="97">
      <c r="A97" s="2"/>
      <c r="B97" s="22"/>
      <c r="C97" s="22"/>
      <c r="D97" s="23" t="str">
        <f t="shared" si="21"/>
        <v/>
      </c>
      <c r="E97" s="16"/>
      <c r="F97" s="24" t="str">
        <f t="shared" si="22"/>
        <v/>
      </c>
      <c r="G97" s="16"/>
      <c r="H97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7" s="16"/>
      <c r="J97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97" s="16"/>
      <c r="L97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7" s="16"/>
      <c r="N97" s="24" t="str">
        <f>IFERROR(__xludf.DUMMYFUNCTION("indirect(""Dupe!N""&amp;row())&amp;if(regexmatch(indirect(""C""&amp;row()),""Widen""),""
Widened
Any numeric measurements of the spell’s area increase by 100%"","""")"),"")</f>
        <v/>
      </c>
      <c r="O97" s="16"/>
      <c r="P97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7" s="16"/>
      <c r="R97" s="24" t="str">
        <f t="shared" si="23"/>
        <v/>
      </c>
      <c r="S97" s="16"/>
      <c r="T97" s="24" t="str">
        <f t="shared" si="24"/>
        <v/>
      </c>
      <c r="U97" s="16"/>
      <c r="V97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7" s="4"/>
      <c r="X97" s="4"/>
      <c r="Y97" s="16"/>
      <c r="Z97" s="27"/>
    </row>
    <row r="98">
      <c r="A98" s="2"/>
      <c r="B98" s="38"/>
      <c r="C98" s="38"/>
      <c r="D98" s="29" t="str">
        <f t="shared" si="21"/>
        <v/>
      </c>
      <c r="E98" s="20"/>
      <c r="F98" s="30" t="str">
        <f t="shared" si="22"/>
        <v/>
      </c>
      <c r="G98" s="20"/>
      <c r="H98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8" s="20"/>
      <c r="J98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98" s="20"/>
      <c r="L98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8" s="20"/>
      <c r="N98" s="30" t="str">
        <f>IFERROR(__xludf.DUMMYFUNCTION("indirect(""Dupe!N""&amp;row())&amp;if(regexmatch(indirect(""C""&amp;row()),""Widen""),""
Widened
Any numeric measurements of the spell’s area increase by 100%"","""")"),"")</f>
        <v/>
      </c>
      <c r="O98" s="20"/>
      <c r="P98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8" s="20"/>
      <c r="R98" s="30" t="str">
        <f t="shared" si="23"/>
        <v/>
      </c>
      <c r="S98" s="20"/>
      <c r="T98" s="30" t="str">
        <f t="shared" si="24"/>
        <v/>
      </c>
      <c r="U98" s="20"/>
      <c r="V98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8" s="9"/>
      <c r="X98" s="9"/>
      <c r="Y98" s="20"/>
      <c r="Z98" s="33"/>
    </row>
    <row r="99">
      <c r="A99" s="2"/>
      <c r="B99" s="22"/>
      <c r="C99" s="22"/>
      <c r="D99" s="23" t="str">
        <f t="shared" si="21"/>
        <v/>
      </c>
      <c r="E99" s="16"/>
      <c r="F99" s="24" t="str">
        <f t="shared" si="22"/>
        <v/>
      </c>
      <c r="G99" s="16"/>
      <c r="H99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9" s="16"/>
      <c r="J99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99" s="16"/>
      <c r="L99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9" s="16"/>
      <c r="N99" s="24" t="str">
        <f>IFERROR(__xludf.DUMMYFUNCTION("indirect(""Dupe!N""&amp;row())&amp;if(regexmatch(indirect(""C""&amp;row()),""Widen""),""
Widened
Any numeric measurements of the spell’s area increase by 100%"","""")"),"")</f>
        <v/>
      </c>
      <c r="O99" s="16"/>
      <c r="P99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9" s="16"/>
      <c r="R99" s="24" t="str">
        <f t="shared" si="23"/>
        <v/>
      </c>
      <c r="S99" s="16"/>
      <c r="T99" s="24" t="str">
        <f t="shared" si="24"/>
        <v/>
      </c>
      <c r="U99" s="16"/>
      <c r="V99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9" s="4"/>
      <c r="X99" s="4"/>
      <c r="Y99" s="16"/>
      <c r="Z99" s="27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14" t="s">
        <v>9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15" t="s">
        <v>10</v>
      </c>
      <c r="W101" s="4"/>
      <c r="X101" s="6" t="str">
        <f>SUM(Z103:Z113)&amp;"/"&amp;if(not(isblank(dget(base_spells,"6th",F2:F3))),dget(base_spells,"6th",F2:F3)+dget(bonus_spells,"6th",H2:H3),0)</f>
        <v>0/0</v>
      </c>
      <c r="Y101" s="6" t="s">
        <v>11</v>
      </c>
      <c r="Z101" s="6" t="str">
        <f>if(dget(known_spells,"6th",$F$2:$F$3)=2,if(dget(bonus_spells,"6th",$H$2:$H$3)&gt;0,dget(known_spells,"6th",$F$2:$F$3),""),dget(known_spells,"6th",$F$2:$F$3))</f>
        <v/>
      </c>
    </row>
    <row r="102">
      <c r="A102" s="2"/>
      <c r="B102" s="18" t="s">
        <v>12</v>
      </c>
      <c r="C102" s="18" t="s">
        <v>13</v>
      </c>
      <c r="D102" s="19" t="s">
        <v>14</v>
      </c>
      <c r="E102" s="20"/>
      <c r="F102" s="19" t="s">
        <v>15</v>
      </c>
      <c r="G102" s="20"/>
      <c r="H102" s="19" t="s">
        <v>16</v>
      </c>
      <c r="I102" s="20"/>
      <c r="J102" s="19" t="s">
        <v>17</v>
      </c>
      <c r="K102" s="20"/>
      <c r="L102" s="19" t="s">
        <v>18</v>
      </c>
      <c r="M102" s="20"/>
      <c r="N102" s="19" t="s">
        <v>19</v>
      </c>
      <c r="O102" s="20"/>
      <c r="P102" s="19" t="s">
        <v>20</v>
      </c>
      <c r="Q102" s="20"/>
      <c r="R102" s="19" t="s">
        <v>21</v>
      </c>
      <c r="S102" s="20"/>
      <c r="T102" s="19" t="s">
        <v>22</v>
      </c>
      <c r="U102" s="20"/>
      <c r="V102" s="19" t="s">
        <v>23</v>
      </c>
      <c r="W102" s="9"/>
      <c r="X102" s="9"/>
      <c r="Y102" s="20"/>
      <c r="Z102" s="18" t="s">
        <v>10</v>
      </c>
    </row>
    <row r="103">
      <c r="A103" s="2"/>
      <c r="B103" s="22"/>
      <c r="C103" s="22"/>
      <c r="D103" s="23" t="str">
        <f t="shared" ref="D103:D113" si="25">indirect("Dupe!D"&amp;ROW())</f>
        <v/>
      </c>
      <c r="E103" s="16"/>
      <c r="F103" s="24" t="str">
        <f t="shared" ref="F103:F113" si="26">indirect("Dupe!F"&amp;ROW())</f>
        <v/>
      </c>
      <c r="G103" s="16"/>
      <c r="H103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3" s="16"/>
      <c r="J103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03" s="16"/>
      <c r="L103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3" s="16"/>
      <c r="N103" s="24" t="str">
        <f>IFERROR(__xludf.DUMMYFUNCTION("indirect(""Dupe!N""&amp;row())&amp;if(regexmatch(indirect(""C""&amp;row()),""Widen""),""
Widened
Any numeric measurements of the spell’s area increase by 100%"","""")"),"")</f>
        <v/>
      </c>
      <c r="O103" s="16"/>
      <c r="P103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3" s="16"/>
      <c r="R103" s="24" t="str">
        <f t="shared" ref="R103:R113" si="27">indirect("Dupe!R"&amp;row())</f>
        <v/>
      </c>
      <c r="S103" s="16"/>
      <c r="T103" s="24" t="str">
        <f t="shared" ref="T103:T113" si="28">indirect("Dupe!T"&amp;row())</f>
        <v/>
      </c>
      <c r="U103" s="16"/>
      <c r="V103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3" s="4"/>
      <c r="X103" s="4"/>
      <c r="Y103" s="16"/>
      <c r="Z103" s="27"/>
    </row>
    <row r="104">
      <c r="A104" s="2"/>
      <c r="B104" s="38"/>
      <c r="C104" s="38"/>
      <c r="D104" s="29" t="str">
        <f t="shared" si="25"/>
        <v/>
      </c>
      <c r="E104" s="20"/>
      <c r="F104" s="30" t="str">
        <f t="shared" si="26"/>
        <v/>
      </c>
      <c r="G104" s="20"/>
      <c r="H104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4" s="20"/>
      <c r="J104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04" s="20"/>
      <c r="L104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4" s="20"/>
      <c r="N104" s="30" t="str">
        <f>IFERROR(__xludf.DUMMYFUNCTION("indirect(""Dupe!N""&amp;row())&amp;if(regexmatch(indirect(""C""&amp;row()),""Widen""),""
Widened
Any numeric measurements of the spell’s area increase by 100%"","""")"),"")</f>
        <v/>
      </c>
      <c r="O104" s="20"/>
      <c r="P104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4" s="20"/>
      <c r="R104" s="30" t="str">
        <f t="shared" si="27"/>
        <v/>
      </c>
      <c r="S104" s="20"/>
      <c r="T104" s="30" t="str">
        <f t="shared" si="28"/>
        <v/>
      </c>
      <c r="U104" s="20"/>
      <c r="V104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4" s="9"/>
      <c r="X104" s="9"/>
      <c r="Y104" s="20"/>
      <c r="Z104" s="33"/>
    </row>
    <row r="105">
      <c r="A105" s="2"/>
      <c r="B105" s="22"/>
      <c r="C105" s="22"/>
      <c r="D105" s="23" t="str">
        <f t="shared" si="25"/>
        <v/>
      </c>
      <c r="E105" s="16"/>
      <c r="F105" s="24" t="str">
        <f t="shared" si="26"/>
        <v/>
      </c>
      <c r="G105" s="16"/>
      <c r="H105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5" s="16"/>
      <c r="J105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05" s="16"/>
      <c r="L105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5" s="16"/>
      <c r="N105" s="24" t="str">
        <f>IFERROR(__xludf.DUMMYFUNCTION("indirect(""Dupe!N""&amp;row())&amp;if(regexmatch(indirect(""C""&amp;row()),""Widen""),""
Widened
Any numeric measurements of the spell’s area increase by 100%"","""")"),"")</f>
        <v/>
      </c>
      <c r="O105" s="16"/>
      <c r="P105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5" s="16"/>
      <c r="R105" s="24" t="str">
        <f t="shared" si="27"/>
        <v/>
      </c>
      <c r="S105" s="16"/>
      <c r="T105" s="24" t="str">
        <f t="shared" si="28"/>
        <v/>
      </c>
      <c r="U105" s="16"/>
      <c r="V105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5" s="4"/>
      <c r="X105" s="4"/>
      <c r="Y105" s="16"/>
      <c r="Z105" s="27"/>
    </row>
    <row r="106">
      <c r="A106" s="2"/>
      <c r="B106" s="38"/>
      <c r="C106" s="38"/>
      <c r="D106" s="29" t="str">
        <f t="shared" si="25"/>
        <v/>
      </c>
      <c r="E106" s="20"/>
      <c r="F106" s="30" t="str">
        <f t="shared" si="26"/>
        <v/>
      </c>
      <c r="G106" s="20"/>
      <c r="H106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6" s="20"/>
      <c r="J106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06" s="20"/>
      <c r="L106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6" s="20"/>
      <c r="N106" s="30" t="str">
        <f>IFERROR(__xludf.DUMMYFUNCTION("indirect(""Dupe!N""&amp;row())&amp;if(regexmatch(indirect(""C""&amp;row()),""Widen""),""
Widened
Any numeric measurements of the spell’s area increase by 100%"","""")"),"")</f>
        <v/>
      </c>
      <c r="O106" s="20"/>
      <c r="P106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6" s="20"/>
      <c r="R106" s="30" t="str">
        <f t="shared" si="27"/>
        <v/>
      </c>
      <c r="S106" s="20"/>
      <c r="T106" s="30" t="str">
        <f t="shared" si="28"/>
        <v/>
      </c>
      <c r="U106" s="20"/>
      <c r="V106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6" s="9"/>
      <c r="X106" s="9"/>
      <c r="Y106" s="20"/>
      <c r="Z106" s="33"/>
    </row>
    <row r="107">
      <c r="A107" s="2"/>
      <c r="B107" s="22"/>
      <c r="C107" s="22"/>
      <c r="D107" s="23" t="str">
        <f t="shared" si="25"/>
        <v/>
      </c>
      <c r="E107" s="16"/>
      <c r="F107" s="24" t="str">
        <f t="shared" si="26"/>
        <v/>
      </c>
      <c r="G107" s="16"/>
      <c r="H107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7" s="16"/>
      <c r="J107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07" s="16"/>
      <c r="L107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7" s="16"/>
      <c r="N107" s="24" t="str">
        <f>IFERROR(__xludf.DUMMYFUNCTION("indirect(""Dupe!N""&amp;row())&amp;if(regexmatch(indirect(""C""&amp;row()),""Widen""),""
Widened
Any numeric measurements of the spell’s area increase by 100%"","""")"),"")</f>
        <v/>
      </c>
      <c r="O107" s="16"/>
      <c r="P107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7" s="16"/>
      <c r="R107" s="24" t="str">
        <f t="shared" si="27"/>
        <v/>
      </c>
      <c r="S107" s="16"/>
      <c r="T107" s="24" t="str">
        <f t="shared" si="28"/>
        <v/>
      </c>
      <c r="U107" s="16"/>
      <c r="V107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7" s="4"/>
      <c r="X107" s="4"/>
      <c r="Y107" s="16"/>
      <c r="Z107" s="27"/>
    </row>
    <row r="108">
      <c r="A108" s="2"/>
      <c r="B108" s="38"/>
      <c r="C108" s="38"/>
      <c r="D108" s="29" t="str">
        <f t="shared" si="25"/>
        <v/>
      </c>
      <c r="E108" s="20"/>
      <c r="F108" s="30" t="str">
        <f t="shared" si="26"/>
        <v/>
      </c>
      <c r="G108" s="20"/>
      <c r="H108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8" s="20"/>
      <c r="J108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08" s="20"/>
      <c r="L108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8" s="20"/>
      <c r="N108" s="30" t="str">
        <f>IFERROR(__xludf.DUMMYFUNCTION("indirect(""Dupe!N""&amp;row())&amp;if(regexmatch(indirect(""C""&amp;row()),""Widen""),""
Widened
Any numeric measurements of the spell’s area increase by 100%"","""")"),"")</f>
        <v/>
      </c>
      <c r="O108" s="20"/>
      <c r="P108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8" s="20"/>
      <c r="R108" s="30" t="str">
        <f t="shared" si="27"/>
        <v/>
      </c>
      <c r="S108" s="20"/>
      <c r="T108" s="30" t="str">
        <f t="shared" si="28"/>
        <v/>
      </c>
      <c r="U108" s="20"/>
      <c r="V108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8" s="9"/>
      <c r="X108" s="9"/>
      <c r="Y108" s="20"/>
      <c r="Z108" s="33"/>
    </row>
    <row r="109">
      <c r="A109" s="2"/>
      <c r="B109" s="22"/>
      <c r="C109" s="22"/>
      <c r="D109" s="23" t="str">
        <f t="shared" si="25"/>
        <v/>
      </c>
      <c r="E109" s="16"/>
      <c r="F109" s="24" t="str">
        <f t="shared" si="26"/>
        <v/>
      </c>
      <c r="G109" s="16"/>
      <c r="H109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9" s="16"/>
      <c r="J109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09" s="16"/>
      <c r="L109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9" s="16"/>
      <c r="N109" s="24" t="str">
        <f>IFERROR(__xludf.DUMMYFUNCTION("indirect(""Dupe!N""&amp;row())&amp;if(regexmatch(indirect(""C""&amp;row()),""Widen""),""
Widened
Any numeric measurements of the spell’s area increase by 100%"","""")"),"")</f>
        <v/>
      </c>
      <c r="O109" s="16"/>
      <c r="P109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9" s="16"/>
      <c r="R109" s="24" t="str">
        <f t="shared" si="27"/>
        <v/>
      </c>
      <c r="S109" s="16"/>
      <c r="T109" s="24" t="str">
        <f t="shared" si="28"/>
        <v/>
      </c>
      <c r="U109" s="16"/>
      <c r="V109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9" s="4"/>
      <c r="X109" s="4"/>
      <c r="Y109" s="16"/>
      <c r="Z109" s="27"/>
    </row>
    <row r="110">
      <c r="A110" s="2"/>
      <c r="B110" s="38"/>
      <c r="C110" s="38"/>
      <c r="D110" s="29" t="str">
        <f t="shared" si="25"/>
        <v/>
      </c>
      <c r="E110" s="20"/>
      <c r="F110" s="30" t="str">
        <f t="shared" si="26"/>
        <v/>
      </c>
      <c r="G110" s="20"/>
      <c r="H110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0" s="20"/>
      <c r="J110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10" s="20"/>
      <c r="L110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0" s="20"/>
      <c r="N110" s="30" t="str">
        <f>IFERROR(__xludf.DUMMYFUNCTION("indirect(""Dupe!N""&amp;row())&amp;if(regexmatch(indirect(""C""&amp;row()),""Widen""),""
Widened
Any numeric measurements of the spell’s area increase by 100%"","""")"),"")</f>
        <v/>
      </c>
      <c r="O110" s="20"/>
      <c r="P110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0" s="20"/>
      <c r="R110" s="30" t="str">
        <f t="shared" si="27"/>
        <v/>
      </c>
      <c r="S110" s="20"/>
      <c r="T110" s="30" t="str">
        <f t="shared" si="28"/>
        <v/>
      </c>
      <c r="U110" s="20"/>
      <c r="V110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0" s="9"/>
      <c r="X110" s="9"/>
      <c r="Y110" s="20"/>
      <c r="Z110" s="33"/>
    </row>
    <row r="111">
      <c r="A111" s="2"/>
      <c r="B111" s="22"/>
      <c r="C111" s="22"/>
      <c r="D111" s="23" t="str">
        <f t="shared" si="25"/>
        <v/>
      </c>
      <c r="E111" s="16"/>
      <c r="F111" s="24" t="str">
        <f t="shared" si="26"/>
        <v/>
      </c>
      <c r="G111" s="16"/>
      <c r="H111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1" s="16"/>
      <c r="J111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11" s="16"/>
      <c r="L111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1" s="16"/>
      <c r="N111" s="24" t="str">
        <f>IFERROR(__xludf.DUMMYFUNCTION("indirect(""Dupe!N""&amp;row())&amp;if(regexmatch(indirect(""C""&amp;row()),""Widen""),""
Widened
Any numeric measurements of the spell’s area increase by 100%"","""")"),"")</f>
        <v/>
      </c>
      <c r="O111" s="16"/>
      <c r="P111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1" s="16"/>
      <c r="R111" s="24" t="str">
        <f t="shared" si="27"/>
        <v/>
      </c>
      <c r="S111" s="16"/>
      <c r="T111" s="24" t="str">
        <f t="shared" si="28"/>
        <v/>
      </c>
      <c r="U111" s="16"/>
      <c r="V111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1" s="4"/>
      <c r="X111" s="4"/>
      <c r="Y111" s="16"/>
      <c r="Z111" s="27"/>
    </row>
    <row r="112">
      <c r="A112" s="2"/>
      <c r="B112" s="38"/>
      <c r="C112" s="38"/>
      <c r="D112" s="29" t="str">
        <f t="shared" si="25"/>
        <v/>
      </c>
      <c r="E112" s="20"/>
      <c r="F112" s="30" t="str">
        <f t="shared" si="26"/>
        <v/>
      </c>
      <c r="G112" s="20"/>
      <c r="H112" s="30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2" s="20"/>
      <c r="J112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12" s="20"/>
      <c r="L112" s="30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2" s="20"/>
      <c r="N112" s="30" t="str">
        <f>IFERROR(__xludf.DUMMYFUNCTION("indirect(""Dupe!N""&amp;row())&amp;if(regexmatch(indirect(""C""&amp;row()),""Widen""),""
Widened
Any numeric measurements of the spell’s area increase by 100%"","""")"),"")</f>
        <v/>
      </c>
      <c r="O112" s="20"/>
      <c r="P112" s="30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2" s="20"/>
      <c r="R112" s="30" t="str">
        <f t="shared" si="27"/>
        <v/>
      </c>
      <c r="S112" s="20"/>
      <c r="T112" s="30" t="str">
        <f t="shared" si="28"/>
        <v/>
      </c>
      <c r="U112" s="20"/>
      <c r="V112" s="32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2" s="9"/>
      <c r="X112" s="9"/>
      <c r="Y112" s="20"/>
      <c r="Z112" s="33"/>
    </row>
    <row r="113">
      <c r="A113" s="2"/>
      <c r="B113" s="22"/>
      <c r="C113" s="22"/>
      <c r="D113" s="23" t="str">
        <f t="shared" si="25"/>
        <v/>
      </c>
      <c r="E113" s="16"/>
      <c r="F113" s="24" t="str">
        <f t="shared" si="26"/>
        <v/>
      </c>
      <c r="G113" s="16"/>
      <c r="H113" s="2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3" s="16"/>
      <c r="J113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13" s="16"/>
      <c r="L113" s="24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3" s="16"/>
      <c r="N113" s="24" t="str">
        <f>IFERROR(__xludf.DUMMYFUNCTION("indirect(""Dupe!N""&amp;row())&amp;if(regexmatch(indirect(""C""&amp;row()),""Widen""),""
Widened
Any numeric measurements of the spell’s area increase by 100%"","""")"),"")</f>
        <v/>
      </c>
      <c r="O113" s="16"/>
      <c r="P113" s="24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3" s="16"/>
      <c r="R113" s="24" t="str">
        <f t="shared" si="27"/>
        <v/>
      </c>
      <c r="S113" s="16"/>
      <c r="T113" s="24" t="str">
        <f t="shared" si="28"/>
        <v/>
      </c>
      <c r="U113" s="16"/>
      <c r="V113" s="26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3" s="4"/>
      <c r="X113" s="4"/>
      <c r="Y113" s="16"/>
      <c r="Z113" s="27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</sheetData>
  <mergeCells count="922">
    <mergeCell ref="P87:Q87"/>
    <mergeCell ref="R87:S87"/>
    <mergeCell ref="T87:U87"/>
    <mergeCell ref="V87:Y87"/>
    <mergeCell ref="N86:O86"/>
    <mergeCell ref="P86:Q86"/>
    <mergeCell ref="V86:Y86"/>
    <mergeCell ref="D87:E87"/>
    <mergeCell ref="F87:G87"/>
    <mergeCell ref="H87:I87"/>
    <mergeCell ref="J87:K87"/>
    <mergeCell ref="R76:S76"/>
    <mergeCell ref="T76:U76"/>
    <mergeCell ref="V76:Y76"/>
    <mergeCell ref="D76:E76"/>
    <mergeCell ref="F76:G76"/>
    <mergeCell ref="H76:I76"/>
    <mergeCell ref="J76:K76"/>
    <mergeCell ref="L76:M76"/>
    <mergeCell ref="N76:O76"/>
    <mergeCell ref="P76:Q76"/>
    <mergeCell ref="R77:S77"/>
    <mergeCell ref="T77:U77"/>
    <mergeCell ref="V77:Y77"/>
    <mergeCell ref="D77:E77"/>
    <mergeCell ref="F77:G77"/>
    <mergeCell ref="H77:I77"/>
    <mergeCell ref="J77:K77"/>
    <mergeCell ref="L77:M77"/>
    <mergeCell ref="N77:O77"/>
    <mergeCell ref="P77:Q77"/>
    <mergeCell ref="R78:S78"/>
    <mergeCell ref="T78:U78"/>
    <mergeCell ref="V78:Y78"/>
    <mergeCell ref="D78:E78"/>
    <mergeCell ref="F78:G78"/>
    <mergeCell ref="H78:I78"/>
    <mergeCell ref="J78:K78"/>
    <mergeCell ref="L78:M78"/>
    <mergeCell ref="N78:O78"/>
    <mergeCell ref="P78:Q78"/>
    <mergeCell ref="N88:O88"/>
    <mergeCell ref="P88:Q88"/>
    <mergeCell ref="R88:S88"/>
    <mergeCell ref="T88:U88"/>
    <mergeCell ref="V88:Y88"/>
    <mergeCell ref="R79:S79"/>
    <mergeCell ref="T79:U79"/>
    <mergeCell ref="V79:Y79"/>
    <mergeCell ref="D79:E79"/>
    <mergeCell ref="F79:G79"/>
    <mergeCell ref="H79:I79"/>
    <mergeCell ref="J79:K79"/>
    <mergeCell ref="L79:M79"/>
    <mergeCell ref="N79:O79"/>
    <mergeCell ref="P79:Q79"/>
    <mergeCell ref="R80:S80"/>
    <mergeCell ref="T80:U80"/>
    <mergeCell ref="V80:Y80"/>
    <mergeCell ref="D80:E80"/>
    <mergeCell ref="F80:G80"/>
    <mergeCell ref="H80:I80"/>
    <mergeCell ref="J80:K80"/>
    <mergeCell ref="L80:M80"/>
    <mergeCell ref="N80:O80"/>
    <mergeCell ref="P80:Q80"/>
    <mergeCell ref="R81:S81"/>
    <mergeCell ref="T81:U81"/>
    <mergeCell ref="V81:Y81"/>
    <mergeCell ref="D81:E81"/>
    <mergeCell ref="F81:G81"/>
    <mergeCell ref="H81:I81"/>
    <mergeCell ref="J81:K81"/>
    <mergeCell ref="L81:M81"/>
    <mergeCell ref="N81:O81"/>
    <mergeCell ref="P81:Q81"/>
    <mergeCell ref="R82:S82"/>
    <mergeCell ref="T82:U82"/>
    <mergeCell ref="V82:Y82"/>
    <mergeCell ref="D82:E82"/>
    <mergeCell ref="F82:G82"/>
    <mergeCell ref="H82:I82"/>
    <mergeCell ref="J82:K82"/>
    <mergeCell ref="L82:M82"/>
    <mergeCell ref="N82:O82"/>
    <mergeCell ref="P82:Q82"/>
    <mergeCell ref="R83:S83"/>
    <mergeCell ref="T83:U83"/>
    <mergeCell ref="V83:Y83"/>
    <mergeCell ref="D83:E83"/>
    <mergeCell ref="F83:G83"/>
    <mergeCell ref="H83:I83"/>
    <mergeCell ref="J83:K83"/>
    <mergeCell ref="L83:M83"/>
    <mergeCell ref="N83:O83"/>
    <mergeCell ref="P83:Q83"/>
    <mergeCell ref="R86:S86"/>
    <mergeCell ref="T86:U86"/>
    <mergeCell ref="B85:U85"/>
    <mergeCell ref="V85:W85"/>
    <mergeCell ref="D86:E86"/>
    <mergeCell ref="F86:G86"/>
    <mergeCell ref="H86:I86"/>
    <mergeCell ref="J86:K86"/>
    <mergeCell ref="L86:M86"/>
    <mergeCell ref="L87:M87"/>
    <mergeCell ref="N87:O87"/>
    <mergeCell ref="D88:E88"/>
    <mergeCell ref="F88:G88"/>
    <mergeCell ref="H88:I88"/>
    <mergeCell ref="J88:K88"/>
    <mergeCell ref="L88:M88"/>
    <mergeCell ref="R89:S89"/>
    <mergeCell ref="T89:U89"/>
    <mergeCell ref="V89:Y89"/>
    <mergeCell ref="D89:E89"/>
    <mergeCell ref="F89:G89"/>
    <mergeCell ref="H89:I89"/>
    <mergeCell ref="J89:K89"/>
    <mergeCell ref="L89:M89"/>
    <mergeCell ref="N89:O89"/>
    <mergeCell ref="P89:Q89"/>
    <mergeCell ref="R90:S90"/>
    <mergeCell ref="T90:U90"/>
    <mergeCell ref="V90:Y90"/>
    <mergeCell ref="D90:E90"/>
    <mergeCell ref="F90:G90"/>
    <mergeCell ref="H90:I90"/>
    <mergeCell ref="J90:K90"/>
    <mergeCell ref="L90:M90"/>
    <mergeCell ref="N90:O90"/>
    <mergeCell ref="P90:Q90"/>
    <mergeCell ref="R91:S91"/>
    <mergeCell ref="T91:U91"/>
    <mergeCell ref="V91:Y91"/>
    <mergeCell ref="D91:E91"/>
    <mergeCell ref="F91:G91"/>
    <mergeCell ref="H91:I91"/>
    <mergeCell ref="J91:K91"/>
    <mergeCell ref="L91:M91"/>
    <mergeCell ref="N91:O91"/>
    <mergeCell ref="P91:Q91"/>
    <mergeCell ref="P103:Q103"/>
    <mergeCell ref="R103:S103"/>
    <mergeCell ref="T103:U103"/>
    <mergeCell ref="V103:Y103"/>
    <mergeCell ref="N102:O102"/>
    <mergeCell ref="P102:Q102"/>
    <mergeCell ref="V102:Y102"/>
    <mergeCell ref="D103:E103"/>
    <mergeCell ref="F103:G103"/>
    <mergeCell ref="H103:I103"/>
    <mergeCell ref="J103:K103"/>
    <mergeCell ref="R92:S92"/>
    <mergeCell ref="T92:U92"/>
    <mergeCell ref="V92:Y92"/>
    <mergeCell ref="D92:E92"/>
    <mergeCell ref="F92:G92"/>
    <mergeCell ref="H92:I92"/>
    <mergeCell ref="J92:K92"/>
    <mergeCell ref="L92:M92"/>
    <mergeCell ref="N92:O92"/>
    <mergeCell ref="P92:Q92"/>
    <mergeCell ref="R93:S93"/>
    <mergeCell ref="T93:U93"/>
    <mergeCell ref="V93:Y93"/>
    <mergeCell ref="D93:E93"/>
    <mergeCell ref="F93:G93"/>
    <mergeCell ref="H93:I93"/>
    <mergeCell ref="J93:K93"/>
    <mergeCell ref="L93:M93"/>
    <mergeCell ref="N93:O93"/>
    <mergeCell ref="P93:Q93"/>
    <mergeCell ref="R94:S94"/>
    <mergeCell ref="T94:U94"/>
    <mergeCell ref="V94:Y94"/>
    <mergeCell ref="D94:E94"/>
    <mergeCell ref="F94:G94"/>
    <mergeCell ref="H94:I94"/>
    <mergeCell ref="J94:K94"/>
    <mergeCell ref="L94:M94"/>
    <mergeCell ref="N94:O94"/>
    <mergeCell ref="P94:Q94"/>
    <mergeCell ref="N104:O104"/>
    <mergeCell ref="P104:Q104"/>
    <mergeCell ref="R104:S104"/>
    <mergeCell ref="T104:U104"/>
    <mergeCell ref="V104:Y104"/>
    <mergeCell ref="R111:S111"/>
    <mergeCell ref="T111:U111"/>
    <mergeCell ref="V111:Y111"/>
    <mergeCell ref="D111:E111"/>
    <mergeCell ref="F111:G111"/>
    <mergeCell ref="H111:I111"/>
    <mergeCell ref="J111:K111"/>
    <mergeCell ref="L111:M111"/>
    <mergeCell ref="N111:O111"/>
    <mergeCell ref="P111:Q111"/>
    <mergeCell ref="R112:S112"/>
    <mergeCell ref="T112:U112"/>
    <mergeCell ref="V112:Y112"/>
    <mergeCell ref="D112:E112"/>
    <mergeCell ref="F112:G112"/>
    <mergeCell ref="H112:I112"/>
    <mergeCell ref="J112:K112"/>
    <mergeCell ref="L112:M112"/>
    <mergeCell ref="N112:O112"/>
    <mergeCell ref="P112:Q112"/>
    <mergeCell ref="R108:S108"/>
    <mergeCell ref="T108:U108"/>
    <mergeCell ref="V108:Y108"/>
    <mergeCell ref="D108:E108"/>
    <mergeCell ref="F108:G108"/>
    <mergeCell ref="H108:I108"/>
    <mergeCell ref="J108:K108"/>
    <mergeCell ref="L108:M108"/>
    <mergeCell ref="N108:O108"/>
    <mergeCell ref="P108:Q108"/>
    <mergeCell ref="R109:S109"/>
    <mergeCell ref="T109:U109"/>
    <mergeCell ref="V109:Y109"/>
    <mergeCell ref="D109:E109"/>
    <mergeCell ref="F109:G109"/>
    <mergeCell ref="H109:I109"/>
    <mergeCell ref="J109:K109"/>
    <mergeCell ref="L109:M109"/>
    <mergeCell ref="N109:O109"/>
    <mergeCell ref="P109:Q109"/>
    <mergeCell ref="R110:S110"/>
    <mergeCell ref="T110:U110"/>
    <mergeCell ref="V110:Y110"/>
    <mergeCell ref="D110:E110"/>
    <mergeCell ref="F110:G110"/>
    <mergeCell ref="H110:I110"/>
    <mergeCell ref="J110:K110"/>
    <mergeCell ref="L110:M110"/>
    <mergeCell ref="N110:O110"/>
    <mergeCell ref="P110:Q110"/>
    <mergeCell ref="R113:S113"/>
    <mergeCell ref="T113:U113"/>
    <mergeCell ref="V113:Y113"/>
    <mergeCell ref="D113:E113"/>
    <mergeCell ref="F113:G113"/>
    <mergeCell ref="H113:I113"/>
    <mergeCell ref="J113:K113"/>
    <mergeCell ref="L113:M113"/>
    <mergeCell ref="N113:O113"/>
    <mergeCell ref="P113:Q113"/>
    <mergeCell ref="R95:S95"/>
    <mergeCell ref="T95:U95"/>
    <mergeCell ref="V95:Y95"/>
    <mergeCell ref="D95:E95"/>
    <mergeCell ref="F95:G95"/>
    <mergeCell ref="H95:I95"/>
    <mergeCell ref="J95:K95"/>
    <mergeCell ref="L95:M95"/>
    <mergeCell ref="N95:O95"/>
    <mergeCell ref="P95:Q95"/>
    <mergeCell ref="R96:S96"/>
    <mergeCell ref="T96:U96"/>
    <mergeCell ref="V96:Y96"/>
    <mergeCell ref="D96:E96"/>
    <mergeCell ref="F96:G96"/>
    <mergeCell ref="H96:I96"/>
    <mergeCell ref="J96:K96"/>
    <mergeCell ref="L96:M96"/>
    <mergeCell ref="N96:O96"/>
    <mergeCell ref="P96:Q96"/>
    <mergeCell ref="R97:S97"/>
    <mergeCell ref="T97:U97"/>
    <mergeCell ref="V97:Y97"/>
    <mergeCell ref="D97:E97"/>
    <mergeCell ref="F97:G97"/>
    <mergeCell ref="H97:I97"/>
    <mergeCell ref="J97:K97"/>
    <mergeCell ref="L97:M97"/>
    <mergeCell ref="N97:O97"/>
    <mergeCell ref="P97:Q97"/>
    <mergeCell ref="R98:S98"/>
    <mergeCell ref="T98:U98"/>
    <mergeCell ref="V98:Y98"/>
    <mergeCell ref="D98:E98"/>
    <mergeCell ref="F98:G98"/>
    <mergeCell ref="H98:I98"/>
    <mergeCell ref="J98:K98"/>
    <mergeCell ref="L98:M98"/>
    <mergeCell ref="N98:O98"/>
    <mergeCell ref="P98:Q98"/>
    <mergeCell ref="R99:S99"/>
    <mergeCell ref="T99:U99"/>
    <mergeCell ref="V99:Y99"/>
    <mergeCell ref="D99:E99"/>
    <mergeCell ref="F99:G99"/>
    <mergeCell ref="H99:I99"/>
    <mergeCell ref="J99:K99"/>
    <mergeCell ref="L99:M99"/>
    <mergeCell ref="N99:O99"/>
    <mergeCell ref="P99:Q99"/>
    <mergeCell ref="R102:S102"/>
    <mergeCell ref="T102:U102"/>
    <mergeCell ref="B101:U101"/>
    <mergeCell ref="V101:W101"/>
    <mergeCell ref="D102:E102"/>
    <mergeCell ref="F102:G102"/>
    <mergeCell ref="H102:I102"/>
    <mergeCell ref="J102:K102"/>
    <mergeCell ref="L102:M102"/>
    <mergeCell ref="L103:M103"/>
    <mergeCell ref="N103:O103"/>
    <mergeCell ref="D104:E104"/>
    <mergeCell ref="F104:G104"/>
    <mergeCell ref="H104:I104"/>
    <mergeCell ref="J104:K104"/>
    <mergeCell ref="L104:M104"/>
    <mergeCell ref="R105:S105"/>
    <mergeCell ref="T105:U105"/>
    <mergeCell ref="V105:Y105"/>
    <mergeCell ref="D105:E105"/>
    <mergeCell ref="F105:G105"/>
    <mergeCell ref="H105:I105"/>
    <mergeCell ref="J105:K105"/>
    <mergeCell ref="L105:M105"/>
    <mergeCell ref="N105:O105"/>
    <mergeCell ref="P105:Q105"/>
    <mergeCell ref="R106:S106"/>
    <mergeCell ref="T106:U106"/>
    <mergeCell ref="V106:Y106"/>
    <mergeCell ref="D106:E106"/>
    <mergeCell ref="F106:G106"/>
    <mergeCell ref="H106:I106"/>
    <mergeCell ref="J106:K106"/>
    <mergeCell ref="L106:M106"/>
    <mergeCell ref="N106:O106"/>
    <mergeCell ref="P106:Q106"/>
    <mergeCell ref="R107:S107"/>
    <mergeCell ref="T107:U107"/>
    <mergeCell ref="V107:Y107"/>
    <mergeCell ref="D107:E107"/>
    <mergeCell ref="F107:G107"/>
    <mergeCell ref="H107:I107"/>
    <mergeCell ref="J107:K107"/>
    <mergeCell ref="L107:M107"/>
    <mergeCell ref="N107:O107"/>
    <mergeCell ref="P107:Q107"/>
    <mergeCell ref="B2:D2"/>
    <mergeCell ref="B3:D3"/>
    <mergeCell ref="B4:D4"/>
    <mergeCell ref="B5:D5"/>
    <mergeCell ref="B6:D6"/>
    <mergeCell ref="B7:D7"/>
    <mergeCell ref="B8:D8"/>
    <mergeCell ref="P12:Q12"/>
    <mergeCell ref="R12:S12"/>
    <mergeCell ref="V12:Y12"/>
    <mergeCell ref="B9:D9"/>
    <mergeCell ref="B11:U11"/>
    <mergeCell ref="V11:W11"/>
    <mergeCell ref="D12:E12"/>
    <mergeCell ref="F12:G12"/>
    <mergeCell ref="H12:I12"/>
    <mergeCell ref="J12:K12"/>
    <mergeCell ref="T12:U12"/>
    <mergeCell ref="N13:O13"/>
    <mergeCell ref="P13:Q13"/>
    <mergeCell ref="R13:S13"/>
    <mergeCell ref="T13:U13"/>
    <mergeCell ref="V13:Y13"/>
    <mergeCell ref="L12:M12"/>
    <mergeCell ref="N12:O12"/>
    <mergeCell ref="D13:E13"/>
    <mergeCell ref="F13:G13"/>
    <mergeCell ref="H13:I13"/>
    <mergeCell ref="J13:K13"/>
    <mergeCell ref="L13:M13"/>
    <mergeCell ref="R14:S14"/>
    <mergeCell ref="T14:U14"/>
    <mergeCell ref="V14:Y14"/>
    <mergeCell ref="D14:E14"/>
    <mergeCell ref="F14:G14"/>
    <mergeCell ref="H14:I14"/>
    <mergeCell ref="J14:K14"/>
    <mergeCell ref="L14:M14"/>
    <mergeCell ref="N14:O14"/>
    <mergeCell ref="P14:Q14"/>
    <mergeCell ref="R18:S18"/>
    <mergeCell ref="T18:U18"/>
    <mergeCell ref="V18:Y18"/>
    <mergeCell ref="D18:E18"/>
    <mergeCell ref="F18:G18"/>
    <mergeCell ref="H18:I18"/>
    <mergeCell ref="J18:K18"/>
    <mergeCell ref="L18:M18"/>
    <mergeCell ref="N18:O18"/>
    <mergeCell ref="P18:Q18"/>
    <mergeCell ref="R21:S21"/>
    <mergeCell ref="T21:U21"/>
    <mergeCell ref="B20:U20"/>
    <mergeCell ref="V20:W20"/>
    <mergeCell ref="D21:E21"/>
    <mergeCell ref="F21:G21"/>
    <mergeCell ref="H21:I21"/>
    <mergeCell ref="J21:K21"/>
    <mergeCell ref="L21:M21"/>
    <mergeCell ref="P22:Q22"/>
    <mergeCell ref="R22:S22"/>
    <mergeCell ref="T22:U22"/>
    <mergeCell ref="V22:Y22"/>
    <mergeCell ref="N21:O21"/>
    <mergeCell ref="P21:Q21"/>
    <mergeCell ref="V21:Y21"/>
    <mergeCell ref="D22:E22"/>
    <mergeCell ref="F22:G22"/>
    <mergeCell ref="H22:I22"/>
    <mergeCell ref="J22:K22"/>
    <mergeCell ref="R15:S15"/>
    <mergeCell ref="T15:U15"/>
    <mergeCell ref="V15:Y15"/>
    <mergeCell ref="D15:E15"/>
    <mergeCell ref="F15:G15"/>
    <mergeCell ref="H15:I15"/>
    <mergeCell ref="J15:K15"/>
    <mergeCell ref="L15:M15"/>
    <mergeCell ref="N15:O15"/>
    <mergeCell ref="P15:Q15"/>
    <mergeCell ref="R16:S16"/>
    <mergeCell ref="T16:U16"/>
    <mergeCell ref="V16:Y16"/>
    <mergeCell ref="D16:E16"/>
    <mergeCell ref="F16:G16"/>
    <mergeCell ref="H16:I16"/>
    <mergeCell ref="J16:K16"/>
    <mergeCell ref="L16:M16"/>
    <mergeCell ref="N16:O16"/>
    <mergeCell ref="P16:Q16"/>
    <mergeCell ref="R17:S17"/>
    <mergeCell ref="T17:U17"/>
    <mergeCell ref="V17:Y17"/>
    <mergeCell ref="D17:E17"/>
    <mergeCell ref="F17:G17"/>
    <mergeCell ref="H17:I17"/>
    <mergeCell ref="J17:K17"/>
    <mergeCell ref="L17:M17"/>
    <mergeCell ref="N17:O17"/>
    <mergeCell ref="P17:Q17"/>
    <mergeCell ref="N23:O23"/>
    <mergeCell ref="P23:Q23"/>
    <mergeCell ref="R23:S23"/>
    <mergeCell ref="T23:U23"/>
    <mergeCell ref="V23:Y23"/>
    <mergeCell ref="L22:M22"/>
    <mergeCell ref="N22:O22"/>
    <mergeCell ref="D23:E23"/>
    <mergeCell ref="F23:G23"/>
    <mergeCell ref="H23:I23"/>
    <mergeCell ref="J23:K23"/>
    <mergeCell ref="L23:M23"/>
    <mergeCell ref="R24:S24"/>
    <mergeCell ref="T24:U24"/>
    <mergeCell ref="V24:Y24"/>
    <mergeCell ref="D24:E24"/>
    <mergeCell ref="F24:G24"/>
    <mergeCell ref="H24:I24"/>
    <mergeCell ref="J24:K24"/>
    <mergeCell ref="L24:M24"/>
    <mergeCell ref="N24:O24"/>
    <mergeCell ref="P24:Q24"/>
    <mergeCell ref="R25:S25"/>
    <mergeCell ref="T25:U25"/>
    <mergeCell ref="V25:Y25"/>
    <mergeCell ref="D25:E25"/>
    <mergeCell ref="F25:G25"/>
    <mergeCell ref="H25:I25"/>
    <mergeCell ref="J25:K25"/>
    <mergeCell ref="L25:M25"/>
    <mergeCell ref="N25:O25"/>
    <mergeCell ref="P25:Q25"/>
    <mergeCell ref="R26:S26"/>
    <mergeCell ref="T26:U26"/>
    <mergeCell ref="V26:Y26"/>
    <mergeCell ref="D26:E26"/>
    <mergeCell ref="F26:G26"/>
    <mergeCell ref="H26:I26"/>
    <mergeCell ref="J26:K26"/>
    <mergeCell ref="L26:M26"/>
    <mergeCell ref="N26:O26"/>
    <mergeCell ref="P26:Q26"/>
    <mergeCell ref="R30:S30"/>
    <mergeCell ref="T30:U30"/>
    <mergeCell ref="V30:Y30"/>
    <mergeCell ref="D30:E30"/>
    <mergeCell ref="F30:G30"/>
    <mergeCell ref="H30:I30"/>
    <mergeCell ref="J30:K30"/>
    <mergeCell ref="L30:M30"/>
    <mergeCell ref="N30:O30"/>
    <mergeCell ref="P30:Q30"/>
    <mergeCell ref="P39:Q39"/>
    <mergeCell ref="R39:S39"/>
    <mergeCell ref="T39:U39"/>
    <mergeCell ref="V39:Y39"/>
    <mergeCell ref="N38:O38"/>
    <mergeCell ref="P38:Q38"/>
    <mergeCell ref="V38:Y38"/>
    <mergeCell ref="D39:E39"/>
    <mergeCell ref="F39:G39"/>
    <mergeCell ref="H39:I39"/>
    <mergeCell ref="J39:K39"/>
    <mergeCell ref="R27:S27"/>
    <mergeCell ref="T27:U27"/>
    <mergeCell ref="V27:Y27"/>
    <mergeCell ref="D27:E27"/>
    <mergeCell ref="F27:G27"/>
    <mergeCell ref="H27:I27"/>
    <mergeCell ref="J27:K27"/>
    <mergeCell ref="L27:M27"/>
    <mergeCell ref="N27:O27"/>
    <mergeCell ref="P27:Q27"/>
    <mergeCell ref="R28:S28"/>
    <mergeCell ref="T28:U28"/>
    <mergeCell ref="V28:Y28"/>
    <mergeCell ref="D28:E28"/>
    <mergeCell ref="F28:G28"/>
    <mergeCell ref="H28:I28"/>
    <mergeCell ref="J28:K28"/>
    <mergeCell ref="L28:M28"/>
    <mergeCell ref="N28:O28"/>
    <mergeCell ref="P28:Q28"/>
    <mergeCell ref="R29:S29"/>
    <mergeCell ref="T29:U29"/>
    <mergeCell ref="V29:Y29"/>
    <mergeCell ref="D29:E29"/>
    <mergeCell ref="F29:G29"/>
    <mergeCell ref="H29:I29"/>
    <mergeCell ref="J29:K29"/>
    <mergeCell ref="L29:M29"/>
    <mergeCell ref="N29:O29"/>
    <mergeCell ref="P29:Q29"/>
    <mergeCell ref="N40:O40"/>
    <mergeCell ref="P40:Q40"/>
    <mergeCell ref="R40:S40"/>
    <mergeCell ref="T40:U40"/>
    <mergeCell ref="V40:Y40"/>
    <mergeCell ref="R31:S31"/>
    <mergeCell ref="T31:U31"/>
    <mergeCell ref="V31:Y31"/>
    <mergeCell ref="D31:E31"/>
    <mergeCell ref="F31:G31"/>
    <mergeCell ref="H31:I31"/>
    <mergeCell ref="J31:K31"/>
    <mergeCell ref="L31:M31"/>
    <mergeCell ref="N31:O31"/>
    <mergeCell ref="P31:Q31"/>
    <mergeCell ref="R32:S32"/>
    <mergeCell ref="T32:U32"/>
    <mergeCell ref="V32:Y32"/>
    <mergeCell ref="D32:E32"/>
    <mergeCell ref="F32:G32"/>
    <mergeCell ref="H32:I32"/>
    <mergeCell ref="J32:K32"/>
    <mergeCell ref="L32:M32"/>
    <mergeCell ref="N32:O32"/>
    <mergeCell ref="P32:Q32"/>
    <mergeCell ref="R33:S33"/>
    <mergeCell ref="T33:U33"/>
    <mergeCell ref="V33:Y33"/>
    <mergeCell ref="D33:E33"/>
    <mergeCell ref="F33:G33"/>
    <mergeCell ref="H33:I33"/>
    <mergeCell ref="J33:K33"/>
    <mergeCell ref="L33:M33"/>
    <mergeCell ref="N33:O33"/>
    <mergeCell ref="P33:Q33"/>
    <mergeCell ref="R34:S34"/>
    <mergeCell ref="T34:U34"/>
    <mergeCell ref="V34:Y34"/>
    <mergeCell ref="D34:E34"/>
    <mergeCell ref="F34:G34"/>
    <mergeCell ref="H34:I34"/>
    <mergeCell ref="J34:K34"/>
    <mergeCell ref="L34:M34"/>
    <mergeCell ref="N34:O34"/>
    <mergeCell ref="P34:Q34"/>
    <mergeCell ref="R35:S35"/>
    <mergeCell ref="T35:U35"/>
    <mergeCell ref="V35:Y35"/>
    <mergeCell ref="D35:E35"/>
    <mergeCell ref="F35:G35"/>
    <mergeCell ref="H35:I35"/>
    <mergeCell ref="J35:K35"/>
    <mergeCell ref="L35:M35"/>
    <mergeCell ref="N35:O35"/>
    <mergeCell ref="P35:Q35"/>
    <mergeCell ref="R38:S38"/>
    <mergeCell ref="T38:U38"/>
    <mergeCell ref="B37:U37"/>
    <mergeCell ref="V37:W37"/>
    <mergeCell ref="D38:E38"/>
    <mergeCell ref="F38:G38"/>
    <mergeCell ref="H38:I38"/>
    <mergeCell ref="J38:K38"/>
    <mergeCell ref="L38:M38"/>
    <mergeCell ref="L39:M39"/>
    <mergeCell ref="N39:O39"/>
    <mergeCell ref="D40:E40"/>
    <mergeCell ref="F40:G40"/>
    <mergeCell ref="H40:I40"/>
    <mergeCell ref="J40:K40"/>
    <mergeCell ref="L40:M40"/>
    <mergeCell ref="R41:S41"/>
    <mergeCell ref="T41:U41"/>
    <mergeCell ref="V41:Y41"/>
    <mergeCell ref="D41:E41"/>
    <mergeCell ref="F41:G41"/>
    <mergeCell ref="H41:I41"/>
    <mergeCell ref="J41:K41"/>
    <mergeCell ref="L41:M41"/>
    <mergeCell ref="N41:O41"/>
    <mergeCell ref="P41:Q41"/>
    <mergeCell ref="R42:S42"/>
    <mergeCell ref="T42:U42"/>
    <mergeCell ref="V42:Y42"/>
    <mergeCell ref="D42:E42"/>
    <mergeCell ref="F42:G42"/>
    <mergeCell ref="H42:I42"/>
    <mergeCell ref="J42:K42"/>
    <mergeCell ref="L42:M42"/>
    <mergeCell ref="N42:O42"/>
    <mergeCell ref="P42:Q42"/>
    <mergeCell ref="R43:S43"/>
    <mergeCell ref="T43:U43"/>
    <mergeCell ref="V43:Y43"/>
    <mergeCell ref="D43:E43"/>
    <mergeCell ref="F43:G43"/>
    <mergeCell ref="H43:I43"/>
    <mergeCell ref="J43:K43"/>
    <mergeCell ref="L43:M43"/>
    <mergeCell ref="N43:O43"/>
    <mergeCell ref="P43:Q43"/>
    <mergeCell ref="P55:Q55"/>
    <mergeCell ref="R55:S55"/>
    <mergeCell ref="T55:U55"/>
    <mergeCell ref="V55:Y55"/>
    <mergeCell ref="N54:O54"/>
    <mergeCell ref="P54:Q54"/>
    <mergeCell ref="V54:Y54"/>
    <mergeCell ref="D55:E55"/>
    <mergeCell ref="F55:G55"/>
    <mergeCell ref="H55:I55"/>
    <mergeCell ref="J55:K55"/>
    <mergeCell ref="R44:S44"/>
    <mergeCell ref="T44:U44"/>
    <mergeCell ref="V44:Y44"/>
    <mergeCell ref="D44:E44"/>
    <mergeCell ref="F44:G44"/>
    <mergeCell ref="H44:I44"/>
    <mergeCell ref="J44:K44"/>
    <mergeCell ref="L44:M44"/>
    <mergeCell ref="N44:O44"/>
    <mergeCell ref="P44:Q44"/>
    <mergeCell ref="R45:S45"/>
    <mergeCell ref="T45:U45"/>
    <mergeCell ref="V45:Y45"/>
    <mergeCell ref="D45:E45"/>
    <mergeCell ref="F45:G45"/>
    <mergeCell ref="H45:I45"/>
    <mergeCell ref="J45:K45"/>
    <mergeCell ref="L45:M45"/>
    <mergeCell ref="N45:O45"/>
    <mergeCell ref="P45:Q45"/>
    <mergeCell ref="R46:S46"/>
    <mergeCell ref="T46:U46"/>
    <mergeCell ref="V46:Y46"/>
    <mergeCell ref="D46:E46"/>
    <mergeCell ref="F46:G46"/>
    <mergeCell ref="H46:I46"/>
    <mergeCell ref="J46:K46"/>
    <mergeCell ref="L46:M46"/>
    <mergeCell ref="N46:O46"/>
    <mergeCell ref="P46:Q46"/>
    <mergeCell ref="N56:O56"/>
    <mergeCell ref="P56:Q56"/>
    <mergeCell ref="R56:S56"/>
    <mergeCell ref="T56:U56"/>
    <mergeCell ref="V56:Y56"/>
    <mergeCell ref="R47:S47"/>
    <mergeCell ref="T47:U47"/>
    <mergeCell ref="V47:Y47"/>
    <mergeCell ref="D47:E47"/>
    <mergeCell ref="F47:G47"/>
    <mergeCell ref="H47:I47"/>
    <mergeCell ref="J47:K47"/>
    <mergeCell ref="L47:M47"/>
    <mergeCell ref="N47:O47"/>
    <mergeCell ref="P47:Q47"/>
    <mergeCell ref="R48:S48"/>
    <mergeCell ref="T48:U48"/>
    <mergeCell ref="V48:Y48"/>
    <mergeCell ref="D48:E48"/>
    <mergeCell ref="F48:G48"/>
    <mergeCell ref="H48:I48"/>
    <mergeCell ref="J48:K48"/>
    <mergeCell ref="L48:M48"/>
    <mergeCell ref="N48:O48"/>
    <mergeCell ref="P48:Q48"/>
    <mergeCell ref="R49:S49"/>
    <mergeCell ref="T49:U49"/>
    <mergeCell ref="V49:Y49"/>
    <mergeCell ref="D49:E49"/>
    <mergeCell ref="F49:G49"/>
    <mergeCell ref="H49:I49"/>
    <mergeCell ref="J49:K49"/>
    <mergeCell ref="L49:M49"/>
    <mergeCell ref="N49:O49"/>
    <mergeCell ref="P49:Q49"/>
    <mergeCell ref="R50:S50"/>
    <mergeCell ref="T50:U50"/>
    <mergeCell ref="V50:Y50"/>
    <mergeCell ref="D50:E50"/>
    <mergeCell ref="F50:G50"/>
    <mergeCell ref="H50:I50"/>
    <mergeCell ref="J50:K50"/>
    <mergeCell ref="L50:M50"/>
    <mergeCell ref="N50:O50"/>
    <mergeCell ref="P50:Q50"/>
    <mergeCell ref="R51:S51"/>
    <mergeCell ref="T51:U51"/>
    <mergeCell ref="V51:Y51"/>
    <mergeCell ref="D51:E51"/>
    <mergeCell ref="F51:G51"/>
    <mergeCell ref="H51:I51"/>
    <mergeCell ref="J51:K51"/>
    <mergeCell ref="L51:M51"/>
    <mergeCell ref="N51:O51"/>
    <mergeCell ref="P51:Q51"/>
    <mergeCell ref="R54:S54"/>
    <mergeCell ref="T54:U54"/>
    <mergeCell ref="B53:U53"/>
    <mergeCell ref="V53:W53"/>
    <mergeCell ref="D54:E54"/>
    <mergeCell ref="F54:G54"/>
    <mergeCell ref="H54:I54"/>
    <mergeCell ref="J54:K54"/>
    <mergeCell ref="L54:M54"/>
    <mergeCell ref="L55:M55"/>
    <mergeCell ref="N55:O55"/>
    <mergeCell ref="D56:E56"/>
    <mergeCell ref="F56:G56"/>
    <mergeCell ref="H56:I56"/>
    <mergeCell ref="J56:K56"/>
    <mergeCell ref="L56:M56"/>
    <mergeCell ref="R57:S57"/>
    <mergeCell ref="T57:U57"/>
    <mergeCell ref="V57:Y57"/>
    <mergeCell ref="D57:E57"/>
    <mergeCell ref="F57:G57"/>
    <mergeCell ref="H57:I57"/>
    <mergeCell ref="J57:K57"/>
    <mergeCell ref="L57:M57"/>
    <mergeCell ref="N57:O57"/>
    <mergeCell ref="P57:Q57"/>
    <mergeCell ref="R58:S58"/>
    <mergeCell ref="T58:U58"/>
    <mergeCell ref="V58:Y58"/>
    <mergeCell ref="D58:E58"/>
    <mergeCell ref="F58:G58"/>
    <mergeCell ref="H58:I58"/>
    <mergeCell ref="J58:K58"/>
    <mergeCell ref="L58:M58"/>
    <mergeCell ref="N58:O58"/>
    <mergeCell ref="P58:Q58"/>
    <mergeCell ref="R59:S59"/>
    <mergeCell ref="T59:U59"/>
    <mergeCell ref="V59:Y59"/>
    <mergeCell ref="D59:E59"/>
    <mergeCell ref="F59:G59"/>
    <mergeCell ref="H59:I59"/>
    <mergeCell ref="J59:K59"/>
    <mergeCell ref="L59:M59"/>
    <mergeCell ref="N59:O59"/>
    <mergeCell ref="P59:Q59"/>
    <mergeCell ref="P71:Q71"/>
    <mergeCell ref="R71:S71"/>
    <mergeCell ref="T71:U71"/>
    <mergeCell ref="V71:Y71"/>
    <mergeCell ref="N70:O70"/>
    <mergeCell ref="P70:Q70"/>
    <mergeCell ref="V70:Y70"/>
    <mergeCell ref="D71:E71"/>
    <mergeCell ref="F71:G71"/>
    <mergeCell ref="H71:I71"/>
    <mergeCell ref="J71:K71"/>
    <mergeCell ref="R60:S60"/>
    <mergeCell ref="T60:U60"/>
    <mergeCell ref="V60:Y60"/>
    <mergeCell ref="D60:E60"/>
    <mergeCell ref="F60:G60"/>
    <mergeCell ref="H60:I60"/>
    <mergeCell ref="J60:K60"/>
    <mergeCell ref="L60:M60"/>
    <mergeCell ref="N60:O60"/>
    <mergeCell ref="P60:Q60"/>
    <mergeCell ref="R61:S61"/>
    <mergeCell ref="T61:U61"/>
    <mergeCell ref="V61:Y61"/>
    <mergeCell ref="D61:E61"/>
    <mergeCell ref="F61:G61"/>
    <mergeCell ref="H61:I61"/>
    <mergeCell ref="J61:K61"/>
    <mergeCell ref="L61:M61"/>
    <mergeCell ref="N61:O61"/>
    <mergeCell ref="P61:Q61"/>
    <mergeCell ref="R62:S62"/>
    <mergeCell ref="T62:U62"/>
    <mergeCell ref="V62:Y62"/>
    <mergeCell ref="D62:E62"/>
    <mergeCell ref="F62:G62"/>
    <mergeCell ref="H62:I62"/>
    <mergeCell ref="J62:K62"/>
    <mergeCell ref="L62:M62"/>
    <mergeCell ref="N62:O62"/>
    <mergeCell ref="P62:Q62"/>
    <mergeCell ref="N72:O72"/>
    <mergeCell ref="P72:Q72"/>
    <mergeCell ref="R72:S72"/>
    <mergeCell ref="T72:U72"/>
    <mergeCell ref="V72:Y72"/>
    <mergeCell ref="R63:S63"/>
    <mergeCell ref="T63:U63"/>
    <mergeCell ref="V63:Y63"/>
    <mergeCell ref="D63:E63"/>
    <mergeCell ref="F63:G63"/>
    <mergeCell ref="H63:I63"/>
    <mergeCell ref="J63:K63"/>
    <mergeCell ref="L63:M63"/>
    <mergeCell ref="N63:O63"/>
    <mergeCell ref="P63:Q63"/>
    <mergeCell ref="R64:S64"/>
    <mergeCell ref="T64:U64"/>
    <mergeCell ref="V64:Y64"/>
    <mergeCell ref="D64:E64"/>
    <mergeCell ref="F64:G64"/>
    <mergeCell ref="H64:I64"/>
    <mergeCell ref="J64:K64"/>
    <mergeCell ref="L64:M64"/>
    <mergeCell ref="N64:O64"/>
    <mergeCell ref="P64:Q64"/>
    <mergeCell ref="R65:S65"/>
    <mergeCell ref="T65:U65"/>
    <mergeCell ref="V65:Y65"/>
    <mergeCell ref="D65:E65"/>
    <mergeCell ref="F65:G65"/>
    <mergeCell ref="H65:I65"/>
    <mergeCell ref="J65:K65"/>
    <mergeCell ref="L65:M65"/>
    <mergeCell ref="N65:O65"/>
    <mergeCell ref="P65:Q65"/>
    <mergeCell ref="R66:S66"/>
    <mergeCell ref="T66:U66"/>
    <mergeCell ref="V66:Y66"/>
    <mergeCell ref="D66:E66"/>
    <mergeCell ref="F66:G66"/>
    <mergeCell ref="H66:I66"/>
    <mergeCell ref="J66:K66"/>
    <mergeCell ref="L66:M66"/>
    <mergeCell ref="N66:O66"/>
    <mergeCell ref="P66:Q66"/>
    <mergeCell ref="R67:S67"/>
    <mergeCell ref="T67:U67"/>
    <mergeCell ref="V67:Y67"/>
    <mergeCell ref="D67:E67"/>
    <mergeCell ref="F67:G67"/>
    <mergeCell ref="H67:I67"/>
    <mergeCell ref="J67:K67"/>
    <mergeCell ref="L67:M67"/>
    <mergeCell ref="N67:O67"/>
    <mergeCell ref="P67:Q67"/>
    <mergeCell ref="R70:S70"/>
    <mergeCell ref="T70:U70"/>
    <mergeCell ref="B69:U69"/>
    <mergeCell ref="V69:W69"/>
    <mergeCell ref="D70:E70"/>
    <mergeCell ref="F70:G70"/>
    <mergeCell ref="H70:I70"/>
    <mergeCell ref="J70:K70"/>
    <mergeCell ref="L70:M70"/>
    <mergeCell ref="L71:M71"/>
    <mergeCell ref="N71:O71"/>
    <mergeCell ref="D72:E72"/>
    <mergeCell ref="F72:G72"/>
    <mergeCell ref="H72:I72"/>
    <mergeCell ref="J72:K72"/>
    <mergeCell ref="L72:M72"/>
    <mergeCell ref="R73:S73"/>
    <mergeCell ref="T73:U73"/>
    <mergeCell ref="V73:Y73"/>
    <mergeCell ref="D73:E73"/>
    <mergeCell ref="F73:G73"/>
    <mergeCell ref="H73:I73"/>
    <mergeCell ref="J73:K73"/>
    <mergeCell ref="L73:M73"/>
    <mergeCell ref="N73:O73"/>
    <mergeCell ref="P73:Q73"/>
    <mergeCell ref="R74:S74"/>
    <mergeCell ref="T74:U74"/>
    <mergeCell ref="V74:Y74"/>
    <mergeCell ref="D74:E74"/>
    <mergeCell ref="F74:G74"/>
    <mergeCell ref="H74:I74"/>
    <mergeCell ref="J74:K74"/>
    <mergeCell ref="L74:M74"/>
    <mergeCell ref="N74:O74"/>
    <mergeCell ref="P74:Q74"/>
    <mergeCell ref="R75:S75"/>
    <mergeCell ref="T75:U75"/>
    <mergeCell ref="V75:Y75"/>
    <mergeCell ref="D75:E75"/>
    <mergeCell ref="F75:G75"/>
    <mergeCell ref="H75:I75"/>
    <mergeCell ref="J75:K75"/>
    <mergeCell ref="L75:M75"/>
    <mergeCell ref="N75:O75"/>
    <mergeCell ref="P75:Q75"/>
  </mergeCells>
  <conditionalFormatting sqref="D13:E18 D22:E35 D39:E51 D55:E67 D71:E83 D87:E99 D103:E113">
    <cfRule type="expression" dxfId="0" priority="1">
      <formula>INDIRECT(CONCAT("D",ROW()))</formula>
    </cfRule>
  </conditionalFormatting>
  <conditionalFormatting sqref="B13:E18 B22:E35 B39:E51 B55:E67 B71:E83 B87:E99 B103:E113">
    <cfRule type="expression" dxfId="0" priority="2">
      <formula>INDIRECT(CONCAT("D",ROW()))</formula>
    </cfRule>
  </conditionalFormatting>
  <dataValidations>
    <dataValidation type="list" allowBlank="1" sqref="B13:B18 B22:B35 B39:B51 B55:B67 B71:B83 B87:B99 B103:B113">
      <formula1>DataSheet!$B$4:$C$167</formula1>
    </dataValidation>
    <dataValidation type="list" allowBlank="1" sqref="C13:C18 C22:C35 C39:C51 C55:C67 C71:C83 C87:C99 C103:C113">
      <formula1>"Empower,Enlarge,Extend,Heighten,Maximize,Quicken,Silent,Still,Widen"</formula1>
    </dataValidation>
  </dataValidations>
  <hyperlinks>
    <hyperlink display="Cantrips" location="Known Spells!B11:Y18" ref="B3"/>
    <hyperlink display="1st Level Spells" location="Known Spells!B20:Z35" ref="B4"/>
    <hyperlink display="2nd Level Spells" location="Known Spells!B37:Z51" ref="B5"/>
    <hyperlink display="3rd Level Spells" location="Known Spells!B53:Z67" ref="B6"/>
    <hyperlink display="4th Level Spells" location="Known Spells!B69:Z83" ref="B7"/>
    <hyperlink display="5th Level Spells" location="Known Spells!B85:Z99" ref="B8"/>
    <hyperlink display="6th Level Spells" location="Known Spells!B101:Z113" ref="B9"/>
  </hyperlink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4.43" defaultRowHeight="15.75"/>
  <cols>
    <col customWidth="1" min="1" max="1" width="3.14"/>
    <col customWidth="1" min="2" max="2" width="21.43"/>
    <col customWidth="1" min="3" max="3" width="18.14"/>
    <col customWidth="1" min="4" max="4" width="3.14"/>
    <col customWidth="1" min="5" max="5" width="7.57"/>
    <col customWidth="1" min="6" max="6" width="6.0"/>
    <col customWidth="1" min="7" max="8" width="7.29"/>
    <col customWidth="1" min="9" max="9" width="5.71"/>
    <col customWidth="1" min="10" max="10" width="10.0"/>
    <col customWidth="1" min="11" max="11" width="6.57"/>
    <col customWidth="1" min="12" max="12" width="7.86"/>
    <col customWidth="1" min="13" max="14" width="14.43"/>
    <col customWidth="1" min="15" max="15" width="11.57"/>
    <col customWidth="1" min="16" max="16" width="8.29"/>
    <col customWidth="1" min="17" max="17" width="10.0"/>
    <col customWidth="1" min="18" max="18" width="7.14"/>
    <col customWidth="1" min="19" max="19" width="8.86"/>
    <col customWidth="1" min="20" max="20" width="9.57"/>
    <col customWidth="1" min="21" max="22" width="7.29"/>
    <col customWidth="1" min="23" max="23" width="4.86"/>
    <col customWidth="1" min="24" max="24" width="14.43"/>
    <col customWidth="1" min="25" max="25" width="3.14"/>
  </cols>
  <sheetData>
    <row r="1"/>
    <row r="2">
      <c r="B2" s="40" t="s">
        <v>0</v>
      </c>
      <c r="C2" s="41"/>
      <c r="D2" s="5"/>
    </row>
    <row r="3">
      <c r="B3" s="42" t="s">
        <v>3</v>
      </c>
      <c r="C3" s="41"/>
      <c r="D3" s="5"/>
    </row>
    <row r="4">
      <c r="B4" s="43" t="s">
        <v>4</v>
      </c>
      <c r="C4" s="41"/>
      <c r="D4" s="5"/>
    </row>
    <row r="5">
      <c r="B5" s="42" t="s">
        <v>5</v>
      </c>
      <c r="C5" s="41"/>
      <c r="D5" s="5"/>
    </row>
    <row r="6">
      <c r="B6" s="43" t="s">
        <v>6</v>
      </c>
      <c r="C6" s="41"/>
      <c r="D6" s="5"/>
    </row>
    <row r="7">
      <c r="B7" s="42" t="s">
        <v>7</v>
      </c>
      <c r="C7" s="41"/>
      <c r="D7" s="5"/>
    </row>
    <row r="8">
      <c r="B8" s="43" t="s">
        <v>8</v>
      </c>
      <c r="C8" s="41"/>
      <c r="D8" s="5"/>
    </row>
    <row r="9">
      <c r="B9" s="42" t="s">
        <v>9</v>
      </c>
      <c r="C9" s="41"/>
      <c r="D9" s="5"/>
    </row>
    <row r="10"/>
    <row r="11">
      <c r="B11" s="44" t="s">
        <v>24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16"/>
    </row>
    <row r="12">
      <c r="B12" s="45" t="s">
        <v>1</v>
      </c>
      <c r="C12" s="46" t="s">
        <v>12</v>
      </c>
      <c r="D12" s="20"/>
      <c r="E12" s="46" t="s">
        <v>15</v>
      </c>
      <c r="F12" s="20"/>
      <c r="G12" s="46" t="s">
        <v>16</v>
      </c>
      <c r="H12" s="20"/>
      <c r="I12" s="46" t="s">
        <v>17</v>
      </c>
      <c r="J12" s="20"/>
      <c r="K12" s="46" t="s">
        <v>18</v>
      </c>
      <c r="L12" s="20"/>
      <c r="M12" s="46" t="s">
        <v>19</v>
      </c>
      <c r="N12" s="20"/>
      <c r="O12" s="46" t="s">
        <v>20</v>
      </c>
      <c r="P12" s="20"/>
      <c r="Q12" s="46" t="s">
        <v>21</v>
      </c>
      <c r="R12" s="20"/>
      <c r="S12" s="46" t="s">
        <v>22</v>
      </c>
      <c r="T12" s="20"/>
      <c r="U12" s="46" t="s">
        <v>23</v>
      </c>
      <c r="V12" s="9"/>
      <c r="W12" s="9"/>
      <c r="X12" s="20"/>
    </row>
    <row r="13">
      <c r="B13" s="47">
        <v>0.0</v>
      </c>
      <c r="C13" s="48" t="s">
        <v>25</v>
      </c>
      <c r="D13" s="16"/>
      <c r="E13" s="49" t="s">
        <v>26</v>
      </c>
      <c r="F13" s="16"/>
      <c r="G13" s="49" t="s">
        <v>27</v>
      </c>
      <c r="H13" s="16"/>
      <c r="I13" s="49" t="s">
        <v>28</v>
      </c>
      <c r="J13" s="16"/>
      <c r="K13" s="49" t="str">
        <f>medium</f>
        <v>Medium: 140 ft</v>
      </c>
      <c r="L13" s="16"/>
      <c r="M13" s="25" t="s">
        <v>29</v>
      </c>
      <c r="N13" s="16"/>
      <c r="O13" s="49" t="s">
        <v>30</v>
      </c>
      <c r="P13" s="16"/>
      <c r="Q13" s="49" t="s">
        <v>31</v>
      </c>
      <c r="R13" s="16"/>
      <c r="S13" s="49" t="s">
        <v>32</v>
      </c>
      <c r="T13" s="16"/>
      <c r="U13" s="50" t="s">
        <v>33</v>
      </c>
      <c r="V13" s="4"/>
      <c r="W13" s="4"/>
      <c r="X13" s="16"/>
    </row>
    <row r="14">
      <c r="B14" s="51">
        <v>0.0</v>
      </c>
      <c r="C14" s="52" t="s">
        <v>34</v>
      </c>
      <c r="D14" s="20"/>
      <c r="E14" s="53" t="s">
        <v>35</v>
      </c>
      <c r="F14" s="20"/>
      <c r="G14" s="53" t="s">
        <v>36</v>
      </c>
      <c r="H14" s="20"/>
      <c r="I14" s="53" t="s">
        <v>28</v>
      </c>
      <c r="J14" s="20"/>
      <c r="K14" s="31" t="str">
        <f>close</f>
        <v>Close: 35 ft</v>
      </c>
      <c r="L14" s="20"/>
      <c r="M14" s="31" t="s">
        <v>37</v>
      </c>
      <c r="N14" s="20"/>
      <c r="O14" s="53" t="s">
        <v>38</v>
      </c>
      <c r="P14" s="20"/>
      <c r="Q14" s="53" t="s">
        <v>39</v>
      </c>
      <c r="R14" s="20"/>
      <c r="S14" s="53" t="s">
        <v>40</v>
      </c>
      <c r="T14" s="20"/>
      <c r="U14" s="54" t="s">
        <v>41</v>
      </c>
      <c r="V14" s="9"/>
      <c r="W14" s="9"/>
      <c r="X14" s="20"/>
    </row>
    <row r="15">
      <c r="B15" s="47">
        <v>0.0</v>
      </c>
      <c r="C15" s="48" t="s">
        <v>42</v>
      </c>
      <c r="D15" s="16"/>
      <c r="E15" s="49" t="s">
        <v>43</v>
      </c>
      <c r="F15" s="16"/>
      <c r="G15" s="49" t="s">
        <v>27</v>
      </c>
      <c r="H15" s="16"/>
      <c r="I15" s="49" t="s">
        <v>28</v>
      </c>
      <c r="J15" s="16"/>
      <c r="K15" s="49" t="s">
        <v>44</v>
      </c>
      <c r="L15" s="16"/>
      <c r="M15" s="49" t="s">
        <v>45</v>
      </c>
      <c r="N15" s="16"/>
      <c r="O15" s="25" t="str">
        <f>"Concentration, up to "&amp;Level&amp;" minute(s)
1 minute/level"</f>
        <v>Concentration, up to 4 minute(s)
1 minute/level</v>
      </c>
      <c r="P15" s="16"/>
      <c r="Q15" s="49" t="s">
        <v>31</v>
      </c>
      <c r="R15" s="16"/>
      <c r="S15" s="49" t="s">
        <v>32</v>
      </c>
      <c r="T15" s="16"/>
      <c r="U15" s="50" t="s">
        <v>46</v>
      </c>
      <c r="V15" s="4"/>
      <c r="W15" s="4"/>
      <c r="X15" s="16"/>
    </row>
    <row r="16">
      <c r="B16" s="51">
        <v>0.0</v>
      </c>
      <c r="C16" s="52" t="s">
        <v>47</v>
      </c>
      <c r="D16" s="20"/>
      <c r="E16" s="53" t="s">
        <v>26</v>
      </c>
      <c r="F16" s="20"/>
      <c r="G16" s="53" t="s">
        <v>48</v>
      </c>
      <c r="H16" s="20"/>
      <c r="I16" s="53" t="s">
        <v>28</v>
      </c>
      <c r="J16" s="20"/>
      <c r="K16" s="31" t="str">
        <f>close</f>
        <v>Close: 35 ft</v>
      </c>
      <c r="L16" s="20"/>
      <c r="M16" s="31" t="s">
        <v>49</v>
      </c>
      <c r="N16" s="20"/>
      <c r="O16" s="53" t="s">
        <v>50</v>
      </c>
      <c r="P16" s="20"/>
      <c r="Q16" s="53" t="s">
        <v>51</v>
      </c>
      <c r="R16" s="20"/>
      <c r="S16" s="53" t="s">
        <v>40</v>
      </c>
      <c r="T16" s="20"/>
      <c r="U16" s="54" t="s">
        <v>52</v>
      </c>
      <c r="V16" s="9"/>
      <c r="W16" s="9"/>
      <c r="X16" s="20"/>
    </row>
    <row r="17">
      <c r="B17" s="47">
        <v>0.0</v>
      </c>
      <c r="C17" s="48" t="s">
        <v>53</v>
      </c>
      <c r="D17" s="16"/>
      <c r="E17" s="25" t="s">
        <v>54</v>
      </c>
      <c r="F17" s="16"/>
      <c r="G17" s="25" t="s">
        <v>36</v>
      </c>
      <c r="H17" s="16"/>
      <c r="I17" s="25" t="s">
        <v>28</v>
      </c>
      <c r="J17" s="16"/>
      <c r="K17" s="25" t="str">
        <f>close</f>
        <v>Close: 35 ft</v>
      </c>
      <c r="L17" s="16"/>
      <c r="M17" s="25" t="s">
        <v>55</v>
      </c>
      <c r="N17" s="16"/>
      <c r="O17" s="25" t="str">
        <f>Level&amp;" round(s) (D)
1 round/level"</f>
        <v>4 round(s) (D)
1 round/level</v>
      </c>
      <c r="P17" s="16"/>
      <c r="Q17" s="25" t="s">
        <v>56</v>
      </c>
      <c r="R17" s="16"/>
      <c r="S17" s="25" t="s">
        <v>32</v>
      </c>
      <c r="T17" s="16"/>
      <c r="U17" s="50" t="s">
        <v>57</v>
      </c>
      <c r="V17" s="4"/>
      <c r="W17" s="4"/>
      <c r="X17" s="16"/>
    </row>
    <row r="18">
      <c r="B18" s="51">
        <v>0.0</v>
      </c>
      <c r="C18" s="52" t="s">
        <v>58</v>
      </c>
      <c r="D18" s="20"/>
      <c r="E18" s="31" t="s">
        <v>43</v>
      </c>
      <c r="F18" s="20"/>
      <c r="G18" s="31" t="s">
        <v>27</v>
      </c>
      <c r="H18" s="20"/>
      <c r="I18" s="31" t="s">
        <v>28</v>
      </c>
      <c r="J18" s="20"/>
      <c r="K18" s="31" t="s">
        <v>59</v>
      </c>
      <c r="L18" s="20"/>
      <c r="M18" s="31" t="s">
        <v>60</v>
      </c>
      <c r="N18" s="20"/>
      <c r="O18" s="31" t="s">
        <v>50</v>
      </c>
      <c r="P18" s="20"/>
      <c r="Q18" s="31" t="s">
        <v>61</v>
      </c>
      <c r="R18" s="20"/>
      <c r="S18" s="31" t="s">
        <v>61</v>
      </c>
      <c r="T18" s="20"/>
      <c r="U18" s="54" t="s">
        <v>62</v>
      </c>
      <c r="V18" s="9"/>
      <c r="W18" s="9"/>
      <c r="X18" s="20"/>
    </row>
    <row r="19">
      <c r="B19" s="47">
        <v>0.0</v>
      </c>
      <c r="C19" s="48" t="s">
        <v>63</v>
      </c>
      <c r="D19" s="16"/>
      <c r="E19" s="25" t="s">
        <v>26</v>
      </c>
      <c r="F19" s="16"/>
      <c r="G19" s="25" t="s">
        <v>64</v>
      </c>
      <c r="H19" s="16"/>
      <c r="I19" s="25" t="s">
        <v>28</v>
      </c>
      <c r="J19" s="16"/>
      <c r="K19" s="25" t="s">
        <v>65</v>
      </c>
      <c r="L19" s="16"/>
      <c r="M19" s="25" t="s">
        <v>66</v>
      </c>
      <c r="N19" s="16"/>
      <c r="O19" s="25" t="str">
        <f>CONCAT(Level*10, " minutes
10 minutes/level")</f>
        <v>40 minutes
10 minutes/level</v>
      </c>
      <c r="P19" s="16"/>
      <c r="Q19" s="25" t="s">
        <v>31</v>
      </c>
      <c r="R19" s="16"/>
      <c r="S19" s="25" t="s">
        <v>32</v>
      </c>
      <c r="T19" s="16"/>
      <c r="U19" s="50" t="s">
        <v>67</v>
      </c>
      <c r="V19" s="4"/>
      <c r="W19" s="4"/>
      <c r="X19" s="16"/>
    </row>
    <row r="20">
      <c r="B20" s="55">
        <v>0.0</v>
      </c>
      <c r="C20" s="52" t="s">
        <v>68</v>
      </c>
      <c r="D20" s="20"/>
      <c r="E20" s="31" t="s">
        <v>69</v>
      </c>
      <c r="F20" s="20"/>
      <c r="G20" s="31" t="s">
        <v>27</v>
      </c>
      <c r="H20" s="20"/>
      <c r="I20" s="31" t="s">
        <v>28</v>
      </c>
      <c r="J20" s="20"/>
      <c r="K20" s="31" t="str">
        <f>medium</f>
        <v>Medium: 140 ft</v>
      </c>
      <c r="L20" s="20"/>
      <c r="M20" s="31" t="s">
        <v>70</v>
      </c>
      <c r="N20" s="20"/>
      <c r="O20" s="31" t="str">
        <f>"Concentration + "&amp;Level&amp;" round(s) (D)
1 round/level"</f>
        <v>Concentration + 4 round(s) (D)
1 round/level</v>
      </c>
      <c r="P20" s="20"/>
      <c r="Q20" s="31" t="s">
        <v>39</v>
      </c>
      <c r="R20" s="20"/>
      <c r="S20" s="31" t="s">
        <v>40</v>
      </c>
      <c r="T20" s="20"/>
      <c r="U20" s="54" t="s">
        <v>71</v>
      </c>
      <c r="V20" s="9"/>
      <c r="W20" s="9"/>
      <c r="X20" s="20"/>
    </row>
    <row r="21">
      <c r="B21" s="56">
        <v>0.0</v>
      </c>
      <c r="C21" s="48" t="s">
        <v>72</v>
      </c>
      <c r="D21" s="16"/>
      <c r="E21" s="25" t="s">
        <v>73</v>
      </c>
      <c r="F21" s="16"/>
      <c r="G21" s="25" t="s">
        <v>27</v>
      </c>
      <c r="H21" s="16"/>
      <c r="I21" s="25" t="s">
        <v>28</v>
      </c>
      <c r="J21" s="16"/>
      <c r="K21" s="25" t="str">
        <f>close</f>
        <v>Close: 35 ft</v>
      </c>
      <c r="L21" s="16"/>
      <c r="M21" s="25" t="s">
        <v>74</v>
      </c>
      <c r="N21" s="16"/>
      <c r="O21" s="25" t="s">
        <v>75</v>
      </c>
      <c r="P21" s="16"/>
      <c r="Q21" s="25" t="s">
        <v>31</v>
      </c>
      <c r="R21" s="16"/>
      <c r="S21" s="25" t="s">
        <v>32</v>
      </c>
      <c r="T21" s="16"/>
      <c r="U21" s="50" t="s">
        <v>76</v>
      </c>
      <c r="V21" s="4"/>
      <c r="W21" s="4"/>
      <c r="X21" s="16"/>
    </row>
    <row r="22">
      <c r="B22" s="55">
        <v>0.0</v>
      </c>
      <c r="C22" s="52" t="s">
        <v>77</v>
      </c>
      <c r="D22" s="20"/>
      <c r="E22" s="31" t="s">
        <v>73</v>
      </c>
      <c r="F22" s="20"/>
      <c r="G22" s="31" t="s">
        <v>27</v>
      </c>
      <c r="H22" s="20"/>
      <c r="I22" s="31" t="s">
        <v>28</v>
      </c>
      <c r="J22" s="20"/>
      <c r="K22" s="31" t="s">
        <v>78</v>
      </c>
      <c r="L22" s="20"/>
      <c r="M22" s="31" t="s">
        <v>79</v>
      </c>
      <c r="N22" s="20"/>
      <c r="O22" s="31" t="s">
        <v>50</v>
      </c>
      <c r="P22" s="20"/>
      <c r="Q22" s="31" t="s">
        <v>80</v>
      </c>
      <c r="R22" s="20"/>
      <c r="S22" s="31" t="s">
        <v>81</v>
      </c>
      <c r="T22" s="20"/>
      <c r="U22" s="54" t="s">
        <v>82</v>
      </c>
      <c r="V22" s="9"/>
      <c r="W22" s="9"/>
      <c r="X22" s="20"/>
    </row>
    <row r="23">
      <c r="B23" s="56">
        <v>0.0</v>
      </c>
      <c r="C23" s="48" t="s">
        <v>83</v>
      </c>
      <c r="D23" s="16"/>
      <c r="E23" s="25" t="s">
        <v>84</v>
      </c>
      <c r="F23" s="16"/>
      <c r="G23" s="25" t="s">
        <v>85</v>
      </c>
      <c r="H23" s="16"/>
      <c r="I23" s="25" t="s">
        <v>28</v>
      </c>
      <c r="J23" s="16"/>
      <c r="K23" s="25" t="str">
        <f>medium</f>
        <v>Medium: 140 ft</v>
      </c>
      <c r="L23" s="16"/>
      <c r="M23" s="25" t="str">
        <f>Level&amp;" creature(s), 1 creature/level"</f>
        <v>4 creature(s), 1 creature/level</v>
      </c>
      <c r="N23" s="16"/>
      <c r="O23" s="25" t="str">
        <f>Level*10&amp;" minutes
10 minutes/level"</f>
        <v>40 minutes
10 minutes/level</v>
      </c>
      <c r="P23" s="16"/>
      <c r="Q23" s="25" t="s">
        <v>31</v>
      </c>
      <c r="R23" s="16"/>
      <c r="S23" s="25" t="s">
        <v>32</v>
      </c>
      <c r="T23" s="16"/>
      <c r="U23" s="50" t="s">
        <v>86</v>
      </c>
      <c r="V23" s="4"/>
      <c r="W23" s="4"/>
      <c r="X23" s="16"/>
      <c r="Y23" s="57"/>
    </row>
    <row r="24">
      <c r="B24" s="55">
        <v>0.0</v>
      </c>
      <c r="C24" s="52" t="s">
        <v>87</v>
      </c>
      <c r="D24" s="20"/>
      <c r="E24" s="31" t="s">
        <v>73</v>
      </c>
      <c r="F24" s="20"/>
      <c r="G24" s="31" t="s">
        <v>85</v>
      </c>
      <c r="H24" s="20"/>
      <c r="I24" s="31" t="s">
        <v>28</v>
      </c>
      <c r="J24" s="20"/>
      <c r="K24" s="31" t="str">
        <f>close</f>
        <v>Close: 35 ft</v>
      </c>
      <c r="L24" s="20"/>
      <c r="M24" s="31" t="s">
        <v>88</v>
      </c>
      <c r="N24" s="20"/>
      <c r="O24" s="31" t="s">
        <v>50</v>
      </c>
      <c r="P24" s="20"/>
      <c r="Q24" s="31" t="s">
        <v>89</v>
      </c>
      <c r="R24" s="20"/>
      <c r="S24" s="31" t="s">
        <v>90</v>
      </c>
      <c r="T24" s="20"/>
      <c r="U24" s="54" t="s">
        <v>91</v>
      </c>
      <c r="V24" s="9"/>
      <c r="W24" s="9"/>
      <c r="X24" s="20"/>
      <c r="Y24" s="58"/>
    </row>
    <row r="25">
      <c r="B25" s="56">
        <v>0.0</v>
      </c>
      <c r="C25" s="48" t="s">
        <v>92</v>
      </c>
      <c r="D25" s="16"/>
      <c r="E25" s="25" t="s">
        <v>93</v>
      </c>
      <c r="F25" s="16"/>
      <c r="G25" s="25" t="s">
        <v>27</v>
      </c>
      <c r="H25" s="16"/>
      <c r="I25" s="25" t="s">
        <v>28</v>
      </c>
      <c r="J25" s="16"/>
      <c r="K25" s="25" t="s">
        <v>78</v>
      </c>
      <c r="L25" s="16"/>
      <c r="M25" s="25" t="s">
        <v>94</v>
      </c>
      <c r="N25" s="16"/>
      <c r="O25" s="25" t="s">
        <v>95</v>
      </c>
      <c r="P25" s="16"/>
      <c r="Q25" s="25" t="s">
        <v>94</v>
      </c>
      <c r="R25" s="16"/>
      <c r="S25" s="25" t="s">
        <v>32</v>
      </c>
      <c r="T25" s="16"/>
      <c r="U25" s="50" t="s">
        <v>96</v>
      </c>
      <c r="V25" s="4"/>
      <c r="W25" s="4"/>
      <c r="X25" s="16"/>
      <c r="Y25" s="58"/>
    </row>
    <row r="26">
      <c r="B26" s="55">
        <v>0.0</v>
      </c>
      <c r="C26" s="52" t="s">
        <v>97</v>
      </c>
      <c r="D26" s="20"/>
      <c r="E26" s="53" t="s">
        <v>43</v>
      </c>
      <c r="F26" s="20"/>
      <c r="G26" s="53" t="s">
        <v>85</v>
      </c>
      <c r="H26" s="20"/>
      <c r="I26" s="53" t="s">
        <v>28</v>
      </c>
      <c r="J26" s="20"/>
      <c r="K26" s="53" t="s">
        <v>59</v>
      </c>
      <c r="L26" s="20"/>
      <c r="M26" s="53" t="s">
        <v>60</v>
      </c>
      <c r="N26" s="20"/>
      <c r="O26" s="31" t="str">
        <f>CONCAT(Level*10, " minutes
10 minutes/level")</f>
        <v>40 minutes
10 minutes/level</v>
      </c>
      <c r="P26" s="20"/>
      <c r="Q26" s="53" t="s">
        <v>61</v>
      </c>
      <c r="R26" s="20"/>
      <c r="S26" s="53" t="s">
        <v>61</v>
      </c>
      <c r="T26" s="20"/>
      <c r="U26" s="54" t="s">
        <v>98</v>
      </c>
      <c r="V26" s="9"/>
      <c r="W26" s="9"/>
      <c r="X26" s="20"/>
      <c r="Y26" s="58"/>
    </row>
    <row r="27">
      <c r="B27" s="56">
        <v>0.0</v>
      </c>
      <c r="C27" s="59" t="s">
        <v>99</v>
      </c>
      <c r="D27" s="16"/>
      <c r="E27" s="60" t="s">
        <v>100</v>
      </c>
      <c r="F27" s="16"/>
      <c r="G27" s="49" t="s">
        <v>36</v>
      </c>
      <c r="H27" s="16"/>
      <c r="I27" s="60" t="s">
        <v>28</v>
      </c>
      <c r="J27" s="16"/>
      <c r="K27" s="60" t="s">
        <v>65</v>
      </c>
      <c r="L27" s="16"/>
      <c r="M27" s="49" t="s">
        <v>101</v>
      </c>
      <c r="N27" s="16"/>
      <c r="O27" s="60" t="s">
        <v>102</v>
      </c>
      <c r="P27" s="16"/>
      <c r="Q27" s="60" t="s">
        <v>103</v>
      </c>
      <c r="R27" s="16"/>
      <c r="S27" s="49" t="s">
        <v>104</v>
      </c>
      <c r="T27" s="16"/>
      <c r="U27" s="61" t="s">
        <v>105</v>
      </c>
      <c r="V27" s="4"/>
      <c r="W27" s="4"/>
      <c r="X27" s="16"/>
      <c r="Y27" s="62"/>
    </row>
    <row r="28">
      <c r="B28" s="55">
        <v>0.0</v>
      </c>
      <c r="C28" s="63" t="s">
        <v>106</v>
      </c>
      <c r="D28" s="20"/>
      <c r="E28" s="53" t="s">
        <v>107</v>
      </c>
      <c r="F28" s="20"/>
      <c r="G28" s="53" t="s">
        <v>27</v>
      </c>
      <c r="H28" s="20"/>
      <c r="I28" s="53" t="s">
        <v>38</v>
      </c>
      <c r="J28" s="20"/>
      <c r="K28" s="53" t="s">
        <v>108</v>
      </c>
      <c r="L28" s="20"/>
      <c r="M28" s="31" t="s">
        <v>109</v>
      </c>
      <c r="N28" s="20"/>
      <c r="O28" s="64" t="str">
        <f>Level&amp;" minute(s) (D)
1 minute/level"</f>
        <v>4 minute(s) (D)
1 minute/level</v>
      </c>
      <c r="P28" s="20"/>
      <c r="Q28" s="53" t="s">
        <v>31</v>
      </c>
      <c r="R28" s="20"/>
      <c r="S28" s="53" t="s">
        <v>32</v>
      </c>
      <c r="T28" s="20"/>
      <c r="U28" s="65" t="s">
        <v>110</v>
      </c>
      <c r="V28" s="9"/>
      <c r="W28" s="9"/>
      <c r="X28" s="20"/>
      <c r="Y28" s="62"/>
    </row>
    <row r="29">
      <c r="B29" s="56">
        <v>1.0</v>
      </c>
      <c r="C29" s="48" t="s">
        <v>111</v>
      </c>
      <c r="D29" s="16"/>
      <c r="E29" s="25" t="s">
        <v>100</v>
      </c>
      <c r="F29" s="16"/>
      <c r="G29" s="25" t="s">
        <v>85</v>
      </c>
      <c r="H29" s="16"/>
      <c r="I29" s="25" t="s">
        <v>28</v>
      </c>
      <c r="J29" s="16"/>
      <c r="K29" s="25" t="str">
        <f>close</f>
        <v>Close: 35 ft</v>
      </c>
      <c r="L29" s="16"/>
      <c r="M29" s="25" t="s">
        <v>112</v>
      </c>
      <c r="N29" s="16"/>
      <c r="O29" s="25" t="str">
        <f>Level*2&amp;" hours (D)
2 hours/level"</f>
        <v>8 hours (D)
2 hours/level</v>
      </c>
      <c r="P29" s="16"/>
      <c r="Q29" s="25" t="s">
        <v>31</v>
      </c>
      <c r="R29" s="16"/>
      <c r="S29" s="25" t="s">
        <v>32</v>
      </c>
      <c r="T29" s="16"/>
      <c r="U29" s="50" t="str">
        <f>"Wards an area for "&amp;Level*2&amp;" hours, 2 hours/level"</f>
        <v>Wards an area for 8 hours, 2 hours/level</v>
      </c>
      <c r="V29" s="4"/>
      <c r="W29" s="4"/>
      <c r="X29" s="16"/>
      <c r="Y29" s="62"/>
    </row>
    <row r="30">
      <c r="B30" s="55">
        <v>1.0</v>
      </c>
      <c r="C30" s="52" t="s">
        <v>113</v>
      </c>
      <c r="D30" s="20"/>
      <c r="E30" s="31" t="s">
        <v>73</v>
      </c>
      <c r="F30" s="20"/>
      <c r="G30" s="31" t="s">
        <v>27</v>
      </c>
      <c r="H30" s="20"/>
      <c r="I30" s="31" t="s">
        <v>28</v>
      </c>
      <c r="J30" s="20"/>
      <c r="K30" s="31" t="str">
        <f>medium</f>
        <v>Medium: 140 ft</v>
      </c>
      <c r="L30" s="20"/>
      <c r="M30" s="31" t="str">
        <f>"One ropelike object, length up to "&amp;50+Level*5&amp;" ft, 50+5 ft/level, see text"</f>
        <v>One ropelike object, length up to 70 ft, 50+5 ft/level, see text</v>
      </c>
      <c r="N30" s="20"/>
      <c r="O30" s="31" t="str">
        <f>Level&amp;" round(s)
1 round/level"</f>
        <v>4 round(s)
1 round/level</v>
      </c>
      <c r="P30" s="20"/>
      <c r="Q30" s="31" t="s">
        <v>31</v>
      </c>
      <c r="R30" s="20"/>
      <c r="S30" s="31" t="s">
        <v>32</v>
      </c>
      <c r="T30" s="20"/>
      <c r="U30" s="54" t="s">
        <v>114</v>
      </c>
      <c r="V30" s="9"/>
      <c r="W30" s="9"/>
      <c r="X30" s="20"/>
      <c r="Y30" s="62"/>
    </row>
    <row r="31">
      <c r="B31" s="56">
        <v>1.0</v>
      </c>
      <c r="C31" s="48" t="s">
        <v>115</v>
      </c>
      <c r="D31" s="16"/>
      <c r="E31" s="25" t="s">
        <v>116</v>
      </c>
      <c r="F31" s="16"/>
      <c r="G31" s="25" t="s">
        <v>27</v>
      </c>
      <c r="H31" s="16"/>
      <c r="I31" s="25" t="s">
        <v>28</v>
      </c>
      <c r="J31" s="16"/>
      <c r="K31" s="25" t="str">
        <f>close</f>
        <v>Close: 35 ft</v>
      </c>
      <c r="L31" s="16"/>
      <c r="M31" s="25" t="s">
        <v>117</v>
      </c>
      <c r="N31" s="16"/>
      <c r="O31" s="25" t="s">
        <v>118</v>
      </c>
      <c r="P31" s="16"/>
      <c r="Q31" s="25" t="s">
        <v>119</v>
      </c>
      <c r="R31" s="16"/>
      <c r="S31" s="25" t="s">
        <v>40</v>
      </c>
      <c r="T31" s="16"/>
      <c r="U31" s="50" t="s">
        <v>120</v>
      </c>
      <c r="V31" s="4"/>
      <c r="W31" s="4"/>
      <c r="X31" s="16"/>
      <c r="Y31" s="62"/>
    </row>
    <row r="32">
      <c r="B32" s="55">
        <v>1.0</v>
      </c>
      <c r="C32" s="52" t="s">
        <v>121</v>
      </c>
      <c r="D32" s="20"/>
      <c r="E32" s="31" t="s">
        <v>122</v>
      </c>
      <c r="F32" s="20"/>
      <c r="G32" s="31" t="s">
        <v>27</v>
      </c>
      <c r="H32" s="20"/>
      <c r="I32" s="31" t="s">
        <v>28</v>
      </c>
      <c r="J32" s="20"/>
      <c r="K32" s="31" t="str">
        <f>close</f>
        <v>Close: 35 ft</v>
      </c>
      <c r="L32" s="20"/>
      <c r="M32" s="31" t="s">
        <v>123</v>
      </c>
      <c r="N32" s="20"/>
      <c r="O32" s="31" t="str">
        <f>Level&amp;" hour(s)
1 hour/level"</f>
        <v>4 hour(s)
1 hour/level</v>
      </c>
      <c r="P32" s="20"/>
      <c r="Q32" s="31" t="s">
        <v>39</v>
      </c>
      <c r="R32" s="20"/>
      <c r="S32" s="31" t="s">
        <v>40</v>
      </c>
      <c r="T32" s="20"/>
      <c r="U32" s="54" t="s">
        <v>124</v>
      </c>
      <c r="V32" s="9"/>
      <c r="W32" s="9"/>
      <c r="X32" s="20"/>
      <c r="Y32" s="62"/>
    </row>
    <row r="33">
      <c r="B33" s="56">
        <v>1.0</v>
      </c>
      <c r="C33" s="48" t="s">
        <v>125</v>
      </c>
      <c r="D33" s="16"/>
      <c r="E33" s="25" t="s">
        <v>43</v>
      </c>
      <c r="F33" s="16"/>
      <c r="G33" s="25" t="s">
        <v>36</v>
      </c>
      <c r="H33" s="16"/>
      <c r="I33" s="25" t="s">
        <v>28</v>
      </c>
      <c r="J33" s="16"/>
      <c r="K33" s="25" t="s">
        <v>59</v>
      </c>
      <c r="L33" s="16"/>
      <c r="M33" s="25" t="s">
        <v>60</v>
      </c>
      <c r="N33" s="16"/>
      <c r="O33" s="25" t="str">
        <f>Level*10&amp;" minutes
10 minutes/level"</f>
        <v>40 minutes
10 minutes/level</v>
      </c>
      <c r="P33" s="16"/>
      <c r="Q33" s="25" t="s">
        <v>61</v>
      </c>
      <c r="R33" s="16"/>
      <c r="S33" s="25" t="s">
        <v>61</v>
      </c>
      <c r="T33" s="16"/>
      <c r="U33" s="50" t="s">
        <v>126</v>
      </c>
      <c r="V33" s="4"/>
      <c r="W33" s="4"/>
      <c r="X33" s="16"/>
      <c r="Y33" s="62"/>
    </row>
    <row r="34">
      <c r="B34" s="55">
        <v>1.0</v>
      </c>
      <c r="C34" s="63" t="s">
        <v>127</v>
      </c>
      <c r="D34" s="20"/>
      <c r="E34" s="31" t="s">
        <v>35</v>
      </c>
      <c r="F34" s="20"/>
      <c r="G34" s="31" t="s">
        <v>27</v>
      </c>
      <c r="H34" s="20"/>
      <c r="I34" s="66" t="s">
        <v>28</v>
      </c>
      <c r="J34" s="20"/>
      <c r="K34" s="66" t="str">
        <f>close</f>
        <v>Close: 35 ft</v>
      </c>
      <c r="L34" s="20"/>
      <c r="M34" s="31" t="s">
        <v>128</v>
      </c>
      <c r="N34" s="20"/>
      <c r="O34" s="31" t="s">
        <v>38</v>
      </c>
      <c r="P34" s="20"/>
      <c r="Q34" s="31" t="s">
        <v>39</v>
      </c>
      <c r="R34" s="20"/>
      <c r="S34" s="31" t="s">
        <v>40</v>
      </c>
      <c r="T34" s="20"/>
      <c r="U34" s="54" t="s">
        <v>129</v>
      </c>
      <c r="V34" s="9"/>
      <c r="W34" s="9"/>
      <c r="X34" s="20"/>
      <c r="Y34" s="62"/>
    </row>
    <row r="35">
      <c r="B35" s="56">
        <v>1.0</v>
      </c>
      <c r="C35" s="59" t="s">
        <v>130</v>
      </c>
      <c r="D35" s="16"/>
      <c r="E35" s="25" t="s">
        <v>131</v>
      </c>
      <c r="F35" s="16"/>
      <c r="G35" s="25" t="s">
        <v>27</v>
      </c>
      <c r="H35" s="16"/>
      <c r="I35" s="67" t="s">
        <v>28</v>
      </c>
      <c r="J35" s="16"/>
      <c r="K35" s="25" t="s">
        <v>65</v>
      </c>
      <c r="L35" s="16"/>
      <c r="M35" s="25" t="s">
        <v>132</v>
      </c>
      <c r="N35" s="16"/>
      <c r="O35" s="25" t="s">
        <v>50</v>
      </c>
      <c r="P35" s="16"/>
      <c r="Q35" s="25" t="s">
        <v>133</v>
      </c>
      <c r="R35" s="16"/>
      <c r="S35" s="25" t="s">
        <v>134</v>
      </c>
      <c r="T35" s="16"/>
      <c r="U35" s="50" t="str">
        <f>"Cures 1d8+"&amp;MIN(Level,5)&amp;" damage, +1/level, max +5"</f>
        <v>Cures 1d8+4 damage, +1/level, max +5</v>
      </c>
      <c r="V35" s="4"/>
      <c r="W35" s="4"/>
      <c r="X35" s="16"/>
      <c r="Y35" s="62"/>
    </row>
    <row r="36">
      <c r="B36" s="55">
        <v>1.0</v>
      </c>
      <c r="C36" s="63" t="s">
        <v>135</v>
      </c>
      <c r="D36" s="20"/>
      <c r="E36" s="31" t="s">
        <v>43</v>
      </c>
      <c r="F36" s="20"/>
      <c r="G36" s="31" t="s">
        <v>27</v>
      </c>
      <c r="H36" s="20"/>
      <c r="I36" s="66" t="s">
        <v>28</v>
      </c>
      <c r="J36" s="20"/>
      <c r="K36" s="31" t="s">
        <v>44</v>
      </c>
      <c r="L36" s="20"/>
      <c r="M36" s="31" t="s">
        <v>45</v>
      </c>
      <c r="N36" s="20"/>
      <c r="O36" s="31" t="str">
        <f>"Concentration, up to "&amp;Level&amp;" minute(s) (D)
1 minute/level"</f>
        <v>Concentration, up to 4 minute(s) (D)
1 minute/level</v>
      </c>
      <c r="P36" s="20"/>
      <c r="Q36" s="31" t="s">
        <v>31</v>
      </c>
      <c r="R36" s="20"/>
      <c r="S36" s="31" t="s">
        <v>32</v>
      </c>
      <c r="T36" s="20"/>
      <c r="U36" s="54" t="s">
        <v>136</v>
      </c>
      <c r="V36" s="9"/>
      <c r="W36" s="9"/>
      <c r="X36" s="20"/>
      <c r="Y36" s="62"/>
    </row>
    <row r="37">
      <c r="B37" s="56">
        <v>1.0</v>
      </c>
      <c r="C37" s="48" t="s">
        <v>137</v>
      </c>
      <c r="D37" s="16"/>
      <c r="E37" s="25" t="s">
        <v>138</v>
      </c>
      <c r="F37" s="16"/>
      <c r="G37" s="25" t="s">
        <v>27</v>
      </c>
      <c r="H37" s="16"/>
      <c r="I37" s="25" t="s">
        <v>28</v>
      </c>
      <c r="J37" s="16"/>
      <c r="K37" s="25" t="s">
        <v>59</v>
      </c>
      <c r="L37" s="16"/>
      <c r="M37" s="25" t="s">
        <v>60</v>
      </c>
      <c r="N37" s="16"/>
      <c r="O37" s="25" t="str">
        <f>Level*10&amp;" minutes (D)
10 minutes/level"</f>
        <v>40 minutes (D)
10 minutes/level</v>
      </c>
      <c r="P37" s="16"/>
      <c r="Q37" s="25" t="s">
        <v>61</v>
      </c>
      <c r="R37" s="16"/>
      <c r="S37" s="25" t="s">
        <v>61</v>
      </c>
      <c r="T37" s="16"/>
      <c r="U37" s="50" t="s">
        <v>139</v>
      </c>
      <c r="V37" s="4"/>
      <c r="W37" s="4"/>
      <c r="X37" s="16"/>
      <c r="Y37" s="62"/>
    </row>
    <row r="38">
      <c r="B38" s="55">
        <v>1.0</v>
      </c>
      <c r="C38" s="52" t="s">
        <v>140</v>
      </c>
      <c r="D38" s="20"/>
      <c r="E38" s="31" t="s">
        <v>73</v>
      </c>
      <c r="F38" s="20"/>
      <c r="G38" s="31" t="s">
        <v>27</v>
      </c>
      <c r="H38" s="20"/>
      <c r="I38" s="31" t="s">
        <v>28</v>
      </c>
      <c r="J38" s="20"/>
      <c r="K38" s="31" t="str">
        <f>close</f>
        <v>Close: 35 ft</v>
      </c>
      <c r="L38" s="20"/>
      <c r="M38" s="31" t="s">
        <v>141</v>
      </c>
      <c r="N38" s="20"/>
      <c r="O38" s="31" t="s">
        <v>50</v>
      </c>
      <c r="P38" s="20"/>
      <c r="Q38" s="31" t="s">
        <v>94</v>
      </c>
      <c r="R38" s="20"/>
      <c r="S38" s="31" t="s">
        <v>32</v>
      </c>
      <c r="T38" s="20"/>
      <c r="U38" s="54" t="s">
        <v>142</v>
      </c>
      <c r="V38" s="9"/>
      <c r="W38" s="9"/>
      <c r="X38" s="20"/>
      <c r="Y38" s="62"/>
    </row>
    <row r="39">
      <c r="B39" s="56">
        <v>1.0</v>
      </c>
      <c r="C39" s="48" t="s">
        <v>143</v>
      </c>
      <c r="D39" s="16"/>
      <c r="E39" s="25" t="s">
        <v>73</v>
      </c>
      <c r="F39" s="16"/>
      <c r="G39" s="25" t="s">
        <v>27</v>
      </c>
      <c r="H39" s="16"/>
      <c r="I39" s="25" t="s">
        <v>28</v>
      </c>
      <c r="J39" s="16"/>
      <c r="K39" s="25" t="s">
        <v>59</v>
      </c>
      <c r="L39" s="16"/>
      <c r="M39" s="25" t="s">
        <v>60</v>
      </c>
      <c r="N39" s="16"/>
      <c r="O39" s="25" t="str">
        <f>Level&amp;" minute(s) (D)
1 minute/level"</f>
        <v>4 minute(s) (D)
1 minute/level</v>
      </c>
      <c r="P39" s="16"/>
      <c r="Q39" s="25" t="s">
        <v>61</v>
      </c>
      <c r="R39" s="16"/>
      <c r="S39" s="25" t="s">
        <v>61</v>
      </c>
      <c r="T39" s="16"/>
      <c r="U39" s="50" t="s">
        <v>144</v>
      </c>
      <c r="V39" s="4"/>
      <c r="W39" s="4"/>
      <c r="X39" s="16"/>
      <c r="Y39" s="62"/>
    </row>
    <row r="40">
      <c r="B40" s="55">
        <v>1.0</v>
      </c>
      <c r="C40" s="52" t="s">
        <v>145</v>
      </c>
      <c r="D40" s="20"/>
      <c r="E40" s="31" t="s">
        <v>73</v>
      </c>
      <c r="F40" s="20"/>
      <c r="G40" s="31" t="s">
        <v>48</v>
      </c>
      <c r="H40" s="20"/>
      <c r="I40" s="31" t="s">
        <v>146</v>
      </c>
      <c r="J40" s="20"/>
      <c r="K40" s="31" t="str">
        <f>close</f>
        <v>Close: 35 ft</v>
      </c>
      <c r="L40" s="20"/>
      <c r="M40" s="31" t="str">
        <f>Level&amp;" medium or smaller free-falling object(s) or creature(s), 1 object or creature/level, no 2 of which may be more than 20 ft apart"</f>
        <v>4 medium or smaller free-falling object(s) or creature(s), 1 object or creature/level, no 2 of which may be more than 20 ft apart</v>
      </c>
      <c r="N40" s="20"/>
      <c r="O40" s="31" t="str">
        <f>"Until landing or "&amp;Level&amp;" round(s)
1 round/level"</f>
        <v>Until landing or 4 round(s)
1 round/level</v>
      </c>
      <c r="P40" s="20"/>
      <c r="Q40" s="31" t="s">
        <v>147</v>
      </c>
      <c r="R40" s="20"/>
      <c r="S40" s="31" t="s">
        <v>90</v>
      </c>
      <c r="T40" s="20"/>
      <c r="U40" s="54" t="s">
        <v>148</v>
      </c>
      <c r="V40" s="9"/>
      <c r="W40" s="9"/>
      <c r="X40" s="20"/>
      <c r="Y40" s="62"/>
    </row>
    <row r="41">
      <c r="B41" s="56">
        <v>1.0</v>
      </c>
      <c r="C41" s="48" t="s">
        <v>149</v>
      </c>
      <c r="D41" s="16"/>
      <c r="E41" s="25" t="s">
        <v>150</v>
      </c>
      <c r="F41" s="16"/>
      <c r="G41" s="25" t="s">
        <v>36</v>
      </c>
      <c r="H41" s="16"/>
      <c r="I41" s="25" t="s">
        <v>28</v>
      </c>
      <c r="J41" s="16"/>
      <c r="K41" s="25" t="str">
        <f>close</f>
        <v>Close: 35 ft</v>
      </c>
      <c r="L41" s="16"/>
      <c r="M41" s="25" t="s">
        <v>151</v>
      </c>
      <c r="N41" s="16"/>
      <c r="O41" s="25" t="str">
        <f>Level&amp;" round(s) (D)
1 round/level"</f>
        <v>4 round(s) (D)
1 round/level</v>
      </c>
      <c r="P41" s="16"/>
      <c r="Q41" s="25" t="s">
        <v>94</v>
      </c>
      <c r="R41" s="16"/>
      <c r="S41" s="25" t="s">
        <v>32</v>
      </c>
      <c r="T41" s="16"/>
      <c r="U41" s="50" t="s">
        <v>152</v>
      </c>
      <c r="V41" s="4"/>
      <c r="W41" s="4"/>
      <c r="X41" s="16"/>
      <c r="Y41" s="62"/>
    </row>
    <row r="42">
      <c r="B42" s="55">
        <v>1.0</v>
      </c>
      <c r="C42" s="52" t="s">
        <v>153</v>
      </c>
      <c r="D42" s="20"/>
      <c r="E42" s="31" t="s">
        <v>35</v>
      </c>
      <c r="F42" s="20"/>
      <c r="G42" s="31" t="s">
        <v>36</v>
      </c>
      <c r="H42" s="20"/>
      <c r="I42" s="31" t="s">
        <v>28</v>
      </c>
      <c r="J42" s="20"/>
      <c r="K42" s="31" t="str">
        <f>close</f>
        <v>Close: 35 ft</v>
      </c>
      <c r="L42" s="20"/>
      <c r="M42" s="31" t="s">
        <v>154</v>
      </c>
      <c r="N42" s="20"/>
      <c r="O42" s="31" t="str">
        <f>Level&amp;" round(s)
1 round/level"</f>
        <v>4 round(s)
1 round/level</v>
      </c>
      <c r="P42" s="20"/>
      <c r="Q42" s="31" t="s">
        <v>39</v>
      </c>
      <c r="R42" s="20"/>
      <c r="S42" s="31" t="s">
        <v>40</v>
      </c>
      <c r="T42" s="20"/>
      <c r="U42" s="54" t="str">
        <f>"Subject loses action for "&amp;Level&amp;" round(s), 1 round/level"</f>
        <v>Subject loses action for 4 round(s), 1 round/level</v>
      </c>
      <c r="V42" s="9"/>
      <c r="W42" s="9"/>
      <c r="X42" s="20"/>
      <c r="Y42" s="62"/>
    </row>
    <row r="43">
      <c r="B43" s="56">
        <v>1.0</v>
      </c>
      <c r="C43" s="48" t="s">
        <v>155</v>
      </c>
      <c r="D43" s="16"/>
      <c r="E43" s="25" t="s">
        <v>35</v>
      </c>
      <c r="F43" s="16"/>
      <c r="G43" s="25" t="s">
        <v>27</v>
      </c>
      <c r="H43" s="16"/>
      <c r="I43" s="25" t="s">
        <v>38</v>
      </c>
      <c r="J43" s="16"/>
      <c r="K43" s="25" t="str">
        <f>close</f>
        <v>Close: 35 ft</v>
      </c>
      <c r="L43" s="16"/>
      <c r="M43" s="25" t="s">
        <v>156</v>
      </c>
      <c r="N43" s="16"/>
      <c r="O43" s="25" t="s">
        <v>157</v>
      </c>
      <c r="P43" s="16"/>
      <c r="Q43" s="25" t="s">
        <v>39</v>
      </c>
      <c r="R43" s="16"/>
      <c r="S43" s="25" t="s">
        <v>40</v>
      </c>
      <c r="T43" s="16"/>
      <c r="U43" s="50" t="s">
        <v>158</v>
      </c>
      <c r="V43" s="4"/>
      <c r="W43" s="4"/>
      <c r="X43" s="16"/>
      <c r="Y43" s="62"/>
    </row>
    <row r="44">
      <c r="B44" s="55">
        <v>1.0</v>
      </c>
      <c r="C44" s="52" t="s">
        <v>159</v>
      </c>
      <c r="D44" s="20"/>
      <c r="E44" s="31" t="s">
        <v>43</v>
      </c>
      <c r="F44" s="20"/>
      <c r="G44" s="31" t="s">
        <v>160</v>
      </c>
      <c r="H44" s="20"/>
      <c r="I44" s="31" t="s">
        <v>95</v>
      </c>
      <c r="J44" s="20"/>
      <c r="K44" s="31" t="s">
        <v>65</v>
      </c>
      <c r="L44" s="20"/>
      <c r="M44" s="31" t="s">
        <v>161</v>
      </c>
      <c r="N44" s="20"/>
      <c r="O44" s="31" t="s">
        <v>50</v>
      </c>
      <c r="P44" s="20"/>
      <c r="Q44" s="31" t="s">
        <v>31</v>
      </c>
      <c r="R44" s="20"/>
      <c r="S44" s="31" t="s">
        <v>32</v>
      </c>
      <c r="T44" s="20"/>
      <c r="U44" s="54" t="s">
        <v>162</v>
      </c>
      <c r="V44" s="9"/>
      <c r="W44" s="9"/>
      <c r="X44" s="20"/>
    </row>
    <row r="45">
      <c r="B45" s="56">
        <v>1.0</v>
      </c>
      <c r="C45" s="48" t="s">
        <v>163</v>
      </c>
      <c r="D45" s="16"/>
      <c r="E45" s="25" t="s">
        <v>138</v>
      </c>
      <c r="F45" s="16"/>
      <c r="G45" s="25" t="s">
        <v>164</v>
      </c>
      <c r="H45" s="16"/>
      <c r="I45" s="25" t="s">
        <v>28</v>
      </c>
      <c r="J45" s="16"/>
      <c r="K45" s="25" t="str">
        <f>close</f>
        <v>Close: 35 ft</v>
      </c>
      <c r="L45" s="16"/>
      <c r="M45" s="25" t="s">
        <v>165</v>
      </c>
      <c r="N45" s="16"/>
      <c r="O45" s="25" t="s">
        <v>166</v>
      </c>
      <c r="P45" s="16"/>
      <c r="Q45" s="25" t="s">
        <v>89</v>
      </c>
      <c r="R45" s="16"/>
      <c r="S45" s="25" t="s">
        <v>90</v>
      </c>
      <c r="T45" s="16"/>
      <c r="U45" s="50" t="s">
        <v>167</v>
      </c>
      <c r="V45" s="4"/>
      <c r="W45" s="4"/>
      <c r="X45" s="16"/>
    </row>
    <row r="46">
      <c r="B46" s="55">
        <v>1.0</v>
      </c>
      <c r="C46" s="52" t="s">
        <v>168</v>
      </c>
      <c r="D46" s="20"/>
      <c r="E46" s="31" t="s">
        <v>138</v>
      </c>
      <c r="F46" s="20"/>
      <c r="G46" s="31" t="s">
        <v>85</v>
      </c>
      <c r="H46" s="20"/>
      <c r="I46" s="31" t="s">
        <v>28</v>
      </c>
      <c r="J46" s="20"/>
      <c r="K46" s="31" t="s">
        <v>65</v>
      </c>
      <c r="L46" s="20"/>
      <c r="M46" s="31" t="str">
        <f>"One touched object weighing up to "&amp;Level*5&amp;" lbs, 5 lbs/level"</f>
        <v>One touched object weighing up to 20 lbs, 5 lbs/level</v>
      </c>
      <c r="N46" s="20"/>
      <c r="O46" s="31" t="str">
        <f>Level&amp;" day(s) (D)
1 day/level"</f>
        <v>4 day(s) (D)
1 day/level</v>
      </c>
      <c r="P46" s="20"/>
      <c r="Q46" s="31" t="s">
        <v>169</v>
      </c>
      <c r="R46" s="20"/>
      <c r="S46" s="31" t="s">
        <v>32</v>
      </c>
      <c r="T46" s="20"/>
      <c r="U46" s="54" t="s">
        <v>170</v>
      </c>
      <c r="V46" s="9"/>
      <c r="W46" s="9"/>
      <c r="X46" s="20"/>
    </row>
    <row r="47">
      <c r="B47" s="56">
        <v>1.0</v>
      </c>
      <c r="C47" s="48" t="s">
        <v>171</v>
      </c>
      <c r="D47" s="16"/>
      <c r="E47" s="25" t="s">
        <v>100</v>
      </c>
      <c r="F47" s="16"/>
      <c r="G47" s="25" t="s">
        <v>36</v>
      </c>
      <c r="H47" s="16"/>
      <c r="I47" s="25" t="s">
        <v>28</v>
      </c>
      <c r="J47" s="16"/>
      <c r="K47" s="25" t="s">
        <v>65</v>
      </c>
      <c r="L47" s="16"/>
      <c r="M47" s="25" t="str">
        <f>"One object touched of up to "&amp;Level*100&amp;" lbs, 100 lbs/level"</f>
        <v>One object touched of up to 400 lbs, 100 lbs/level</v>
      </c>
      <c r="N47" s="16"/>
      <c r="O47" s="25" t="s">
        <v>172</v>
      </c>
      <c r="P47" s="16"/>
      <c r="Q47" s="25" t="s">
        <v>89</v>
      </c>
      <c r="R47" s="16"/>
      <c r="S47" s="25" t="s">
        <v>90</v>
      </c>
      <c r="T47" s="16"/>
      <c r="U47" s="50" t="s">
        <v>173</v>
      </c>
      <c r="V47" s="4"/>
      <c r="W47" s="4"/>
      <c r="X47" s="16"/>
    </row>
    <row r="48">
      <c r="B48" s="55">
        <v>1.0</v>
      </c>
      <c r="C48" s="52" t="s">
        <v>174</v>
      </c>
      <c r="D48" s="20"/>
      <c r="E48" s="31" t="s">
        <v>100</v>
      </c>
      <c r="F48" s="20"/>
      <c r="G48" s="31" t="s">
        <v>27</v>
      </c>
      <c r="H48" s="20"/>
      <c r="I48" s="31" t="s">
        <v>28</v>
      </c>
      <c r="J48" s="20"/>
      <c r="K48" s="31" t="str">
        <f>close</f>
        <v>Close: 35 ft</v>
      </c>
      <c r="L48" s="20"/>
      <c r="M48" s="31" t="str">
        <f>FLOOR(Level/4,1)+1&amp;" creature(s), 1 creature + 1 creature per 4 levels, no 2 of which can be more than 30 ft apart"</f>
        <v>2 creature(s), 1 creature + 1 creature per 4 levels, no 2 of which can be more than 30 ft apart</v>
      </c>
      <c r="N48" s="20"/>
      <c r="O48" s="31" t="s">
        <v>175</v>
      </c>
      <c r="P48" s="20"/>
      <c r="Q48" s="31" t="s">
        <v>103</v>
      </c>
      <c r="R48" s="20"/>
      <c r="S48" s="31" t="s">
        <v>104</v>
      </c>
      <c r="T48" s="20"/>
      <c r="U48" s="54" t="str">
        <f>"Suppresses fear or gives +4 on saves against fear for "&amp;FLOOR(Level/4,1)+1&amp;" subjects, one subject + one subject per 4 levels"</f>
        <v>Suppresses fear or gives +4 on saves against fear for 2 subjects, one subject + one subject per 4 levels</v>
      </c>
      <c r="V48" s="9"/>
      <c r="W48" s="9"/>
      <c r="X48" s="20"/>
    </row>
    <row r="49">
      <c r="B49" s="56">
        <v>1.0</v>
      </c>
      <c r="C49" s="48" t="s">
        <v>176</v>
      </c>
      <c r="D49" s="16"/>
      <c r="E49" s="25" t="s">
        <v>54</v>
      </c>
      <c r="F49" s="16"/>
      <c r="G49" s="25" t="s">
        <v>85</v>
      </c>
      <c r="H49" s="16"/>
      <c r="I49" s="25" t="s">
        <v>28</v>
      </c>
      <c r="J49" s="16"/>
      <c r="K49" s="25" t="str">
        <f>long</f>
        <v>Long: 560 ft</v>
      </c>
      <c r="L49" s="16"/>
      <c r="M49" s="25" t="str">
        <f>"Visual figment that cannot extend beyond "&amp;4+Level&amp;" ten ft cubes, 4 ten ft. cubes + 1 ten ft. cube/level"</f>
        <v>Visual figment that cannot extend beyond 8 ten ft cubes, 4 ten ft. cubes + 1 ten ft. cube/level</v>
      </c>
      <c r="N49" s="16"/>
      <c r="O49" s="25" t="s">
        <v>75</v>
      </c>
      <c r="P49" s="16"/>
      <c r="Q49" s="25" t="s">
        <v>56</v>
      </c>
      <c r="R49" s="16"/>
      <c r="S49" s="25" t="s">
        <v>32</v>
      </c>
      <c r="T49" s="16"/>
      <c r="U49" s="50" t="s">
        <v>177</v>
      </c>
      <c r="V49" s="4"/>
      <c r="W49" s="4"/>
      <c r="X49" s="16"/>
    </row>
    <row r="50">
      <c r="B50" s="55">
        <v>1.0</v>
      </c>
      <c r="C50" s="52" t="s">
        <v>178</v>
      </c>
      <c r="D50" s="20"/>
      <c r="E50" s="31" t="s">
        <v>35</v>
      </c>
      <c r="F50" s="20"/>
      <c r="G50" s="31" t="s">
        <v>36</v>
      </c>
      <c r="H50" s="20"/>
      <c r="I50" s="31" t="s">
        <v>38</v>
      </c>
      <c r="J50" s="20"/>
      <c r="K50" s="31" t="str">
        <f>medium</f>
        <v>Medium: 140 ft</v>
      </c>
      <c r="L50" s="20"/>
      <c r="M50" s="31" t="s">
        <v>179</v>
      </c>
      <c r="N50" s="20"/>
      <c r="O50" s="31" t="str">
        <f>Level&amp;" minute(s)
1 minute/level"</f>
        <v>4 minute(s)
1 minute/level</v>
      </c>
      <c r="P50" s="20"/>
      <c r="Q50" s="31" t="s">
        <v>39</v>
      </c>
      <c r="R50" s="20"/>
      <c r="S50" s="31" t="s">
        <v>40</v>
      </c>
      <c r="T50" s="20"/>
      <c r="U50" s="54" t="s">
        <v>180</v>
      </c>
      <c r="V50" s="9"/>
      <c r="W50" s="9"/>
      <c r="X50" s="20"/>
    </row>
    <row r="51">
      <c r="B51" s="56">
        <v>1.0</v>
      </c>
      <c r="C51" s="48" t="s">
        <v>181</v>
      </c>
      <c r="D51" s="16"/>
      <c r="E51" s="25" t="s">
        <v>182</v>
      </c>
      <c r="F51" s="16"/>
      <c r="G51" s="25" t="s">
        <v>85</v>
      </c>
      <c r="H51" s="16"/>
      <c r="I51" s="25" t="s">
        <v>38</v>
      </c>
      <c r="J51" s="16"/>
      <c r="K51" s="25" t="str">
        <f>close</f>
        <v>Close: 35 ft</v>
      </c>
      <c r="L51" s="16"/>
      <c r="M51" s="25" t="s">
        <v>183</v>
      </c>
      <c r="N51" s="16"/>
      <c r="O51" s="25" t="str">
        <f>Level&amp;" round(s) (D)
1 round/level"</f>
        <v>4 round(s) (D)
1 round/level</v>
      </c>
      <c r="P51" s="16"/>
      <c r="Q51" s="25" t="s">
        <v>31</v>
      </c>
      <c r="R51" s="16"/>
      <c r="S51" s="25" t="s">
        <v>32</v>
      </c>
      <c r="T51" s="16"/>
      <c r="U51" s="50" t="s">
        <v>184</v>
      </c>
      <c r="V51" s="4"/>
      <c r="W51" s="4"/>
      <c r="X51" s="16"/>
    </row>
    <row r="52">
      <c r="B52" s="55">
        <v>1.0</v>
      </c>
      <c r="C52" s="52" t="s">
        <v>185</v>
      </c>
      <c r="D52" s="20"/>
      <c r="E52" s="31" t="s">
        <v>100</v>
      </c>
      <c r="F52" s="20"/>
      <c r="G52" s="31" t="s">
        <v>27</v>
      </c>
      <c r="H52" s="20"/>
      <c r="I52" s="31" t="s">
        <v>28</v>
      </c>
      <c r="J52" s="20"/>
      <c r="K52" s="31" t="str">
        <f>close</f>
        <v>Close: 35 ft</v>
      </c>
      <c r="L52" s="20"/>
      <c r="M52" s="31" t="s">
        <v>165</v>
      </c>
      <c r="N52" s="20"/>
      <c r="O52" s="31" t="s">
        <v>186</v>
      </c>
      <c r="P52" s="20"/>
      <c r="Q52" s="31" t="s">
        <v>89</v>
      </c>
      <c r="R52" s="20"/>
      <c r="S52" s="31" t="s">
        <v>90</v>
      </c>
      <c r="T52" s="20"/>
      <c r="U52" s="54" t="s">
        <v>187</v>
      </c>
      <c r="V52" s="9"/>
      <c r="W52" s="9"/>
      <c r="X52" s="20"/>
    </row>
    <row r="53">
      <c r="B53" s="56">
        <v>1.0</v>
      </c>
      <c r="C53" s="48" t="s">
        <v>188</v>
      </c>
      <c r="D53" s="16"/>
      <c r="E53" s="25" t="s">
        <v>150</v>
      </c>
      <c r="F53" s="16"/>
      <c r="G53" s="25" t="s">
        <v>36</v>
      </c>
      <c r="H53" s="16"/>
      <c r="I53" s="25" t="s">
        <v>28</v>
      </c>
      <c r="J53" s="16"/>
      <c r="K53" s="25" t="str">
        <f>close</f>
        <v>Close: 35 ft</v>
      </c>
      <c r="L53" s="16"/>
      <c r="M53" s="25" t="s">
        <v>189</v>
      </c>
      <c r="N53" s="16"/>
      <c r="O53" s="25" t="str">
        <f>Level&amp;" hour(s)
1 hour/level"</f>
        <v>4 hour(s)
1 hour/level</v>
      </c>
      <c r="P53" s="16"/>
      <c r="Q53" s="25" t="s">
        <v>31</v>
      </c>
      <c r="R53" s="16"/>
      <c r="S53" s="25" t="s">
        <v>32</v>
      </c>
      <c r="T53" s="16"/>
      <c r="U53" s="50" t="s">
        <v>190</v>
      </c>
      <c r="V53" s="4"/>
      <c r="W53" s="4"/>
      <c r="X53" s="16"/>
    </row>
    <row r="54">
      <c r="B54" s="55">
        <v>1.0</v>
      </c>
      <c r="C54" s="52" t="s">
        <v>191</v>
      </c>
      <c r="D54" s="20"/>
      <c r="E54" s="31" t="s">
        <v>54</v>
      </c>
      <c r="F54" s="20"/>
      <c r="G54" s="31" t="s">
        <v>192</v>
      </c>
      <c r="H54" s="20"/>
      <c r="I54" s="31" t="s">
        <v>28</v>
      </c>
      <c r="J54" s="20"/>
      <c r="K54" s="31" t="str">
        <f>close</f>
        <v>Close: 35 ft</v>
      </c>
      <c r="L54" s="20"/>
      <c r="M54" s="31" t="s">
        <v>193</v>
      </c>
      <c r="N54" s="20"/>
      <c r="O54" s="31" t="str">
        <f>Level&amp;" minute(s) (D)
1 minute/level"</f>
        <v>4 minute(s) (D)
1 minute/level</v>
      </c>
      <c r="P54" s="20"/>
      <c r="Q54" s="31" t="s">
        <v>56</v>
      </c>
      <c r="R54" s="20"/>
      <c r="S54" s="31" t="s">
        <v>32</v>
      </c>
      <c r="T54" s="20"/>
      <c r="U54" s="54" t="str">
        <f>"Throws voice for "&amp;Level&amp;" minute(s), 1 minute/level"</f>
        <v>Throws voice for 4 minute(s), 1 minute/level</v>
      </c>
      <c r="V54" s="9"/>
      <c r="W54" s="9"/>
      <c r="X54" s="20"/>
    </row>
    <row r="55">
      <c r="B55" s="56">
        <v>2.0</v>
      </c>
      <c r="C55" s="48" t="s">
        <v>194</v>
      </c>
      <c r="D55" s="16"/>
      <c r="E55" s="25" t="s">
        <v>73</v>
      </c>
      <c r="F55" s="16"/>
      <c r="G55" s="25" t="s">
        <v>27</v>
      </c>
      <c r="H55" s="16"/>
      <c r="I55" s="25" t="s">
        <v>28</v>
      </c>
      <c r="J55" s="16"/>
      <c r="K55" s="25" t="s">
        <v>59</v>
      </c>
      <c r="L55" s="16"/>
      <c r="M55" s="25" t="s">
        <v>60</v>
      </c>
      <c r="N55" s="16"/>
      <c r="O55" s="25" t="str">
        <f>Level*10&amp;" minutes (D)
10 minutes/level"</f>
        <v>40 minutes (D)
10 minutes/level</v>
      </c>
      <c r="P55" s="16"/>
      <c r="Q55" s="25" t="s">
        <v>61</v>
      </c>
      <c r="R55" s="16"/>
      <c r="S55" s="25" t="s">
        <v>61</v>
      </c>
      <c r="T55" s="16"/>
      <c r="U55" s="50" t="s">
        <v>195</v>
      </c>
      <c r="V55" s="4"/>
      <c r="W55" s="4"/>
      <c r="X55" s="16"/>
    </row>
    <row r="56">
      <c r="B56" s="55">
        <v>2.0</v>
      </c>
      <c r="C56" s="52" t="s">
        <v>196</v>
      </c>
      <c r="D56" s="20"/>
      <c r="E56" s="31" t="s">
        <v>35</v>
      </c>
      <c r="F56" s="20"/>
      <c r="G56" s="31" t="s">
        <v>36</v>
      </c>
      <c r="H56" s="20"/>
      <c r="I56" s="31" t="s">
        <v>28</v>
      </c>
      <c r="J56" s="20"/>
      <c r="K56" s="31" t="str">
        <f>close</f>
        <v>Close: 35 ft</v>
      </c>
      <c r="L56" s="20"/>
      <c r="M56" s="31" t="s">
        <v>197</v>
      </c>
      <c r="N56" s="20"/>
      <c r="O56" s="31" t="str">
        <f>Level&amp;" day(s)
1 day/level"</f>
        <v>4 day(s)
1 day/level</v>
      </c>
      <c r="P56" s="20"/>
      <c r="Q56" s="31" t="s">
        <v>169</v>
      </c>
      <c r="R56" s="20"/>
      <c r="S56" s="31" t="s">
        <v>40</v>
      </c>
      <c r="T56" s="20"/>
      <c r="U56" s="54" t="s">
        <v>198</v>
      </c>
      <c r="V56" s="9"/>
      <c r="W56" s="9"/>
      <c r="X56" s="20"/>
    </row>
    <row r="57">
      <c r="B57" s="56">
        <v>2.0</v>
      </c>
      <c r="C57" s="48" t="s">
        <v>199</v>
      </c>
      <c r="D57" s="16"/>
      <c r="E57" s="25" t="s">
        <v>200</v>
      </c>
      <c r="F57" s="16"/>
      <c r="G57" s="25" t="s">
        <v>27</v>
      </c>
      <c r="H57" s="16"/>
      <c r="I57" s="25" t="s">
        <v>28</v>
      </c>
      <c r="J57" s="16"/>
      <c r="K57" s="25" t="str">
        <f>close</f>
        <v>Close: 35 ft</v>
      </c>
      <c r="L57" s="16"/>
      <c r="M57" s="25" t="s">
        <v>201</v>
      </c>
      <c r="N57" s="16"/>
      <c r="O57" s="25" t="s">
        <v>75</v>
      </c>
      <c r="P57" s="16"/>
      <c r="Q57" s="25" t="s">
        <v>202</v>
      </c>
      <c r="R57" s="16"/>
      <c r="S57" s="25" t="s">
        <v>40</v>
      </c>
      <c r="T57" s="16"/>
      <c r="U57" s="50" t="s">
        <v>203</v>
      </c>
      <c r="V57" s="4"/>
      <c r="W57" s="4"/>
      <c r="X57" s="16"/>
    </row>
    <row r="58">
      <c r="B58" s="55">
        <v>2.0</v>
      </c>
      <c r="C58" s="52" t="s">
        <v>204</v>
      </c>
      <c r="D58" s="20"/>
      <c r="E58" s="31" t="s">
        <v>205</v>
      </c>
      <c r="F58" s="20"/>
      <c r="G58" s="31" t="s">
        <v>48</v>
      </c>
      <c r="H58" s="20"/>
      <c r="I58" s="31" t="s">
        <v>28</v>
      </c>
      <c r="J58" s="20"/>
      <c r="K58" s="31" t="str">
        <f>medium</f>
        <v>Medium: 140 ft</v>
      </c>
      <c r="L58" s="20"/>
      <c r="M58" s="31" t="s">
        <v>128</v>
      </c>
      <c r="N58" s="20"/>
      <c r="O58" s="31" t="s">
        <v>206</v>
      </c>
      <c r="P58" s="20"/>
      <c r="Q58" s="31" t="s">
        <v>51</v>
      </c>
      <c r="R58" s="20"/>
      <c r="S58" s="31" t="s">
        <v>40</v>
      </c>
      <c r="T58" s="20"/>
      <c r="U58" s="54" t="s">
        <v>207</v>
      </c>
      <c r="V58" s="9"/>
      <c r="W58" s="9"/>
      <c r="X58" s="20"/>
    </row>
    <row r="59">
      <c r="B59" s="56">
        <v>2.0</v>
      </c>
      <c r="C59" s="48" t="s">
        <v>208</v>
      </c>
      <c r="D59" s="16"/>
      <c r="E59" s="25" t="s">
        <v>138</v>
      </c>
      <c r="F59" s="16"/>
      <c r="G59" s="25" t="s">
        <v>48</v>
      </c>
      <c r="H59" s="16"/>
      <c r="I59" s="25" t="s">
        <v>28</v>
      </c>
      <c r="J59" s="16"/>
      <c r="K59" s="25" t="s">
        <v>65</v>
      </c>
      <c r="L59" s="16"/>
      <c r="M59" s="25" t="s">
        <v>132</v>
      </c>
      <c r="N59" s="16"/>
      <c r="O59" s="25" t="str">
        <f>Level&amp;" minute(s) (D)
1 minute/level"</f>
        <v>4 minute(s) (D)
1 minute/level</v>
      </c>
      <c r="P59" s="16"/>
      <c r="Q59" s="25" t="s">
        <v>103</v>
      </c>
      <c r="R59" s="16"/>
      <c r="S59" s="25" t="s">
        <v>104</v>
      </c>
      <c r="T59" s="16"/>
      <c r="U59" s="50" t="s">
        <v>209</v>
      </c>
      <c r="V59" s="4"/>
      <c r="W59" s="4"/>
      <c r="X59" s="16"/>
    </row>
    <row r="60">
      <c r="B60" s="55">
        <v>2.0</v>
      </c>
      <c r="C60" s="52" t="s">
        <v>210</v>
      </c>
      <c r="D60" s="20"/>
      <c r="E60" s="31" t="s">
        <v>35</v>
      </c>
      <c r="F60" s="20"/>
      <c r="G60" s="31" t="s">
        <v>27</v>
      </c>
      <c r="H60" s="20"/>
      <c r="I60" s="31" t="s">
        <v>28</v>
      </c>
      <c r="J60" s="20"/>
      <c r="K60" s="31" t="str">
        <f>medium</f>
        <v>Medium: 140 ft</v>
      </c>
      <c r="L60" s="20"/>
      <c r="M60" s="31" t="s">
        <v>211</v>
      </c>
      <c r="N60" s="20"/>
      <c r="O60" s="31" t="str">
        <f>"Concentration, up to "&amp;Level&amp;" round(s) (D)
1 round/level"</f>
        <v>Concentration, up to 4 round(s) (D)
1 round/level</v>
      </c>
      <c r="P60" s="20"/>
      <c r="Q60" s="31" t="s">
        <v>39</v>
      </c>
      <c r="R60" s="20"/>
      <c r="S60" s="31" t="s">
        <v>40</v>
      </c>
      <c r="T60" s="20"/>
      <c r="U60" s="54" t="s">
        <v>212</v>
      </c>
      <c r="V60" s="9"/>
      <c r="W60" s="9"/>
      <c r="X60" s="20"/>
    </row>
    <row r="61">
      <c r="B61" s="56">
        <v>2.0</v>
      </c>
      <c r="C61" s="48" t="s">
        <v>213</v>
      </c>
      <c r="D61" s="16"/>
      <c r="E61" s="25" t="s">
        <v>73</v>
      </c>
      <c r="F61" s="16"/>
      <c r="G61" s="25" t="s">
        <v>36</v>
      </c>
      <c r="H61" s="16"/>
      <c r="I61" s="25" t="s">
        <v>28</v>
      </c>
      <c r="J61" s="16"/>
      <c r="K61" s="25" t="s">
        <v>65</v>
      </c>
      <c r="L61" s="16"/>
      <c r="M61" s="25" t="s">
        <v>132</v>
      </c>
      <c r="N61" s="16"/>
      <c r="O61" s="25" t="str">
        <f>Level&amp;" minute(s)
1 minute/level"</f>
        <v>4 minute(s)
1 minute/level</v>
      </c>
      <c r="P61" s="16"/>
      <c r="Q61" s="25" t="s">
        <v>103</v>
      </c>
      <c r="R61" s="16"/>
      <c r="S61" s="25" t="s">
        <v>214</v>
      </c>
      <c r="T61" s="16"/>
      <c r="U61" s="50" t="str">
        <f>"Subject gains +4 to Dex for "&amp;Level&amp;" minute(s), 1 minute/level"</f>
        <v>Subject gains +4 to Dex for 4 minute(s), 1 minute/level</v>
      </c>
      <c r="V61" s="4"/>
      <c r="W61" s="4"/>
      <c r="X61" s="16"/>
    </row>
    <row r="62">
      <c r="B62" s="55">
        <v>2.0</v>
      </c>
      <c r="C62" s="52" t="s">
        <v>215</v>
      </c>
      <c r="D62" s="20"/>
      <c r="E62" s="31" t="s">
        <v>131</v>
      </c>
      <c r="F62" s="20"/>
      <c r="G62" s="31" t="s">
        <v>27</v>
      </c>
      <c r="H62" s="20"/>
      <c r="I62" s="31" t="s">
        <v>28</v>
      </c>
      <c r="J62" s="20"/>
      <c r="K62" s="31" t="s">
        <v>65</v>
      </c>
      <c r="L62" s="20"/>
      <c r="M62" s="31" t="s">
        <v>101</v>
      </c>
      <c r="N62" s="20"/>
      <c r="O62" s="31" t="s">
        <v>50</v>
      </c>
      <c r="P62" s="20"/>
      <c r="Q62" s="31" t="s">
        <v>133</v>
      </c>
      <c r="R62" s="20"/>
      <c r="S62" s="31" t="s">
        <v>134</v>
      </c>
      <c r="T62" s="20"/>
      <c r="U62" s="54" t="str">
        <f>"Cures 2d8+"&amp;MIN(Level,10)&amp;" damage, +1/level, max +10"</f>
        <v>Cures 2d8+4 damage, +1/level, max +10</v>
      </c>
      <c r="V62" s="9"/>
      <c r="W62" s="9"/>
      <c r="X62" s="20"/>
    </row>
    <row r="63">
      <c r="B63" s="56">
        <v>2.0</v>
      </c>
      <c r="C63" s="48" t="s">
        <v>216</v>
      </c>
      <c r="D63" s="16"/>
      <c r="E63" s="25" t="s">
        <v>217</v>
      </c>
      <c r="F63" s="16"/>
      <c r="G63" s="25" t="s">
        <v>64</v>
      </c>
      <c r="H63" s="16"/>
      <c r="I63" s="25" t="s">
        <v>28</v>
      </c>
      <c r="J63" s="16"/>
      <c r="K63" s="25" t="s">
        <v>65</v>
      </c>
      <c r="L63" s="16"/>
      <c r="M63" s="25" t="s">
        <v>218</v>
      </c>
      <c r="N63" s="16"/>
      <c r="O63" s="25" t="str">
        <f>Level*10&amp;" minutes (D)
10 minutes/level"</f>
        <v>40 minutes (D)
10 minutes/level</v>
      </c>
      <c r="P63" s="16"/>
      <c r="Q63" s="25" t="s">
        <v>31</v>
      </c>
      <c r="R63" s="16"/>
      <c r="S63" s="25" t="s">
        <v>32</v>
      </c>
      <c r="T63" s="16"/>
      <c r="U63" s="50" t="s">
        <v>219</v>
      </c>
      <c r="V63" s="4"/>
      <c r="W63" s="4"/>
      <c r="X63" s="16"/>
    </row>
    <row r="64">
      <c r="B64" s="55">
        <v>2.0</v>
      </c>
      <c r="C64" s="68" t="s">
        <v>220</v>
      </c>
      <c r="D64" s="20"/>
      <c r="E64" s="31" t="s">
        <v>35</v>
      </c>
      <c r="F64" s="20"/>
      <c r="G64" s="66" t="s">
        <v>36</v>
      </c>
      <c r="H64" s="20"/>
      <c r="I64" s="66" t="s">
        <v>28</v>
      </c>
      <c r="J64" s="20"/>
      <c r="K64" s="66" t="str">
        <f>medium</f>
        <v>Medium: 140 ft</v>
      </c>
      <c r="L64" s="20"/>
      <c r="M64" s="66" t="s">
        <v>221</v>
      </c>
      <c r="N64" s="20"/>
      <c r="O64" s="66" t="s">
        <v>38</v>
      </c>
      <c r="P64" s="20"/>
      <c r="Q64" s="66" t="s">
        <v>39</v>
      </c>
      <c r="R64" s="20"/>
      <c r="S64" s="66" t="s">
        <v>40</v>
      </c>
      <c r="T64" s="20"/>
      <c r="U64" s="69" t="s">
        <v>222</v>
      </c>
      <c r="V64" s="9"/>
      <c r="W64" s="9"/>
      <c r="X64" s="20"/>
    </row>
    <row r="65">
      <c r="B65" s="56">
        <v>2.0</v>
      </c>
      <c r="C65" s="70" t="s">
        <v>223</v>
      </c>
      <c r="D65" s="16"/>
      <c r="E65" s="25" t="s">
        <v>131</v>
      </c>
      <c r="F65" s="16"/>
      <c r="G65" s="25" t="s">
        <v>27</v>
      </c>
      <c r="H65" s="16"/>
      <c r="I65" s="67" t="s">
        <v>28</v>
      </c>
      <c r="J65" s="16"/>
      <c r="K65" s="67" t="s">
        <v>65</v>
      </c>
      <c r="L65" s="16"/>
      <c r="M65" s="67" t="s">
        <v>132</v>
      </c>
      <c r="N65" s="16"/>
      <c r="O65" s="67" t="str">
        <f>Level&amp;" hour(s)
1 hour/level"</f>
        <v>4 hour(s)
1 hour/level</v>
      </c>
      <c r="P65" s="16"/>
      <c r="Q65" s="67" t="s">
        <v>224</v>
      </c>
      <c r="R65" s="16"/>
      <c r="S65" s="67" t="s">
        <v>104</v>
      </c>
      <c r="T65" s="16"/>
      <c r="U65" s="71" t="str">
        <f>"Stops poison from harming subject for "&amp;Level&amp;" hour(s), 1 hour/level"</f>
        <v>Stops poison from harming subject for 4 hour(s), 1 hour/level</v>
      </c>
      <c r="V65" s="4"/>
      <c r="W65" s="4"/>
      <c r="X65" s="16"/>
    </row>
    <row r="66">
      <c r="B66" s="55">
        <v>2.0</v>
      </c>
      <c r="C66" s="63" t="s">
        <v>225</v>
      </c>
      <c r="D66" s="20"/>
      <c r="E66" s="31" t="s">
        <v>226</v>
      </c>
      <c r="F66" s="20"/>
      <c r="G66" s="31" t="s">
        <v>227</v>
      </c>
      <c r="H66" s="20"/>
      <c r="I66" s="66" t="s">
        <v>28</v>
      </c>
      <c r="J66" s="20"/>
      <c r="K66" s="31" t="s">
        <v>44</v>
      </c>
      <c r="L66" s="20"/>
      <c r="M66" s="31" t="s">
        <v>45</v>
      </c>
      <c r="N66" s="20"/>
      <c r="O66" s="66" t="str">
        <f>"Concentration, up to "&amp;Level&amp;" minute(s) (D)
1 minute/level"</f>
        <v>Concentration, up to 4 minute(s) (D)
1 minute/level</v>
      </c>
      <c r="P66" s="20"/>
      <c r="Q66" s="31" t="s">
        <v>202</v>
      </c>
      <c r="R66" s="20"/>
      <c r="S66" s="31" t="s">
        <v>32</v>
      </c>
      <c r="T66" s="20"/>
      <c r="U66" s="54" t="s">
        <v>228</v>
      </c>
      <c r="V66" s="9"/>
      <c r="W66" s="9"/>
      <c r="X66" s="20"/>
    </row>
    <row r="67">
      <c r="B67" s="56">
        <v>2.0</v>
      </c>
      <c r="C67" s="48" t="s">
        <v>229</v>
      </c>
      <c r="D67" s="16"/>
      <c r="E67" s="25" t="s">
        <v>73</v>
      </c>
      <c r="F67" s="16"/>
      <c r="G67" s="25" t="s">
        <v>36</v>
      </c>
      <c r="H67" s="16"/>
      <c r="I67" s="25" t="s">
        <v>28</v>
      </c>
      <c r="J67" s="16"/>
      <c r="K67" s="25" t="s">
        <v>65</v>
      </c>
      <c r="L67" s="16"/>
      <c r="M67" s="25" t="s">
        <v>132</v>
      </c>
      <c r="N67" s="16"/>
      <c r="O67" s="25" t="str">
        <f>Level&amp;" minute(s)
1 minute/level"</f>
        <v>4 minute(s)
1 minute/level</v>
      </c>
      <c r="P67" s="16"/>
      <c r="Q67" s="25" t="s">
        <v>103</v>
      </c>
      <c r="R67" s="16"/>
      <c r="S67" s="25" t="s">
        <v>214</v>
      </c>
      <c r="T67" s="16"/>
      <c r="U67" s="50" t="str">
        <f>"Subject gains +4 to Cha for "&amp;Level&amp;" minute(s), 1 minute/level"</f>
        <v>Subject gains +4 to Cha for 4 minute(s), 1 minute/level</v>
      </c>
      <c r="V67" s="4"/>
      <c r="W67" s="4"/>
      <c r="X67" s="16"/>
    </row>
    <row r="68">
      <c r="B68" s="55">
        <v>2.0</v>
      </c>
      <c r="C68" s="52" t="s">
        <v>230</v>
      </c>
      <c r="D68" s="20"/>
      <c r="E68" s="31" t="s">
        <v>231</v>
      </c>
      <c r="F68" s="20"/>
      <c r="G68" s="31" t="s">
        <v>27</v>
      </c>
      <c r="H68" s="20"/>
      <c r="I68" s="31" t="s">
        <v>38</v>
      </c>
      <c r="J68" s="20"/>
      <c r="K68" s="31" t="str">
        <f>medium</f>
        <v>Medium: 140 ft</v>
      </c>
      <c r="L68" s="20"/>
      <c r="M68" s="31" t="s">
        <v>232</v>
      </c>
      <c r="N68" s="20"/>
      <c r="O68" s="31" t="s">
        <v>233</v>
      </c>
      <c r="P68" s="20"/>
      <c r="Q68" s="31" t="s">
        <v>202</v>
      </c>
      <c r="R68" s="20"/>
      <c r="S68" s="31" t="s">
        <v>40</v>
      </c>
      <c r="T68" s="20"/>
      <c r="U68" s="54" t="str">
        <f>"Captivates all within "&amp;Level*10+100&amp;" ft, 100+10 ft/level" </f>
        <v>Captivates all within 140 ft, 100+10 ft/level</v>
      </c>
      <c r="V68" s="9"/>
      <c r="W68" s="9"/>
      <c r="X68" s="20"/>
    </row>
    <row r="69">
      <c r="B69" s="56">
        <v>2.0</v>
      </c>
      <c r="C69" s="48" t="s">
        <v>234</v>
      </c>
      <c r="D69" s="16"/>
      <c r="E69" s="25" t="s">
        <v>73</v>
      </c>
      <c r="F69" s="16"/>
      <c r="G69" s="25" t="s">
        <v>36</v>
      </c>
      <c r="H69" s="16"/>
      <c r="I69" s="25" t="s">
        <v>28</v>
      </c>
      <c r="J69" s="16"/>
      <c r="K69" s="25" t="s">
        <v>65</v>
      </c>
      <c r="L69" s="16"/>
      <c r="M69" s="25" t="s">
        <v>132</v>
      </c>
      <c r="N69" s="16"/>
      <c r="O69" s="25" t="str">
        <f>Level&amp;" minute(s)
1 minute/level"</f>
        <v>4 minute(s)
1 minute/level</v>
      </c>
      <c r="P69" s="16"/>
      <c r="Q69" s="25" t="s">
        <v>103</v>
      </c>
      <c r="R69" s="16"/>
      <c r="S69" s="25" t="s">
        <v>214</v>
      </c>
      <c r="T69" s="16"/>
      <c r="U69" s="50" t="str">
        <f>"Subject gains +4 to Int for "&amp;Level&amp;" minute(s), 1 minute/level"</f>
        <v>Subject gains +4 to Int for 4 minute(s), 1 minute/level</v>
      </c>
      <c r="V69" s="4"/>
      <c r="W69" s="4"/>
      <c r="X69" s="16"/>
    </row>
    <row r="70">
      <c r="B70" s="55">
        <v>2.0</v>
      </c>
      <c r="C70" s="52" t="s">
        <v>235</v>
      </c>
      <c r="D70" s="20"/>
      <c r="E70" s="31" t="s">
        <v>150</v>
      </c>
      <c r="F70" s="20"/>
      <c r="G70" s="31" t="s">
        <v>36</v>
      </c>
      <c r="H70" s="20"/>
      <c r="I70" s="31" t="s">
        <v>28</v>
      </c>
      <c r="J70" s="20"/>
      <c r="K70" s="31" t="str">
        <f>medium</f>
        <v>Medium: 140 ft</v>
      </c>
      <c r="L70" s="20"/>
      <c r="M70" s="31" t="s">
        <v>236</v>
      </c>
      <c r="N70" s="20"/>
      <c r="O70" s="31" t="str">
        <f>Level&amp;" round(s)
1 round/level"</f>
        <v>4 round(s)
1 round/level</v>
      </c>
      <c r="P70" s="20"/>
      <c r="Q70" s="31" t="s">
        <v>237</v>
      </c>
      <c r="R70" s="20"/>
      <c r="S70" s="31" t="s">
        <v>32</v>
      </c>
      <c r="T70" s="20"/>
      <c r="U70" s="54" t="s">
        <v>238</v>
      </c>
      <c r="V70" s="9"/>
      <c r="W70" s="9"/>
      <c r="X70" s="20"/>
    </row>
    <row r="71">
      <c r="B71" s="56">
        <v>2.0</v>
      </c>
      <c r="C71" s="48" t="s">
        <v>239</v>
      </c>
      <c r="D71" s="16"/>
      <c r="E71" s="25" t="s">
        <v>35</v>
      </c>
      <c r="F71" s="16"/>
      <c r="G71" s="25" t="s">
        <v>27</v>
      </c>
      <c r="H71" s="16"/>
      <c r="I71" s="25" t="s">
        <v>28</v>
      </c>
      <c r="J71" s="16"/>
      <c r="K71" s="25" t="s">
        <v>65</v>
      </c>
      <c r="L71" s="16"/>
      <c r="M71" s="25" t="s">
        <v>132</v>
      </c>
      <c r="N71" s="16"/>
      <c r="O71" s="25" t="str">
        <f>Level*10&amp;" minutes
10 minutes/level"</f>
        <v>40 minutes
10 minutes/level</v>
      </c>
      <c r="P71" s="16"/>
      <c r="Q71" s="25" t="s">
        <v>103</v>
      </c>
      <c r="R71" s="16"/>
      <c r="S71" s="25" t="s">
        <v>104</v>
      </c>
      <c r="T71" s="16"/>
      <c r="U71" s="50" t="s">
        <v>240</v>
      </c>
      <c r="V71" s="4"/>
      <c r="W71" s="4"/>
      <c r="X71" s="16"/>
    </row>
    <row r="72">
      <c r="B72" s="55">
        <v>2.0</v>
      </c>
      <c r="C72" s="52" t="s">
        <v>241</v>
      </c>
      <c r="D72" s="20"/>
      <c r="E72" s="31" t="s">
        <v>35</v>
      </c>
      <c r="F72" s="20"/>
      <c r="G72" s="31" t="s">
        <v>85</v>
      </c>
      <c r="H72" s="20"/>
      <c r="I72" s="31" t="s">
        <v>28</v>
      </c>
      <c r="J72" s="20"/>
      <c r="K72" s="31" t="str">
        <f>medium</f>
        <v>Medium: 140 ft</v>
      </c>
      <c r="L72" s="20"/>
      <c r="M72" s="31" t="s">
        <v>123</v>
      </c>
      <c r="N72" s="20"/>
      <c r="O72" s="31" t="str">
        <f>Level&amp;" round(s) (D)
1 round/level, see text"</f>
        <v>4 round(s) (D)
1 round/level, see text</v>
      </c>
      <c r="P72" s="20"/>
      <c r="Q72" s="31" t="s">
        <v>202</v>
      </c>
      <c r="R72" s="20"/>
      <c r="S72" s="31" t="s">
        <v>40</v>
      </c>
      <c r="T72" s="20"/>
      <c r="U72" s="54" t="str">
        <f>"Paralyzes one humanoid for "&amp;Level&amp;" round(s), 1 round/level"</f>
        <v>Paralyzes one humanoid for 4 round(s), 1 round/level</v>
      </c>
      <c r="V72" s="9"/>
      <c r="W72" s="9"/>
      <c r="X72" s="20"/>
    </row>
    <row r="73">
      <c r="B73" s="56">
        <v>2.0</v>
      </c>
      <c r="C73" s="48" t="s">
        <v>242</v>
      </c>
      <c r="D73" s="16"/>
      <c r="E73" s="25" t="s">
        <v>243</v>
      </c>
      <c r="F73" s="16"/>
      <c r="G73" s="25" t="s">
        <v>244</v>
      </c>
      <c r="H73" s="16"/>
      <c r="I73" s="25" t="s">
        <v>28</v>
      </c>
      <c r="J73" s="16"/>
      <c r="K73" s="25" t="str">
        <f>medium</f>
        <v>Medium: 140 ft</v>
      </c>
      <c r="L73" s="16"/>
      <c r="M73" s="25" t="s">
        <v>245</v>
      </c>
      <c r="N73" s="16"/>
      <c r="O73" s="25" t="s">
        <v>246</v>
      </c>
      <c r="P73" s="16"/>
      <c r="Q73" s="25" t="s">
        <v>39</v>
      </c>
      <c r="R73" s="16"/>
      <c r="S73" s="25" t="s">
        <v>40</v>
      </c>
      <c r="T73" s="16"/>
      <c r="U73" s="50" t="str">
        <f>"Fascinates (2d4+"&amp;Level&amp;") HD of creatures, +1 HD/level"</f>
        <v>Fascinates (2d4+4) HD of creatures, +1 HD/level</v>
      </c>
      <c r="V73" s="4"/>
      <c r="W73" s="4"/>
      <c r="X73" s="16"/>
    </row>
    <row r="74">
      <c r="B74" s="55">
        <v>2.0</v>
      </c>
      <c r="C74" s="52" t="s">
        <v>247</v>
      </c>
      <c r="D74" s="20"/>
      <c r="E74" s="31" t="s">
        <v>138</v>
      </c>
      <c r="F74" s="20"/>
      <c r="G74" s="31" t="s">
        <v>36</v>
      </c>
      <c r="H74" s="20"/>
      <c r="I74" s="31" t="s">
        <v>28</v>
      </c>
      <c r="J74" s="20"/>
      <c r="K74" s="31" t="s">
        <v>248</v>
      </c>
      <c r="L74" s="20"/>
      <c r="M74" s="31" t="str">
        <f>"You or a creature or object weighing no more than "&amp;Level*100&amp;" lbs, 100 lbs/level"</f>
        <v>You or a creature or object weighing no more than 400 lbs, 100 lbs/level</v>
      </c>
      <c r="N74" s="20"/>
      <c r="O74" s="31" t="str">
        <f>Level&amp;" minute(s) (D)
1 minute/level"</f>
        <v>4 minute(s) (D)
1 minute/level</v>
      </c>
      <c r="P74" s="20"/>
      <c r="Q74" s="31" t="s">
        <v>249</v>
      </c>
      <c r="R74" s="20"/>
      <c r="S74" s="31" t="s">
        <v>250</v>
      </c>
      <c r="T74" s="20"/>
      <c r="U74" s="54" t="str">
        <f>"Subject is invisible for "&amp;Level&amp;" minute(s), 1 minute/level, or until it attacks"</f>
        <v>Subject is invisible for 4 minute(s), 1 minute/level, or until it attacks</v>
      </c>
      <c r="V74" s="9"/>
      <c r="W74" s="9"/>
      <c r="X74" s="20"/>
    </row>
    <row r="75">
      <c r="B75" s="56">
        <v>2.0</v>
      </c>
      <c r="C75" s="48" t="s">
        <v>251</v>
      </c>
      <c r="D75" s="16"/>
      <c r="E75" s="25" t="s">
        <v>43</v>
      </c>
      <c r="F75" s="16"/>
      <c r="G75" s="25" t="s">
        <v>85</v>
      </c>
      <c r="H75" s="16"/>
      <c r="I75" s="25" t="s">
        <v>28</v>
      </c>
      <c r="J75" s="16"/>
      <c r="K75" s="25" t="str">
        <f>long</f>
        <v>Long: 560 ft</v>
      </c>
      <c r="L75" s="16"/>
      <c r="M75" s="25" t="str">
        <f>"Circle, centered on you, with a radius of "&amp;400+Level*40&amp;" ft, 400+40 ft/level"</f>
        <v>Circle, centered on you, with a radius of 560 ft, 400+40 ft/level</v>
      </c>
      <c r="N75" s="16"/>
      <c r="O75" s="25" t="str">
        <f>Level&amp;" minute(s)
1 minute/level"</f>
        <v>4 minute(s)
1 minute/level</v>
      </c>
      <c r="P75" s="16"/>
      <c r="Q75" s="25" t="s">
        <v>31</v>
      </c>
      <c r="R75" s="16"/>
      <c r="S75" s="25" t="s">
        <v>32</v>
      </c>
      <c r="T75" s="16"/>
      <c r="U75" s="50" t="s">
        <v>252</v>
      </c>
      <c r="V75" s="4"/>
      <c r="W75" s="4"/>
      <c r="X75" s="16"/>
    </row>
    <row r="76">
      <c r="B76" s="55">
        <v>2.0</v>
      </c>
      <c r="C76" s="52" t="s">
        <v>253</v>
      </c>
      <c r="D76" s="20"/>
      <c r="E76" s="31" t="s">
        <v>54</v>
      </c>
      <c r="F76" s="20"/>
      <c r="G76" s="31" t="s">
        <v>85</v>
      </c>
      <c r="H76" s="20"/>
      <c r="I76" s="31" t="s">
        <v>28</v>
      </c>
      <c r="J76" s="20"/>
      <c r="K76" s="31" t="str">
        <f>long</f>
        <v>Long: 560 ft</v>
      </c>
      <c r="L76" s="20"/>
      <c r="M76" s="31" t="str">
        <f>"Visual figment that cannot extend beyond "&amp;4+Level&amp;" ten ft cubes, 4 ten ft. cubes + 1 ten ft. cube/level"</f>
        <v>Visual figment that cannot extend beyond 8 ten ft cubes, 4 ten ft. cubes + 1 ten ft. cube/level</v>
      </c>
      <c r="N76" s="20"/>
      <c r="O76" s="31" t="s">
        <v>246</v>
      </c>
      <c r="P76" s="20"/>
      <c r="Q76" s="31" t="s">
        <v>56</v>
      </c>
      <c r="R76" s="20"/>
      <c r="S76" s="31" t="s">
        <v>32</v>
      </c>
      <c r="T76" s="20"/>
      <c r="U76" s="54" t="s">
        <v>254</v>
      </c>
      <c r="V76" s="9"/>
      <c r="W76" s="9"/>
      <c r="X76" s="20"/>
    </row>
    <row r="77">
      <c r="B77" s="56">
        <v>2.0</v>
      </c>
      <c r="C77" s="48" t="s">
        <v>255</v>
      </c>
      <c r="D77" s="16"/>
      <c r="E77" s="25" t="s">
        <v>54</v>
      </c>
      <c r="F77" s="16"/>
      <c r="G77" s="25" t="s">
        <v>27</v>
      </c>
      <c r="H77" s="16"/>
      <c r="I77" s="25" t="s">
        <v>28</v>
      </c>
      <c r="J77" s="16"/>
      <c r="K77" s="25" t="s">
        <v>256</v>
      </c>
      <c r="L77" s="16"/>
      <c r="M77" s="25" t="s">
        <v>60</v>
      </c>
      <c r="N77" s="16"/>
      <c r="O77" s="25" t="str">
        <f>Level&amp;" minute(s) (D)
1 minute/level"</f>
        <v>4 minute(s) (D)
1 minute/level</v>
      </c>
      <c r="P77" s="16"/>
      <c r="Q77" s="25" t="s">
        <v>61</v>
      </c>
      <c r="R77" s="16"/>
      <c r="S77" s="25" t="s">
        <v>61</v>
      </c>
      <c r="T77" s="16"/>
      <c r="U77" s="50" t="str">
        <f>"Creates decoy duplicates of you (1d4+"&amp;MAX(FLOOR(Level/3,1),1)&amp;",+1 per three levels, max 8)"</f>
        <v>Creates decoy duplicates of you (1d4+1,+1 per three levels, max 8)</v>
      </c>
      <c r="V77" s="4"/>
      <c r="W77" s="4"/>
      <c r="X77" s="16"/>
    </row>
    <row r="78">
      <c r="B78" s="55">
        <v>2.0</v>
      </c>
      <c r="C78" s="52" t="s">
        <v>257</v>
      </c>
      <c r="D78" s="20"/>
      <c r="E78" s="31" t="s">
        <v>138</v>
      </c>
      <c r="F78" s="20"/>
      <c r="G78" s="31" t="s">
        <v>27</v>
      </c>
      <c r="H78" s="20"/>
      <c r="I78" s="31" t="s">
        <v>28</v>
      </c>
      <c r="J78" s="20"/>
      <c r="K78" s="31" t="str">
        <f>close</f>
        <v>Close: 35 ft</v>
      </c>
      <c r="L78" s="20"/>
      <c r="M78" s="31" t="s">
        <v>258</v>
      </c>
      <c r="N78" s="20"/>
      <c r="O78" s="31" t="str">
        <f>Level&amp;" hour(s)
1 hour/level"</f>
        <v>4 hour(s)
1 hour/level</v>
      </c>
      <c r="P78" s="20"/>
      <c r="Q78" s="31" t="s">
        <v>259</v>
      </c>
      <c r="R78" s="20"/>
      <c r="S78" s="31" t="s">
        <v>32</v>
      </c>
      <c r="T78" s="20"/>
      <c r="U78" s="54" t="s">
        <v>260</v>
      </c>
      <c r="V78" s="9"/>
      <c r="W78" s="9"/>
      <c r="X78" s="20"/>
    </row>
    <row r="79">
      <c r="B79" s="56">
        <v>2.0</v>
      </c>
      <c r="C79" s="48" t="s">
        <v>261</v>
      </c>
      <c r="D79" s="16"/>
      <c r="E79" s="25" t="s">
        <v>73</v>
      </c>
      <c r="F79" s="16"/>
      <c r="G79" s="25" t="s">
        <v>36</v>
      </c>
      <c r="H79" s="16"/>
      <c r="I79" s="25" t="s">
        <v>28</v>
      </c>
      <c r="J79" s="16"/>
      <c r="K79" s="25" t="str">
        <f>long</f>
        <v>Long: 560 ft</v>
      </c>
      <c r="L79" s="16"/>
      <c r="M79" s="25" t="s">
        <v>262</v>
      </c>
      <c r="N79" s="16"/>
      <c r="O79" s="25" t="s">
        <v>263</v>
      </c>
      <c r="P79" s="16"/>
      <c r="Q79" s="25" t="s">
        <v>264</v>
      </c>
      <c r="R79" s="16"/>
      <c r="S79" s="25" t="s">
        <v>265</v>
      </c>
      <c r="T79" s="16"/>
      <c r="U79" s="50" t="s">
        <v>266</v>
      </c>
      <c r="V79" s="4"/>
      <c r="W79" s="4"/>
      <c r="X79" s="16"/>
    </row>
    <row r="80">
      <c r="B80" s="55">
        <v>2.0</v>
      </c>
      <c r="C80" s="52" t="s">
        <v>267</v>
      </c>
      <c r="D80" s="20"/>
      <c r="E80" s="31" t="s">
        <v>35</v>
      </c>
      <c r="F80" s="20"/>
      <c r="G80" s="31" t="s">
        <v>27</v>
      </c>
      <c r="H80" s="20"/>
      <c r="I80" s="31" t="s">
        <v>28</v>
      </c>
      <c r="J80" s="20"/>
      <c r="K80" s="31" t="str">
        <f>medium</f>
        <v>Medium: 140 ft</v>
      </c>
      <c r="L80" s="20"/>
      <c r="M80" s="31" t="str">
        <f>MAX(FLOOR(Level/3,1),1)&amp;" willing creature(s), 1 willing creature per 3 levels, no two of which may be more than 30 ft apart"</f>
        <v>1 willing creature(s), 1 willing creature per 3 levels, no two of which may be more than 30 ft apart</v>
      </c>
      <c r="N80" s="20"/>
      <c r="O80" s="31" t="str">
        <f>"Concentration + "&amp;Level&amp;" round(s) (D)
1 round/level"</f>
        <v>Concentration + 4 round(s) (D)
1 round/level</v>
      </c>
      <c r="P80" s="20"/>
      <c r="Q80" s="31" t="s">
        <v>31</v>
      </c>
      <c r="R80" s="20"/>
      <c r="S80" s="31" t="s">
        <v>40</v>
      </c>
      <c r="T80" s="20"/>
      <c r="U80" s="54" t="s">
        <v>268</v>
      </c>
      <c r="V80" s="9"/>
      <c r="W80" s="9"/>
      <c r="X80" s="20"/>
    </row>
    <row r="81">
      <c r="B81" s="56">
        <v>2.0</v>
      </c>
      <c r="C81" s="48" t="s">
        <v>269</v>
      </c>
      <c r="D81" s="16"/>
      <c r="E81" s="25" t="s">
        <v>116</v>
      </c>
      <c r="F81" s="16"/>
      <c r="G81" s="25" t="s">
        <v>36</v>
      </c>
      <c r="H81" s="16"/>
      <c r="I81" s="25" t="s">
        <v>28</v>
      </c>
      <c r="J81" s="16"/>
      <c r="K81" s="25" t="str">
        <f>medium</f>
        <v>Medium: 140 ft</v>
      </c>
      <c r="L81" s="16"/>
      <c r="M81" s="25" t="str">
        <f>MAX(FLOOR(Level/3,1),1)&amp;" creature(s), 1 creature per 3 levels, no two of which may be more than 30 ft apart"</f>
        <v>1 creature(s), 1 creature per 3 levels, no two of which may be more than 30 ft apart</v>
      </c>
      <c r="N81" s="16"/>
      <c r="O81" s="25" t="str">
        <f>Level&amp;" round(s) (D)
1 round/level or 1 round, see text for Cause Fear"</f>
        <v>4 round(s) (D)
1 round/level or 1 round, see text for Cause Fear</v>
      </c>
      <c r="P81" s="16"/>
      <c r="Q81" s="25" t="s">
        <v>119</v>
      </c>
      <c r="R81" s="16"/>
      <c r="S81" s="25" t="s">
        <v>40</v>
      </c>
      <c r="T81" s="16"/>
      <c r="U81" s="50" t="s">
        <v>270</v>
      </c>
      <c r="V81" s="4"/>
      <c r="W81" s="4"/>
      <c r="X81" s="16"/>
    </row>
    <row r="82">
      <c r="B82" s="55">
        <v>2.0</v>
      </c>
      <c r="C82" s="52" t="s">
        <v>271</v>
      </c>
      <c r="D82" s="20"/>
      <c r="E82" s="31" t="s">
        <v>272</v>
      </c>
      <c r="F82" s="20"/>
      <c r="G82" s="31" t="s">
        <v>36</v>
      </c>
      <c r="H82" s="20"/>
      <c r="I82" s="31" t="s">
        <v>28</v>
      </c>
      <c r="J82" s="20"/>
      <c r="K82" s="31" t="str">
        <f>close</f>
        <v>Close: 35 ft</v>
      </c>
      <c r="L82" s="20"/>
      <c r="M82" s="31" t="s">
        <v>273</v>
      </c>
      <c r="N82" s="20"/>
      <c r="O82" s="31" t="s">
        <v>50</v>
      </c>
      <c r="P82" s="20"/>
      <c r="Q82" s="31" t="s">
        <v>274</v>
      </c>
      <c r="R82" s="20"/>
      <c r="S82" s="31" t="s">
        <v>90</v>
      </c>
      <c r="T82" s="20"/>
      <c r="U82" s="54" t="s">
        <v>275</v>
      </c>
      <c r="V82" s="9"/>
      <c r="W82" s="9"/>
      <c r="X82" s="20"/>
    </row>
    <row r="83">
      <c r="B83" s="56">
        <v>2.0</v>
      </c>
      <c r="C83" s="48" t="s">
        <v>276</v>
      </c>
      <c r="D83" s="16"/>
      <c r="E83" s="25" t="s">
        <v>138</v>
      </c>
      <c r="F83" s="16"/>
      <c r="G83" s="25" t="s">
        <v>27</v>
      </c>
      <c r="H83" s="16"/>
      <c r="I83" s="25" t="s">
        <v>28</v>
      </c>
      <c r="J83" s="16"/>
      <c r="K83" s="25" t="str">
        <f>long</f>
        <v>Long: 560 ft</v>
      </c>
      <c r="L83" s="16"/>
      <c r="M83" s="25" t="s">
        <v>277</v>
      </c>
      <c r="N83" s="16"/>
      <c r="O83" s="25" t="str">
        <f>Level&amp;" minute(s) (D)
1 minute/level"</f>
        <v>4 minute(s) (D)
1 minute/level</v>
      </c>
      <c r="P83" s="16"/>
      <c r="Q83" s="25" t="s">
        <v>278</v>
      </c>
      <c r="R83" s="16"/>
      <c r="S83" s="25" t="s">
        <v>279</v>
      </c>
      <c r="T83" s="16"/>
      <c r="U83" s="50" t="s">
        <v>280</v>
      </c>
      <c r="V83" s="4"/>
      <c r="W83" s="4"/>
      <c r="X83" s="16"/>
    </row>
    <row r="84">
      <c r="B84" s="55">
        <v>2.0</v>
      </c>
      <c r="C84" s="52" t="s">
        <v>281</v>
      </c>
      <c r="D84" s="20"/>
      <c r="E84" s="31" t="s">
        <v>272</v>
      </c>
      <c r="F84" s="20"/>
      <c r="G84" s="31" t="s">
        <v>85</v>
      </c>
      <c r="H84" s="20"/>
      <c r="I84" s="31" t="s">
        <v>28</v>
      </c>
      <c r="J84" s="20"/>
      <c r="K84" s="31" t="str">
        <f>close</f>
        <v>Close: 35 ft</v>
      </c>
      <c r="L84" s="20"/>
      <c r="M84" s="31" t="s">
        <v>282</v>
      </c>
      <c r="N84" s="20"/>
      <c r="O84" s="31" t="s">
        <v>50</v>
      </c>
      <c r="P84" s="20"/>
      <c r="Q84" s="31" t="s">
        <v>283</v>
      </c>
      <c r="R84" s="20"/>
      <c r="S84" s="31" t="s">
        <v>40</v>
      </c>
      <c r="T84" s="20"/>
      <c r="U84" s="54" t="s">
        <v>284</v>
      </c>
      <c r="V84" s="9"/>
      <c r="W84" s="9"/>
      <c r="X84" s="20"/>
    </row>
    <row r="85">
      <c r="B85" s="56">
        <v>2.0</v>
      </c>
      <c r="C85" s="48" t="s">
        <v>285</v>
      </c>
      <c r="D85" s="16"/>
      <c r="E85" s="25" t="s">
        <v>286</v>
      </c>
      <c r="F85" s="16"/>
      <c r="G85" s="25" t="s">
        <v>64</v>
      </c>
      <c r="H85" s="16"/>
      <c r="I85" s="25" t="s">
        <v>28</v>
      </c>
      <c r="J85" s="16"/>
      <c r="K85" s="25" t="str">
        <f>close</f>
        <v>Close: 35 ft</v>
      </c>
      <c r="L85" s="16"/>
      <c r="M85" s="25" t="s">
        <v>128</v>
      </c>
      <c r="N85" s="16"/>
      <c r="O85" s="25" t="str">
        <f>Level&amp;" hour(s) or until completed
1 hour/level"</f>
        <v>4 hour(s) or until completed
1 hour/level</v>
      </c>
      <c r="P85" s="16"/>
      <c r="Q85" s="25" t="s">
        <v>39</v>
      </c>
      <c r="R85" s="16"/>
      <c r="S85" s="25" t="s">
        <v>40</v>
      </c>
      <c r="T85" s="16"/>
      <c r="U85" s="50" t="s">
        <v>287</v>
      </c>
      <c r="V85" s="4"/>
      <c r="W85" s="4"/>
      <c r="X85" s="16"/>
    </row>
    <row r="86">
      <c r="B86" s="55">
        <v>2.0</v>
      </c>
      <c r="C86" s="52" t="s">
        <v>288</v>
      </c>
      <c r="D86" s="20"/>
      <c r="E86" s="31" t="s">
        <v>182</v>
      </c>
      <c r="F86" s="20"/>
      <c r="G86" s="31" t="s">
        <v>85</v>
      </c>
      <c r="H86" s="20"/>
      <c r="I86" s="31" t="s">
        <v>38</v>
      </c>
      <c r="J86" s="20"/>
      <c r="K86" s="31" t="str">
        <f>close</f>
        <v>Close: 35 ft</v>
      </c>
      <c r="L86" s="20"/>
      <c r="M86" s="31" t="s">
        <v>183</v>
      </c>
      <c r="N86" s="20"/>
      <c r="O86" s="31" t="str">
        <f>Level&amp;" round(s) (D)
1 round/level"</f>
        <v>4 round(s) (D)
1 round/level</v>
      </c>
      <c r="P86" s="20"/>
      <c r="Q86" s="31" t="s">
        <v>31</v>
      </c>
      <c r="R86" s="20"/>
      <c r="S86" s="31" t="s">
        <v>32</v>
      </c>
      <c r="T86" s="20"/>
      <c r="U86" s="54" t="s">
        <v>184</v>
      </c>
      <c r="V86" s="9"/>
      <c r="W86" s="9"/>
      <c r="X86" s="20"/>
    </row>
    <row r="87">
      <c r="B87" s="56">
        <v>2.0</v>
      </c>
      <c r="C87" s="48" t="s">
        <v>289</v>
      </c>
      <c r="D87" s="16"/>
      <c r="E87" s="25" t="s">
        <v>107</v>
      </c>
      <c r="F87" s="16"/>
      <c r="G87" s="25" t="s">
        <v>36</v>
      </c>
      <c r="H87" s="16"/>
      <c r="I87" s="25" t="s">
        <v>38</v>
      </c>
      <c r="J87" s="16"/>
      <c r="K87" s="25" t="str">
        <f>close</f>
        <v>Close: 35 ft</v>
      </c>
      <c r="L87" s="16"/>
      <c r="M87" s="25" t="s">
        <v>290</v>
      </c>
      <c r="N87" s="16"/>
      <c r="O87" s="25" t="s">
        <v>291</v>
      </c>
      <c r="P87" s="16"/>
      <c r="Q87" s="25" t="s">
        <v>31</v>
      </c>
      <c r="R87" s="16"/>
      <c r="S87" s="25" t="s">
        <v>32</v>
      </c>
      <c r="T87" s="16"/>
      <c r="U87" s="50" t="s">
        <v>292</v>
      </c>
      <c r="V87" s="4"/>
      <c r="W87" s="4"/>
      <c r="X87" s="16"/>
    </row>
    <row r="88">
      <c r="B88" s="55">
        <v>2.0</v>
      </c>
      <c r="C88" s="52" t="s">
        <v>293</v>
      </c>
      <c r="D88" s="20"/>
      <c r="E88" s="31" t="s">
        <v>43</v>
      </c>
      <c r="F88" s="20"/>
      <c r="G88" s="31" t="s">
        <v>64</v>
      </c>
      <c r="H88" s="20"/>
      <c r="I88" s="31" t="s">
        <v>28</v>
      </c>
      <c r="J88" s="20"/>
      <c r="K88" s="31" t="s">
        <v>65</v>
      </c>
      <c r="L88" s="20"/>
      <c r="M88" s="31" t="s">
        <v>132</v>
      </c>
      <c r="N88" s="20"/>
      <c r="O88" s="31" t="str">
        <f>Level*10&amp;" minutes
10 minutes/level"</f>
        <v>40 minutes
10 minutes/level</v>
      </c>
      <c r="P88" s="20"/>
      <c r="Q88" s="31" t="s">
        <v>103</v>
      </c>
      <c r="R88" s="20"/>
      <c r="S88" s="31" t="s">
        <v>32</v>
      </c>
      <c r="T88" s="20"/>
      <c r="U88" s="54" t="s">
        <v>294</v>
      </c>
      <c r="V88" s="9"/>
      <c r="W88" s="9"/>
      <c r="X88" s="20"/>
    </row>
    <row r="89">
      <c r="B89" s="56">
        <v>2.0</v>
      </c>
      <c r="C89" s="48" t="s">
        <v>295</v>
      </c>
      <c r="D89" s="16"/>
      <c r="E89" s="25" t="s">
        <v>296</v>
      </c>
      <c r="F89" s="16"/>
      <c r="G89" s="25" t="s">
        <v>27</v>
      </c>
      <c r="H89" s="16"/>
      <c r="I89" s="25" t="s">
        <v>28</v>
      </c>
      <c r="J89" s="16"/>
      <c r="K89" s="25" t="str">
        <f>Level&amp;" mile(s)
1 mile/level"</f>
        <v>4 mile(s)
1 mile/level</v>
      </c>
      <c r="L89" s="16"/>
      <c r="M89" s="25" t="s">
        <v>282</v>
      </c>
      <c r="N89" s="16"/>
      <c r="O89" s="25" t="str">
        <f>"No more than "&amp;Level&amp;" hour(s), 1 hour/level, or until discharged (destination is reached) "</f>
        <v>No more than 4 hour(s), 1 hour/level, or until discharged (destination is reached) </v>
      </c>
      <c r="P89" s="16"/>
      <c r="Q89" s="25" t="s">
        <v>31</v>
      </c>
      <c r="R89" s="16"/>
      <c r="S89" s="25" t="s">
        <v>32</v>
      </c>
      <c r="T89" s="16"/>
      <c r="U89" s="50" t="str">
        <f>"Sends a short message "&amp;Level&amp;" mile(s), 1 mile/level"</f>
        <v>Sends a short message 4 mile(s), 1 mile/level</v>
      </c>
      <c r="V89" s="4"/>
      <c r="W89" s="4"/>
      <c r="X89" s="16"/>
    </row>
    <row r="90">
      <c r="B90" s="55">
        <v>3.0</v>
      </c>
      <c r="C90" s="63" t="s">
        <v>297</v>
      </c>
      <c r="D90" s="20"/>
      <c r="E90" s="31" t="s">
        <v>73</v>
      </c>
      <c r="F90" s="20"/>
      <c r="G90" s="66" t="s">
        <v>27</v>
      </c>
      <c r="H90" s="20"/>
      <c r="I90" s="66" t="s">
        <v>28</v>
      </c>
      <c r="J90" s="20"/>
      <c r="K90" s="31" t="s">
        <v>59</v>
      </c>
      <c r="L90" s="20"/>
      <c r="M90" s="31" t="s">
        <v>60</v>
      </c>
      <c r="N90" s="20"/>
      <c r="O90" s="66" t="str">
        <f>Level&amp;" round(s) (D)
1 round/level"</f>
        <v>4 round(s) (D)
1 round/level</v>
      </c>
      <c r="P90" s="20"/>
      <c r="Q90" s="31" t="s">
        <v>61</v>
      </c>
      <c r="R90" s="20"/>
      <c r="S90" s="31" t="s">
        <v>61</v>
      </c>
      <c r="T90" s="20"/>
      <c r="U90" s="69" t="str">
        <f>"You randomly vanish and reappear for "&amp;Level&amp;" round(s), 1 round/level"</f>
        <v>You randomly vanish and reappear for 4 round(s), 1 round/level</v>
      </c>
      <c r="V90" s="9"/>
      <c r="W90" s="9"/>
      <c r="X90" s="20"/>
    </row>
    <row r="91">
      <c r="B91" s="56">
        <v>3.0</v>
      </c>
      <c r="C91" s="59" t="s">
        <v>298</v>
      </c>
      <c r="D91" s="16"/>
      <c r="E91" s="25" t="s">
        <v>122</v>
      </c>
      <c r="F91" s="16"/>
      <c r="G91" s="67" t="s">
        <v>27</v>
      </c>
      <c r="H91" s="16"/>
      <c r="I91" s="67" t="s">
        <v>28</v>
      </c>
      <c r="J91" s="16"/>
      <c r="K91" s="25" t="str">
        <f>close</f>
        <v>Close: 35 ft</v>
      </c>
      <c r="L91" s="16"/>
      <c r="M91" s="25" t="s">
        <v>128</v>
      </c>
      <c r="N91" s="16"/>
      <c r="O91" s="67" t="str">
        <f>Level&amp;" day(s)
1 day/level"</f>
        <v>4 day(s)
1 day/level</v>
      </c>
      <c r="P91" s="16"/>
      <c r="Q91" s="25" t="s">
        <v>39</v>
      </c>
      <c r="R91" s="16"/>
      <c r="S91" s="25" t="s">
        <v>40</v>
      </c>
      <c r="T91" s="16"/>
      <c r="U91" s="50" t="s">
        <v>299</v>
      </c>
      <c r="V91" s="4"/>
      <c r="W91" s="4"/>
      <c r="X91" s="16"/>
    </row>
    <row r="92">
      <c r="B92" s="55">
        <v>3.0</v>
      </c>
      <c r="C92" s="63" t="s">
        <v>300</v>
      </c>
      <c r="D92" s="20"/>
      <c r="E92" s="31" t="s">
        <v>301</v>
      </c>
      <c r="F92" s="20"/>
      <c r="G92" s="31" t="s">
        <v>85</v>
      </c>
      <c r="H92" s="20"/>
      <c r="I92" s="31" t="s">
        <v>302</v>
      </c>
      <c r="J92" s="20"/>
      <c r="K92" s="31" t="str">
        <f>long</f>
        <v>Long: 560 ft</v>
      </c>
      <c r="L92" s="20"/>
      <c r="M92" s="31" t="s">
        <v>303</v>
      </c>
      <c r="N92" s="20"/>
      <c r="O92" s="66" t="str">
        <f>Level&amp;" minute(s) (D)
1 minute/level"</f>
        <v>4 minute(s) (D)
1 minute/level</v>
      </c>
      <c r="P92" s="20"/>
      <c r="Q92" s="31" t="s">
        <v>31</v>
      </c>
      <c r="R92" s="20"/>
      <c r="S92" s="31" t="s">
        <v>32</v>
      </c>
      <c r="T92" s="20"/>
      <c r="U92" s="54" t="str">
        <f>"Hear or see at a distance for "&amp;Level&amp;" minute(s), 1 minute/level"</f>
        <v>Hear or see at a distance for 4 minute(s), 1 minute/level</v>
      </c>
      <c r="V92" s="9"/>
      <c r="W92" s="9"/>
      <c r="X92" s="20"/>
    </row>
    <row r="93">
      <c r="B93" s="56">
        <v>3.0</v>
      </c>
      <c r="C93" s="59" t="s">
        <v>304</v>
      </c>
      <c r="D93" s="16"/>
      <c r="E93" s="25" t="s">
        <v>35</v>
      </c>
      <c r="F93" s="16"/>
      <c r="G93" s="25" t="s">
        <v>36</v>
      </c>
      <c r="H93" s="16"/>
      <c r="I93" s="67" t="s">
        <v>28</v>
      </c>
      <c r="J93" s="16"/>
      <c r="K93" s="67" t="str">
        <f>medium</f>
        <v>Medium: 140 ft</v>
      </c>
      <c r="L93" s="16"/>
      <c r="M93" s="25" t="s">
        <v>305</v>
      </c>
      <c r="N93" s="16"/>
      <c r="O93" s="25" t="str">
        <f>Level&amp;" round(s)
1 round/level"</f>
        <v>4 round(s)
1 round/level</v>
      </c>
      <c r="P93" s="16"/>
      <c r="Q93" s="25" t="s">
        <v>39</v>
      </c>
      <c r="R93" s="16"/>
      <c r="S93" s="25" t="s">
        <v>40</v>
      </c>
      <c r="T93" s="16"/>
      <c r="U93" s="50" t="str">
        <f>"Subjects behave oddly for "&amp;Level&amp;" round(s), 1 round/level"</f>
        <v>Subjects behave oddly for 4 round(s), 1 round/level</v>
      </c>
      <c r="V93" s="4"/>
      <c r="W93" s="4"/>
      <c r="X93" s="16"/>
    </row>
    <row r="94">
      <c r="B94" s="55">
        <v>3.0</v>
      </c>
      <c r="C94" s="63" t="s">
        <v>306</v>
      </c>
      <c r="D94" s="20"/>
      <c r="E94" s="31" t="s">
        <v>35</v>
      </c>
      <c r="F94" s="20"/>
      <c r="G94" s="31" t="s">
        <v>36</v>
      </c>
      <c r="H94" s="20"/>
      <c r="I94" s="66" t="s">
        <v>28</v>
      </c>
      <c r="J94" s="20"/>
      <c r="K94" s="31" t="s">
        <v>307</v>
      </c>
      <c r="L94" s="20"/>
      <c r="M94" s="31" t="s">
        <v>308</v>
      </c>
      <c r="N94" s="20"/>
      <c r="O94" s="31" t="str">
        <f>Level&amp;" minute(s)
1 minute/level"</f>
        <v>4 minute(s)
1 minute/level</v>
      </c>
      <c r="P94" s="20"/>
      <c r="Q94" s="31" t="s">
        <v>39</v>
      </c>
      <c r="R94" s="20"/>
      <c r="S94" s="31" t="s">
        <v>40</v>
      </c>
      <c r="T94" s="20"/>
      <c r="U94" s="54" t="s">
        <v>309</v>
      </c>
      <c r="V94" s="9"/>
      <c r="W94" s="9"/>
      <c r="X94" s="20"/>
    </row>
    <row r="95">
      <c r="B95" s="56">
        <v>3.0</v>
      </c>
      <c r="C95" s="70" t="s">
        <v>310</v>
      </c>
      <c r="D95" s="16"/>
      <c r="E95" s="25" t="s">
        <v>131</v>
      </c>
      <c r="F95" s="16"/>
      <c r="G95" s="67" t="s">
        <v>27</v>
      </c>
      <c r="H95" s="16"/>
      <c r="I95" s="67" t="s">
        <v>28</v>
      </c>
      <c r="J95" s="16"/>
      <c r="K95" s="67" t="s">
        <v>65</v>
      </c>
      <c r="L95" s="16"/>
      <c r="M95" s="25" t="s">
        <v>132</v>
      </c>
      <c r="N95" s="16"/>
      <c r="O95" s="67" t="s">
        <v>50</v>
      </c>
      <c r="P95" s="16"/>
      <c r="Q95" s="67" t="s">
        <v>133</v>
      </c>
      <c r="R95" s="16"/>
      <c r="S95" s="67" t="s">
        <v>134</v>
      </c>
      <c r="T95" s="16"/>
      <c r="U95" s="71" t="str">
        <f>CONCAT("Cures 3d8+",CONCAT(MIN(Level,15)," damage, +1/level, max +15"))</f>
        <v>Cures 3d8+4 damage, +1/level, max +15</v>
      </c>
      <c r="V95" s="4"/>
      <c r="W95" s="4"/>
      <c r="X95" s="16"/>
    </row>
    <row r="96">
      <c r="B96" s="55">
        <v>3.0</v>
      </c>
      <c r="C96" s="68" t="s">
        <v>311</v>
      </c>
      <c r="D96" s="20"/>
      <c r="E96" s="31" t="s">
        <v>26</v>
      </c>
      <c r="F96" s="20"/>
      <c r="G96" s="66" t="s">
        <v>27</v>
      </c>
      <c r="H96" s="20"/>
      <c r="I96" s="66" t="s">
        <v>28</v>
      </c>
      <c r="J96" s="20"/>
      <c r="K96" s="66" t="s">
        <v>65</v>
      </c>
      <c r="L96" s="20"/>
      <c r="M96" s="66" t="s">
        <v>218</v>
      </c>
      <c r="N96" s="20"/>
      <c r="O96" s="66" t="str">
        <f>CONCAT(Level*10, " minutes (D)
10 minutes/level")</f>
        <v>40 minutes (D)
10 minutes/level</v>
      </c>
      <c r="P96" s="20"/>
      <c r="Q96" s="66" t="s">
        <v>31</v>
      </c>
      <c r="R96" s="20"/>
      <c r="S96" s="66" t="s">
        <v>32</v>
      </c>
      <c r="T96" s="20"/>
      <c r="U96" s="54" t="s">
        <v>312</v>
      </c>
      <c r="V96" s="9"/>
      <c r="W96" s="9"/>
      <c r="X96" s="20"/>
    </row>
    <row r="97">
      <c r="B97" s="56">
        <v>3.0</v>
      </c>
      <c r="C97" s="59" t="s">
        <v>313</v>
      </c>
      <c r="D97" s="16"/>
      <c r="E97" s="25" t="s">
        <v>35</v>
      </c>
      <c r="F97" s="16"/>
      <c r="G97" s="25" t="s">
        <v>36</v>
      </c>
      <c r="H97" s="16"/>
      <c r="I97" s="25" t="s">
        <v>38</v>
      </c>
      <c r="J97" s="16"/>
      <c r="K97" s="67" t="str">
        <f>close</f>
        <v>Close: 35 ft</v>
      </c>
      <c r="L97" s="16"/>
      <c r="M97" s="25" t="s">
        <v>314</v>
      </c>
      <c r="N97" s="16"/>
      <c r="O97" s="67" t="str">
        <f>CONCAT(Level, " minute(s)
1 minutes/level")</f>
        <v>4 minute(s)
1 minutes/level</v>
      </c>
      <c r="P97" s="16"/>
      <c r="Q97" s="25" t="s">
        <v>39</v>
      </c>
      <c r="R97" s="16"/>
      <c r="S97" s="25" t="s">
        <v>40</v>
      </c>
      <c r="T97" s="16"/>
      <c r="U97" s="50" t="s">
        <v>315</v>
      </c>
      <c r="V97" s="4"/>
      <c r="W97" s="4"/>
      <c r="X97" s="16"/>
    </row>
    <row r="98">
      <c r="B98" s="55">
        <v>3.0</v>
      </c>
      <c r="C98" s="68" t="s">
        <v>316</v>
      </c>
      <c r="D98" s="20"/>
      <c r="E98" s="66" t="s">
        <v>100</v>
      </c>
      <c r="F98" s="20"/>
      <c r="G98" s="66" t="s">
        <v>27</v>
      </c>
      <c r="H98" s="20"/>
      <c r="I98" s="66" t="s">
        <v>28</v>
      </c>
      <c r="J98" s="20"/>
      <c r="K98" s="66" t="str">
        <f>CONCAT("Medium: ", CONCAT(100+(10*Level), " ft"))</f>
        <v>Medium: 140 ft</v>
      </c>
      <c r="L98" s="20"/>
      <c r="M98" s="31" t="s">
        <v>317</v>
      </c>
      <c r="N98" s="20"/>
      <c r="O98" s="66" t="s">
        <v>50</v>
      </c>
      <c r="P98" s="20"/>
      <c r="Q98" s="66" t="s">
        <v>31</v>
      </c>
      <c r="R98" s="20"/>
      <c r="S98" s="66" t="s">
        <v>32</v>
      </c>
      <c r="T98" s="20"/>
      <c r="U98" s="69" t="s">
        <v>318</v>
      </c>
      <c r="V98" s="9"/>
      <c r="W98" s="9"/>
      <c r="X98" s="20"/>
    </row>
    <row r="99">
      <c r="B99" s="56">
        <v>3.0</v>
      </c>
      <c r="C99" s="59" t="s">
        <v>319</v>
      </c>
      <c r="D99" s="16"/>
      <c r="E99" s="25" t="s">
        <v>138</v>
      </c>
      <c r="F99" s="16"/>
      <c r="G99" s="25" t="s">
        <v>64</v>
      </c>
      <c r="H99" s="16"/>
      <c r="I99" s="67" t="s">
        <v>28</v>
      </c>
      <c r="J99" s="16"/>
      <c r="K99" s="25" t="s">
        <v>65</v>
      </c>
      <c r="L99" s="16"/>
      <c r="M99" s="25" t="s">
        <v>132</v>
      </c>
      <c r="N99" s="16"/>
      <c r="O99" s="67" t="str">
        <f>Level&amp;" round(s) (D)
1 round/level"</f>
        <v>4 round(s) (D)
1 round/level</v>
      </c>
      <c r="P99" s="16"/>
      <c r="Q99" s="25" t="s">
        <v>103</v>
      </c>
      <c r="R99" s="16"/>
      <c r="S99" s="25" t="s">
        <v>104</v>
      </c>
      <c r="T99" s="16"/>
      <c r="U99" s="50" t="s">
        <v>320</v>
      </c>
      <c r="V99" s="4"/>
      <c r="W99" s="4"/>
      <c r="X99" s="16"/>
    </row>
    <row r="100">
      <c r="B100" s="55">
        <v>3.0</v>
      </c>
      <c r="C100" s="63" t="s">
        <v>321</v>
      </c>
      <c r="D100" s="20"/>
      <c r="E100" s="31" t="s">
        <v>116</v>
      </c>
      <c r="F100" s="20"/>
      <c r="G100" s="31" t="s">
        <v>36</v>
      </c>
      <c r="H100" s="20"/>
      <c r="I100" s="66" t="s">
        <v>28</v>
      </c>
      <c r="J100" s="20"/>
      <c r="K100" s="31" t="s">
        <v>307</v>
      </c>
      <c r="L100" s="20"/>
      <c r="M100" s="31" t="s">
        <v>308</v>
      </c>
      <c r="N100" s="20"/>
      <c r="O100" s="66" t="str">
        <f>Level&amp;" round(s) or 1 round, see text
1 round/level"</f>
        <v>4 round(s) or 1 round, see text
1 round/level</v>
      </c>
      <c r="P100" s="20"/>
      <c r="Q100" s="31" t="s">
        <v>119</v>
      </c>
      <c r="R100" s="20"/>
      <c r="S100" s="31" t="s">
        <v>40</v>
      </c>
      <c r="T100" s="20"/>
      <c r="U100" s="54" t="str">
        <f>"Subjects within cone flee for "&amp;Level&amp;" round(s), 1 round/level"</f>
        <v>Subjects within cone flee for 4 round(s), 1 round/level</v>
      </c>
      <c r="V100" s="9"/>
      <c r="W100" s="9"/>
      <c r="X100" s="20"/>
    </row>
    <row r="101">
      <c r="B101" s="56">
        <v>3.0</v>
      </c>
      <c r="C101" s="59" t="s">
        <v>322</v>
      </c>
      <c r="D101" s="16"/>
      <c r="E101" s="25" t="s">
        <v>73</v>
      </c>
      <c r="F101" s="16"/>
      <c r="G101" s="25" t="s">
        <v>323</v>
      </c>
      <c r="H101" s="16"/>
      <c r="I101" s="67" t="s">
        <v>28</v>
      </c>
      <c r="J101" s="16"/>
      <c r="K101" s="25" t="s">
        <v>65</v>
      </c>
      <c r="L101" s="16"/>
      <c r="M101" s="25" t="s">
        <v>324</v>
      </c>
      <c r="N101" s="16"/>
      <c r="O101" s="67" t="str">
        <f>Level*2&amp;" minutes (D)
2 minutes/level"</f>
        <v>8 minutes (D)
2 minutes/level</v>
      </c>
      <c r="P101" s="16"/>
      <c r="Q101" s="25" t="s">
        <v>31</v>
      </c>
      <c r="R101" s="16"/>
      <c r="S101" s="25" t="s">
        <v>32</v>
      </c>
      <c r="T101" s="16"/>
      <c r="U101" s="50" t="s">
        <v>325</v>
      </c>
      <c r="V101" s="4"/>
      <c r="W101" s="4"/>
      <c r="X101" s="16"/>
    </row>
    <row r="102">
      <c r="B102" s="55">
        <v>3.0</v>
      </c>
      <c r="C102" s="63" t="s">
        <v>326</v>
      </c>
      <c r="D102" s="20"/>
      <c r="E102" s="31" t="s">
        <v>327</v>
      </c>
      <c r="F102" s="20"/>
      <c r="G102" s="31" t="s">
        <v>48</v>
      </c>
      <c r="H102" s="20"/>
      <c r="I102" s="31" t="s">
        <v>38</v>
      </c>
      <c r="J102" s="20"/>
      <c r="K102" s="31" t="str">
        <f>close</f>
        <v>Close: 35 ft</v>
      </c>
      <c r="L102" s="20"/>
      <c r="M102" s="31" t="s">
        <v>328</v>
      </c>
      <c r="N102" s="20"/>
      <c r="O102" s="66" t="str">
        <f>Level&amp;" day(s) or until discharged (D)
1 day/level"</f>
        <v>4 day(s) or until discharged (D)
1 day/level</v>
      </c>
      <c r="P102" s="20"/>
      <c r="Q102" s="31" t="s">
        <v>39</v>
      </c>
      <c r="R102" s="20"/>
      <c r="S102" s="31" t="s">
        <v>40</v>
      </c>
      <c r="T102" s="20"/>
      <c r="U102" s="54" t="s">
        <v>329</v>
      </c>
      <c r="V102" s="9"/>
      <c r="W102" s="9"/>
      <c r="X102" s="20"/>
    </row>
    <row r="103">
      <c r="B103" s="56">
        <v>3.0</v>
      </c>
      <c r="C103" s="59" t="s">
        <v>330</v>
      </c>
      <c r="D103" s="16"/>
      <c r="E103" s="25" t="s">
        <v>73</v>
      </c>
      <c r="F103" s="16"/>
      <c r="G103" s="25" t="s">
        <v>331</v>
      </c>
      <c r="H103" s="16"/>
      <c r="I103" s="25" t="s">
        <v>28</v>
      </c>
      <c r="J103" s="16"/>
      <c r="K103" s="25" t="s">
        <v>59</v>
      </c>
      <c r="L103" s="16"/>
      <c r="M103" s="25" t="s">
        <v>60</v>
      </c>
      <c r="N103" s="16"/>
      <c r="O103" s="67" t="str">
        <f>Level*10&amp;" minutes (D)
10 minutes/level"</f>
        <v>40 minutes (D)
10 minutes/level</v>
      </c>
      <c r="P103" s="16"/>
      <c r="Q103" s="25" t="s">
        <v>61</v>
      </c>
      <c r="R103" s="16"/>
      <c r="S103" s="25" t="s">
        <v>61</v>
      </c>
      <c r="T103" s="16"/>
      <c r="U103" s="50" t="s">
        <v>332</v>
      </c>
      <c r="V103" s="4"/>
      <c r="W103" s="4"/>
      <c r="X103" s="16"/>
    </row>
    <row r="104">
      <c r="B104" s="55">
        <v>3.0</v>
      </c>
      <c r="C104" s="63" t="s">
        <v>333</v>
      </c>
      <c r="D104" s="20"/>
      <c r="E104" s="31" t="s">
        <v>35</v>
      </c>
      <c r="F104" s="20"/>
      <c r="G104" s="31" t="s">
        <v>27</v>
      </c>
      <c r="H104" s="20"/>
      <c r="I104" s="31" t="s">
        <v>28</v>
      </c>
      <c r="J104" s="20"/>
      <c r="K104" s="31" t="str">
        <f>medium</f>
        <v>Medium: 140 ft</v>
      </c>
      <c r="L104" s="20"/>
      <c r="M104" s="31" t="str">
        <f>Level&amp;" living creature(s), 1 creature/level, no 2 of which may be more than 30 ft apart"</f>
        <v>4 living creature(s), 1 creature/level, no 2 of which may be more than 30 ft apart</v>
      </c>
      <c r="N104" s="20"/>
      <c r="O104" s="66" t="str">
        <f>Level&amp;" minute(s)
1 minute/level"</f>
        <v>4 minute(s)
1 minute/level</v>
      </c>
      <c r="P104" s="20"/>
      <c r="Q104" s="31" t="s">
        <v>103</v>
      </c>
      <c r="R104" s="20"/>
      <c r="S104" s="31" t="s">
        <v>104</v>
      </c>
      <c r="T104" s="20"/>
      <c r="U104" s="54" t="s">
        <v>334</v>
      </c>
      <c r="V104" s="9"/>
      <c r="W104" s="9"/>
      <c r="X104" s="20"/>
    </row>
    <row r="105">
      <c r="B105" s="56">
        <v>3.0</v>
      </c>
      <c r="C105" s="59" t="s">
        <v>335</v>
      </c>
      <c r="D105" s="16"/>
      <c r="E105" s="25" t="s">
        <v>73</v>
      </c>
      <c r="F105" s="16"/>
      <c r="G105" s="25" t="s">
        <v>36</v>
      </c>
      <c r="H105" s="16"/>
      <c r="I105" s="25" t="s">
        <v>28</v>
      </c>
      <c r="J105" s="16"/>
      <c r="K105" s="25" t="str">
        <f>close</f>
        <v>Close: 35 ft</v>
      </c>
      <c r="L105" s="16"/>
      <c r="M105" s="25" t="str">
        <f>Level&amp;" living creature(s), 1 creature/level, no 2 of which may be more than 30 ft apart"</f>
        <v>4 living creature(s), 1 creature/level, no 2 of which may be more than 30 ft apart</v>
      </c>
      <c r="N105" s="16"/>
      <c r="O105" s="67" t="str">
        <f>Level&amp;" round(s)
1 round/level"</f>
        <v>4 round(s)
1 round/level</v>
      </c>
      <c r="P105" s="16"/>
      <c r="Q105" s="25" t="s">
        <v>224</v>
      </c>
      <c r="R105" s="16"/>
      <c r="S105" s="25" t="s">
        <v>104</v>
      </c>
      <c r="T105" s="16"/>
      <c r="U105" s="50" t="str">
        <f>Level&amp;" creature(s) move faster, +1 on attack rolls, AC, and Reflex saves. 1 creature/level"</f>
        <v>4 creature(s) move faster, +1 on attack rolls, AC, and Reflex saves. 1 creature/level</v>
      </c>
      <c r="V105" s="4"/>
      <c r="W105" s="4"/>
      <c r="X105" s="16"/>
    </row>
    <row r="106">
      <c r="B106" s="55">
        <v>3.0</v>
      </c>
      <c r="C106" s="63" t="s">
        <v>336</v>
      </c>
      <c r="D106" s="20"/>
      <c r="E106" s="31" t="s">
        <v>337</v>
      </c>
      <c r="F106" s="20"/>
      <c r="G106" s="31" t="s">
        <v>338</v>
      </c>
      <c r="H106" s="20"/>
      <c r="I106" s="31" t="s">
        <v>339</v>
      </c>
      <c r="J106" s="20"/>
      <c r="K106" s="31" t="s">
        <v>65</v>
      </c>
      <c r="L106" s="20"/>
      <c r="M106" s="31" t="s">
        <v>340</v>
      </c>
      <c r="N106" s="20"/>
      <c r="O106" s="66" t="str">
        <f>Level&amp;" day(s) (D)
1 day/level"</f>
        <v>4 day(s) (D)
1 day/level</v>
      </c>
      <c r="P106" s="20"/>
      <c r="Q106" s="31" t="s">
        <v>202</v>
      </c>
      <c r="R106" s="20"/>
      <c r="S106" s="31" t="s">
        <v>40</v>
      </c>
      <c r="T106" s="20"/>
      <c r="U106" s="54" t="s">
        <v>341</v>
      </c>
      <c r="V106" s="9"/>
      <c r="W106" s="9"/>
      <c r="X106" s="20"/>
    </row>
    <row r="107">
      <c r="B107" s="56">
        <v>3.0</v>
      </c>
      <c r="C107" s="59" t="s">
        <v>342</v>
      </c>
      <c r="D107" s="16"/>
      <c r="E107" s="25" t="s">
        <v>138</v>
      </c>
      <c r="F107" s="16"/>
      <c r="G107" s="25" t="s">
        <v>36</v>
      </c>
      <c r="H107" s="16"/>
      <c r="I107" s="25" t="s">
        <v>28</v>
      </c>
      <c r="J107" s="16"/>
      <c r="K107" s="25" t="s">
        <v>248</v>
      </c>
      <c r="L107" s="16"/>
      <c r="M107" s="25" t="s">
        <v>343</v>
      </c>
      <c r="N107" s="16"/>
      <c r="O107" s="25" t="str">
        <f>Level&amp;" minute(s) (D)
1 minute/level"</f>
        <v>4 minute(s) (D)
1 minute/level</v>
      </c>
      <c r="P107" s="16"/>
      <c r="Q107" s="25" t="s">
        <v>249</v>
      </c>
      <c r="R107" s="16"/>
      <c r="S107" s="25" t="s">
        <v>250</v>
      </c>
      <c r="T107" s="16"/>
      <c r="U107" s="50" t="s">
        <v>344</v>
      </c>
      <c r="V107" s="4"/>
      <c r="W107" s="4"/>
      <c r="X107" s="16"/>
    </row>
    <row r="108">
      <c r="B108" s="55">
        <v>3.0</v>
      </c>
      <c r="C108" s="63" t="s">
        <v>345</v>
      </c>
      <c r="D108" s="20"/>
      <c r="E108" s="31" t="s">
        <v>54</v>
      </c>
      <c r="F108" s="20"/>
      <c r="G108" s="31" t="s">
        <v>85</v>
      </c>
      <c r="H108" s="20"/>
      <c r="I108" s="31" t="s">
        <v>28</v>
      </c>
      <c r="J108" s="20"/>
      <c r="K108" s="31" t="str">
        <f>long</f>
        <v>Long: 560 ft</v>
      </c>
      <c r="L108" s="20"/>
      <c r="M108" s="31" t="str">
        <f>"Visual figment that cannot extend beyond "&amp;4+Level&amp;" ten ft cubes, 4 ten ft cubes + 1 ten ft cube/level"</f>
        <v>Visual figment that cannot extend beyond 8 ten ft cubes, 4 ten ft cubes + 1 ten ft cube/level</v>
      </c>
      <c r="N108" s="20"/>
      <c r="O108" s="31" t="s">
        <v>346</v>
      </c>
      <c r="P108" s="20"/>
      <c r="Q108" s="31" t="s">
        <v>56</v>
      </c>
      <c r="R108" s="20"/>
      <c r="S108" s="31" t="s">
        <v>32</v>
      </c>
      <c r="T108" s="20"/>
      <c r="U108" s="54" t="s">
        <v>347</v>
      </c>
      <c r="V108" s="9"/>
      <c r="W108" s="9"/>
      <c r="X108" s="20"/>
    </row>
    <row r="109">
      <c r="B109" s="56">
        <v>3.0</v>
      </c>
      <c r="C109" s="59" t="s">
        <v>348</v>
      </c>
      <c r="D109" s="16"/>
      <c r="E109" s="25" t="s">
        <v>150</v>
      </c>
      <c r="F109" s="16"/>
      <c r="G109" s="25" t="s">
        <v>27</v>
      </c>
      <c r="H109" s="16"/>
      <c r="I109" s="25" t="s">
        <v>302</v>
      </c>
      <c r="J109" s="16"/>
      <c r="K109" s="25" t="s">
        <v>108</v>
      </c>
      <c r="L109" s="16"/>
      <c r="M109" s="25" t="s">
        <v>349</v>
      </c>
      <c r="N109" s="16"/>
      <c r="O109" s="25" t="str">
        <f>Level&amp;" hour(s) (D)
1 hour/level"</f>
        <v>4 hour(s) (D)
1 hour/level</v>
      </c>
      <c r="P109" s="16"/>
      <c r="Q109" s="25" t="s">
        <v>31</v>
      </c>
      <c r="R109" s="16"/>
      <c r="S109" s="25" t="s">
        <v>32</v>
      </c>
      <c r="T109" s="16"/>
      <c r="U109" s="50" t="str">
        <f>"Magic horse appears for "&amp;Level&amp;" hour(s), 1 hour/level"</f>
        <v>Magic horse appears for 4 hour(s), 1 hour/level</v>
      </c>
      <c r="V109" s="4"/>
      <c r="W109" s="4"/>
      <c r="X109" s="16"/>
    </row>
    <row r="110">
      <c r="B110" s="55">
        <v>3.0</v>
      </c>
      <c r="C110" s="63" t="s">
        <v>350</v>
      </c>
      <c r="D110" s="20"/>
      <c r="E110" s="31" t="s">
        <v>100</v>
      </c>
      <c r="F110" s="20"/>
      <c r="G110" s="31" t="s">
        <v>27</v>
      </c>
      <c r="H110" s="20"/>
      <c r="I110" s="31" t="s">
        <v>28</v>
      </c>
      <c r="J110" s="20"/>
      <c r="K110" s="31" t="s">
        <v>65</v>
      </c>
      <c r="L110" s="20"/>
      <c r="M110" s="31" t="s">
        <v>351</v>
      </c>
      <c r="N110" s="20"/>
      <c r="O110" s="31" t="s">
        <v>50</v>
      </c>
      <c r="P110" s="20"/>
      <c r="Q110" s="31" t="s">
        <v>103</v>
      </c>
      <c r="R110" s="20"/>
      <c r="S110" s="31" t="s">
        <v>104</v>
      </c>
      <c r="T110" s="20"/>
      <c r="U110" s="54" t="s">
        <v>352</v>
      </c>
      <c r="V110" s="9"/>
      <c r="W110" s="9"/>
      <c r="X110" s="20"/>
    </row>
    <row r="111">
      <c r="B111" s="56">
        <v>3.0</v>
      </c>
      <c r="C111" s="70" t="s">
        <v>353</v>
      </c>
      <c r="D111" s="16"/>
      <c r="E111" s="25" t="s">
        <v>301</v>
      </c>
      <c r="F111" s="16"/>
      <c r="G111" s="25" t="s">
        <v>354</v>
      </c>
      <c r="H111" s="16"/>
      <c r="I111" s="67" t="s">
        <v>95</v>
      </c>
      <c r="J111" s="16"/>
      <c r="K111" s="67" t="s">
        <v>94</v>
      </c>
      <c r="L111" s="16"/>
      <c r="M111" s="67" t="s">
        <v>303</v>
      </c>
      <c r="N111" s="16"/>
      <c r="O111" s="67" t="str">
        <f>CONCAT(Level, " minute(s)
1 minute/level")</f>
        <v>4 minute(s)
1 minute/level</v>
      </c>
      <c r="P111" s="16"/>
      <c r="Q111" s="67" t="s">
        <v>39</v>
      </c>
      <c r="R111" s="16"/>
      <c r="S111" s="67" t="s">
        <v>40</v>
      </c>
      <c r="T111" s="16"/>
      <c r="U111" s="71" t="s">
        <v>355</v>
      </c>
      <c r="V111" s="4"/>
      <c r="W111" s="4"/>
      <c r="X111" s="16"/>
    </row>
    <row r="112">
      <c r="B112" s="55">
        <v>3.0</v>
      </c>
      <c r="C112" s="63" t="s">
        <v>356</v>
      </c>
      <c r="D112" s="20"/>
      <c r="E112" s="31" t="s">
        <v>73</v>
      </c>
      <c r="F112" s="20"/>
      <c r="G112" s="31" t="s">
        <v>27</v>
      </c>
      <c r="H112" s="20"/>
      <c r="I112" s="31" t="s">
        <v>28</v>
      </c>
      <c r="J112" s="20"/>
      <c r="K112" s="66" t="str">
        <f>close</f>
        <v>Close: 35 ft</v>
      </c>
      <c r="L112" s="20"/>
      <c r="M112" s="66" t="str">
        <f>Level&amp;" creature(s) or objects, 1 creature or object per level, no 2 of which can be more than 30 ft apart"</f>
        <v>4 creature(s) or objects, 1 creature or object per level, no 2 of which can be more than 30 ft apart</v>
      </c>
      <c r="N112" s="20"/>
      <c r="O112" s="66" t="str">
        <f>Level&amp;" hour(s) (D)
1 hour/level"</f>
        <v>4 hour(s) (D)
1 hour/level</v>
      </c>
      <c r="P112" s="20"/>
      <c r="Q112" s="31" t="s">
        <v>89</v>
      </c>
      <c r="R112" s="20"/>
      <c r="S112" s="31" t="s">
        <v>90</v>
      </c>
      <c r="T112" s="20"/>
      <c r="U112" s="54" t="s">
        <v>357</v>
      </c>
      <c r="V112" s="9"/>
      <c r="W112" s="9"/>
      <c r="X112" s="20"/>
    </row>
    <row r="113">
      <c r="B113" s="56">
        <v>3.0</v>
      </c>
      <c r="C113" s="59" t="s">
        <v>358</v>
      </c>
      <c r="D113" s="16"/>
      <c r="E113" s="25" t="s">
        <v>73</v>
      </c>
      <c r="F113" s="16"/>
      <c r="G113" s="25" t="s">
        <v>36</v>
      </c>
      <c r="H113" s="16"/>
      <c r="I113" s="25" t="s">
        <v>302</v>
      </c>
      <c r="J113" s="16"/>
      <c r="K113" s="25" t="s">
        <v>65</v>
      </c>
      <c r="L113" s="16"/>
      <c r="M113" s="25" t="s">
        <v>359</v>
      </c>
      <c r="N113" s="16"/>
      <c r="O113" s="25" t="s">
        <v>360</v>
      </c>
      <c r="P113" s="16"/>
      <c r="Q113" s="25" t="s">
        <v>31</v>
      </c>
      <c r="R113" s="16"/>
      <c r="S113" s="25" t="s">
        <v>32</v>
      </c>
      <c r="T113" s="16"/>
      <c r="U113" s="50" t="s">
        <v>361</v>
      </c>
      <c r="V113" s="4"/>
      <c r="W113" s="4"/>
      <c r="X113" s="16"/>
    </row>
    <row r="114">
      <c r="B114" s="55">
        <v>3.0</v>
      </c>
      <c r="C114" s="63" t="s">
        <v>362</v>
      </c>
      <c r="D114" s="20"/>
      <c r="E114" s="31" t="s">
        <v>43</v>
      </c>
      <c r="F114" s="20"/>
      <c r="G114" s="31" t="s">
        <v>36</v>
      </c>
      <c r="H114" s="20"/>
      <c r="I114" s="31" t="s">
        <v>28</v>
      </c>
      <c r="J114" s="20"/>
      <c r="K114" s="31" t="s">
        <v>59</v>
      </c>
      <c r="L114" s="20"/>
      <c r="M114" s="31" t="s">
        <v>60</v>
      </c>
      <c r="N114" s="20"/>
      <c r="O114" s="31" t="str">
        <f>Level*10&amp;" minutes (D)
10 minutes/level"</f>
        <v>40 minutes (D)
10 minutes/level</v>
      </c>
      <c r="P114" s="20"/>
      <c r="Q114" s="31" t="s">
        <v>61</v>
      </c>
      <c r="R114" s="20"/>
      <c r="S114" s="31" t="s">
        <v>61</v>
      </c>
      <c r="T114" s="20"/>
      <c r="U114" s="54" t="s">
        <v>363</v>
      </c>
      <c r="V114" s="9"/>
      <c r="W114" s="9"/>
      <c r="X114" s="20"/>
    </row>
    <row r="115">
      <c r="B115" s="56">
        <v>3.0</v>
      </c>
      <c r="C115" s="59" t="s">
        <v>364</v>
      </c>
      <c r="D115" s="16"/>
      <c r="E115" s="25" t="s">
        <v>365</v>
      </c>
      <c r="F115" s="16"/>
      <c r="G115" s="25" t="s">
        <v>366</v>
      </c>
      <c r="H115" s="16"/>
      <c r="I115" s="25" t="s">
        <v>302</v>
      </c>
      <c r="J115" s="16"/>
      <c r="K115" s="25" t="s">
        <v>65</v>
      </c>
      <c r="L115" s="16"/>
      <c r="M115" s="25" t="s">
        <v>367</v>
      </c>
      <c r="N115" s="16"/>
      <c r="O115" s="25" t="str">
        <f>"Permanent or until discharged
Until released or 1d4+"&amp;Level&amp;" day(s), +1 day/level
see text"</f>
        <v>Permanent or until discharged
Until released or 1d4+4 day(s), +1 day/level
see text</v>
      </c>
      <c r="P115" s="16"/>
      <c r="Q115" s="25" t="s">
        <v>368</v>
      </c>
      <c r="R115" s="16"/>
      <c r="S115" s="25" t="s">
        <v>32</v>
      </c>
      <c r="T115" s="16"/>
      <c r="U115" s="50" t="s">
        <v>369</v>
      </c>
      <c r="V115" s="4"/>
      <c r="W115" s="4"/>
      <c r="X115" s="16"/>
    </row>
    <row r="116">
      <c r="B116" s="55">
        <v>3.0</v>
      </c>
      <c r="C116" s="63" t="s">
        <v>370</v>
      </c>
      <c r="D116" s="20"/>
      <c r="E116" s="31" t="s">
        <v>73</v>
      </c>
      <c r="F116" s="20"/>
      <c r="G116" s="31" t="s">
        <v>36</v>
      </c>
      <c r="H116" s="20"/>
      <c r="I116" s="31" t="s">
        <v>28</v>
      </c>
      <c r="J116" s="20"/>
      <c r="K116" s="31" t="str">
        <f>close</f>
        <v>Close: 35 ft</v>
      </c>
      <c r="L116" s="20"/>
      <c r="M116" s="31" t="str">
        <f>Level&amp;" living creature(s), 1 creature/level, no 2 of which may be more than 30 ft apart"</f>
        <v>4 living creature(s), 1 creature/level, no 2 of which may be more than 30 ft apart</v>
      </c>
      <c r="N116" s="20"/>
      <c r="O116" s="66" t="str">
        <f>Level&amp;" round(s)
1 round/level"</f>
        <v>4 round(s)
1 round/level</v>
      </c>
      <c r="P116" s="20"/>
      <c r="Q116" s="31" t="s">
        <v>39</v>
      </c>
      <c r="R116" s="20"/>
      <c r="S116" s="31" t="s">
        <v>40</v>
      </c>
      <c r="T116" s="20"/>
      <c r="U116" s="54" t="str">
        <f>Level&amp;" subject(s) take only 1 action/round, -1 on attack rolls, AC, and Reflex saves. 1 subject/level"</f>
        <v>4 subject(s) take only 1 action/round, -1 on attack rolls, AC, and Reflex saves. 1 subject/level</v>
      </c>
      <c r="V116" s="9"/>
      <c r="W116" s="9"/>
      <c r="X116" s="20"/>
    </row>
    <row r="117">
      <c r="B117" s="56">
        <v>3.0</v>
      </c>
      <c r="C117" s="70" t="s">
        <v>371</v>
      </c>
      <c r="D117" s="16"/>
      <c r="E117" s="67" t="s">
        <v>43</v>
      </c>
      <c r="F117" s="16"/>
      <c r="G117" s="67" t="s">
        <v>27</v>
      </c>
      <c r="H117" s="16"/>
      <c r="I117" s="67" t="s">
        <v>28</v>
      </c>
      <c r="J117" s="16"/>
      <c r="K117" s="67" t="s">
        <v>59</v>
      </c>
      <c r="L117" s="16"/>
      <c r="M117" s="67" t="s">
        <v>60</v>
      </c>
      <c r="N117" s="16"/>
      <c r="O117" s="67" t="str">
        <f>CONCAT(Level, " minute(s)
1 minute/level")</f>
        <v>4 minute(s)
1 minute/level</v>
      </c>
      <c r="P117" s="16"/>
      <c r="Q117" s="67" t="s">
        <v>61</v>
      </c>
      <c r="R117" s="16"/>
      <c r="S117" s="67" t="s">
        <v>61</v>
      </c>
      <c r="T117" s="16"/>
      <c r="U117" s="71" t="s">
        <v>372</v>
      </c>
      <c r="V117" s="4"/>
      <c r="W117" s="4"/>
      <c r="X117" s="16"/>
    </row>
    <row r="118">
      <c r="B118" s="55">
        <v>3.0</v>
      </c>
      <c r="C118" s="52" t="s">
        <v>373</v>
      </c>
      <c r="D118" s="20"/>
      <c r="E118" s="31" t="s">
        <v>182</v>
      </c>
      <c r="F118" s="20"/>
      <c r="G118" s="31" t="s">
        <v>85</v>
      </c>
      <c r="H118" s="20"/>
      <c r="I118" s="31" t="s">
        <v>38</v>
      </c>
      <c r="J118" s="20"/>
      <c r="K118" s="31" t="str">
        <f>close</f>
        <v>Close: 35 ft</v>
      </c>
      <c r="L118" s="20"/>
      <c r="M118" s="31" t="s">
        <v>183</v>
      </c>
      <c r="N118" s="20"/>
      <c r="O118" s="31" t="str">
        <f>Level&amp;" round(s) (D)
1 round/level"</f>
        <v>4 round(s) (D)
1 round/level</v>
      </c>
      <c r="P118" s="20"/>
      <c r="Q118" s="31" t="s">
        <v>31</v>
      </c>
      <c r="R118" s="20"/>
      <c r="S118" s="31" t="s">
        <v>32</v>
      </c>
      <c r="T118" s="20"/>
      <c r="U118" s="54" t="s">
        <v>184</v>
      </c>
      <c r="V118" s="9"/>
      <c r="W118" s="9"/>
      <c r="X118" s="20"/>
    </row>
    <row r="119">
      <c r="B119" s="56">
        <v>3.0</v>
      </c>
      <c r="C119" s="48" t="s">
        <v>374</v>
      </c>
      <c r="D119" s="16"/>
      <c r="E119" s="25" t="s">
        <v>375</v>
      </c>
      <c r="F119" s="16"/>
      <c r="G119" s="25" t="s">
        <v>36</v>
      </c>
      <c r="H119" s="16"/>
      <c r="I119" s="25" t="s">
        <v>28</v>
      </c>
      <c r="J119" s="16"/>
      <c r="K119" s="25" t="s">
        <v>376</v>
      </c>
      <c r="L119" s="16"/>
      <c r="M119" s="25" t="s">
        <v>377</v>
      </c>
      <c r="N119" s="16"/>
      <c r="O119" s="25" t="str">
        <f>Level*2&amp;" hours (D)
2 hours/level"</f>
        <v>8 hours (D)
2 hours/level</v>
      </c>
      <c r="P119" s="16"/>
      <c r="Q119" s="25" t="s">
        <v>31</v>
      </c>
      <c r="R119" s="16"/>
      <c r="S119" s="25" t="s">
        <v>32</v>
      </c>
      <c r="T119" s="16"/>
      <c r="U119" s="50" t="s">
        <v>378</v>
      </c>
      <c r="V119" s="4"/>
      <c r="W119" s="4"/>
      <c r="X119" s="16"/>
    </row>
    <row r="120">
      <c r="B120" s="55">
        <v>4.0</v>
      </c>
      <c r="C120" s="63" t="s">
        <v>379</v>
      </c>
      <c r="D120" s="20"/>
      <c r="E120" s="31" t="s">
        <v>100</v>
      </c>
      <c r="F120" s="20"/>
      <c r="G120" s="66" t="s">
        <v>27</v>
      </c>
      <c r="H120" s="20"/>
      <c r="I120" s="31" t="s">
        <v>102</v>
      </c>
      <c r="J120" s="20"/>
      <c r="K120" s="66" t="str">
        <f>close</f>
        <v>Close: 35 ft</v>
      </c>
      <c r="L120" s="20"/>
      <c r="M120" s="66" t="str">
        <f>"Up to "&amp;Level&amp;" creature(s), 1 creature/level, all within 30 ft of each other"</f>
        <v>Up to 4 creature(s), 1 creature/level, all within 30 ft of each other</v>
      </c>
      <c r="N120" s="20"/>
      <c r="O120" s="66" t="s">
        <v>50</v>
      </c>
      <c r="P120" s="20"/>
      <c r="Q120" s="31" t="s">
        <v>94</v>
      </c>
      <c r="R120" s="20"/>
      <c r="S120" s="31" t="s">
        <v>32</v>
      </c>
      <c r="T120" s="20"/>
      <c r="U120" s="54" t="s">
        <v>380</v>
      </c>
      <c r="V120" s="9"/>
      <c r="W120" s="9"/>
      <c r="X120" s="20"/>
    </row>
    <row r="121">
      <c r="B121" s="56">
        <v>4.0</v>
      </c>
      <c r="C121" s="70" t="s">
        <v>381</v>
      </c>
      <c r="D121" s="16"/>
      <c r="E121" s="25" t="s">
        <v>131</v>
      </c>
      <c r="F121" s="16"/>
      <c r="G121" s="67" t="s">
        <v>27</v>
      </c>
      <c r="H121" s="16"/>
      <c r="I121" s="67" t="s">
        <v>28</v>
      </c>
      <c r="J121" s="16"/>
      <c r="K121" s="67" t="s">
        <v>65</v>
      </c>
      <c r="L121" s="16"/>
      <c r="M121" s="67" t="s">
        <v>132</v>
      </c>
      <c r="N121" s="16"/>
      <c r="O121" s="67" t="s">
        <v>50</v>
      </c>
      <c r="P121" s="16"/>
      <c r="Q121" s="67" t="s">
        <v>133</v>
      </c>
      <c r="R121" s="16"/>
      <c r="S121" s="67" t="s">
        <v>134</v>
      </c>
      <c r="T121" s="16"/>
      <c r="U121" s="71" t="str">
        <f>CONCAT("Cures 4d8+",CONCAT(MIN(Level,20)," damage, +1/level, max +20"))</f>
        <v>Cures 4d8+4 damage, +1/level, max +20</v>
      </c>
      <c r="V121" s="4"/>
      <c r="W121" s="4"/>
      <c r="X121" s="16"/>
    </row>
    <row r="122">
      <c r="B122" s="55">
        <v>4.0</v>
      </c>
      <c r="C122" s="63" t="s">
        <v>382</v>
      </c>
      <c r="D122" s="20"/>
      <c r="E122" s="31" t="s">
        <v>43</v>
      </c>
      <c r="F122" s="20"/>
      <c r="G122" s="31" t="s">
        <v>36</v>
      </c>
      <c r="H122" s="20"/>
      <c r="I122" s="66" t="s">
        <v>28</v>
      </c>
      <c r="J122" s="20"/>
      <c r="K122" s="31" t="s">
        <v>383</v>
      </c>
      <c r="L122" s="20"/>
      <c r="M122" s="31" t="s">
        <v>384</v>
      </c>
      <c r="N122" s="20"/>
      <c r="O122" s="31" t="s">
        <v>186</v>
      </c>
      <c r="P122" s="20"/>
      <c r="Q122" s="31" t="s">
        <v>31</v>
      </c>
      <c r="R122" s="20"/>
      <c r="S122" s="31" t="s">
        <v>32</v>
      </c>
      <c r="T122" s="20"/>
      <c r="U122" s="54" t="s">
        <v>385</v>
      </c>
      <c r="V122" s="9"/>
      <c r="W122" s="9"/>
      <c r="X122" s="20"/>
    </row>
    <row r="123">
      <c r="B123" s="56">
        <v>4.0</v>
      </c>
      <c r="C123" s="59" t="s">
        <v>386</v>
      </c>
      <c r="D123" s="16"/>
      <c r="E123" s="25" t="s">
        <v>387</v>
      </c>
      <c r="F123" s="16"/>
      <c r="G123" s="25" t="s">
        <v>48</v>
      </c>
      <c r="H123" s="16"/>
      <c r="I123" s="67" t="s">
        <v>28</v>
      </c>
      <c r="J123" s="16"/>
      <c r="K123" s="25" t="str">
        <f>long</f>
        <v>Long: 560 ft</v>
      </c>
      <c r="L123" s="16"/>
      <c r="M123" s="25" t="s">
        <v>388</v>
      </c>
      <c r="N123" s="16"/>
      <c r="O123" s="25" t="s">
        <v>50</v>
      </c>
      <c r="P123" s="16"/>
      <c r="Q123" s="25" t="s">
        <v>389</v>
      </c>
      <c r="R123" s="16"/>
      <c r="S123" s="25" t="s">
        <v>390</v>
      </c>
      <c r="T123" s="16"/>
      <c r="U123" s="50" t="s">
        <v>391</v>
      </c>
      <c r="V123" s="4"/>
      <c r="W123" s="4"/>
      <c r="X123" s="16"/>
    </row>
    <row r="124">
      <c r="B124" s="55">
        <v>4.0</v>
      </c>
      <c r="C124" s="63" t="s">
        <v>392</v>
      </c>
      <c r="D124" s="20"/>
      <c r="E124" s="31" t="s">
        <v>35</v>
      </c>
      <c r="F124" s="20"/>
      <c r="G124" s="31" t="s">
        <v>27</v>
      </c>
      <c r="H124" s="20"/>
      <c r="I124" s="31" t="s">
        <v>38</v>
      </c>
      <c r="J124" s="20"/>
      <c r="K124" s="31" t="str">
        <f>close</f>
        <v>Close: 35 ft</v>
      </c>
      <c r="L124" s="20"/>
      <c r="M124" s="31" t="s">
        <v>393</v>
      </c>
      <c r="N124" s="20"/>
      <c r="O124" s="31" t="str">
        <f>Level&amp;" day(s) (D)
1 day/level"</f>
        <v>4 day(s) (D)
1 day/level</v>
      </c>
      <c r="P124" s="20"/>
      <c r="Q124" s="31" t="s">
        <v>39</v>
      </c>
      <c r="R124" s="20"/>
      <c r="S124" s="31" t="s">
        <v>40</v>
      </c>
      <c r="T124" s="20"/>
      <c r="U124" s="54" t="s">
        <v>394</v>
      </c>
      <c r="V124" s="9"/>
      <c r="W124" s="9"/>
      <c r="X124" s="20"/>
    </row>
    <row r="125">
      <c r="B125" s="56">
        <v>4.0</v>
      </c>
      <c r="C125" s="70" t="s">
        <v>395</v>
      </c>
      <c r="D125" s="16"/>
      <c r="E125" s="67" t="s">
        <v>100</v>
      </c>
      <c r="F125" s="16"/>
      <c r="G125" s="25" t="s">
        <v>36</v>
      </c>
      <c r="H125" s="16"/>
      <c r="I125" s="67" t="s">
        <v>28</v>
      </c>
      <c r="J125" s="16"/>
      <c r="K125" s="67" t="s">
        <v>248</v>
      </c>
      <c r="L125" s="16"/>
      <c r="M125" s="67" t="s">
        <v>396</v>
      </c>
      <c r="N125" s="16"/>
      <c r="O125" s="67" t="str">
        <f>CONCAT(Level*10, " minutes
10 minutes/level")</f>
        <v>40 minutes
10 minutes/level</v>
      </c>
      <c r="P125" s="16"/>
      <c r="Q125" s="67" t="s">
        <v>103</v>
      </c>
      <c r="R125" s="16"/>
      <c r="S125" s="67" t="s">
        <v>104</v>
      </c>
      <c r="T125" s="16"/>
      <c r="U125" s="71" t="s">
        <v>397</v>
      </c>
      <c r="V125" s="4"/>
      <c r="W125" s="4"/>
      <c r="X125" s="16"/>
    </row>
    <row r="126">
      <c r="B126" s="55">
        <v>4.0</v>
      </c>
      <c r="C126" s="63" t="s">
        <v>398</v>
      </c>
      <c r="D126" s="20"/>
      <c r="E126" s="31" t="s">
        <v>138</v>
      </c>
      <c r="F126" s="20"/>
      <c r="G126" s="31" t="s">
        <v>36</v>
      </c>
      <c r="H126" s="20"/>
      <c r="I126" s="31" t="s">
        <v>302</v>
      </c>
      <c r="J126" s="20"/>
      <c r="K126" s="66" t="str">
        <f>long</f>
        <v>Long: 560 ft</v>
      </c>
      <c r="L126" s="20"/>
      <c r="M126" s="66" t="str">
        <f>Level&amp;" thirty ft cube(s), 1 cube/level"</f>
        <v>4 thirty ft cube(s), 1 cube/level</v>
      </c>
      <c r="N126" s="20"/>
      <c r="O126" s="66" t="str">
        <f>Level*2&amp;" hours (D)
2 hours/level"</f>
        <v>8 hours (D)
2 hours/level</v>
      </c>
      <c r="P126" s="20"/>
      <c r="Q126" s="31" t="s">
        <v>56</v>
      </c>
      <c r="R126" s="20"/>
      <c r="S126" s="31" t="s">
        <v>32</v>
      </c>
      <c r="T126" s="20"/>
      <c r="U126" s="54" t="s">
        <v>399</v>
      </c>
      <c r="V126" s="9"/>
      <c r="W126" s="9"/>
      <c r="X126" s="20"/>
    </row>
    <row r="127">
      <c r="B127" s="56">
        <v>4.0</v>
      </c>
      <c r="C127" s="59" t="s">
        <v>400</v>
      </c>
      <c r="D127" s="16"/>
      <c r="E127" s="25" t="s">
        <v>35</v>
      </c>
      <c r="F127" s="16"/>
      <c r="G127" s="25" t="s">
        <v>36</v>
      </c>
      <c r="H127" s="16"/>
      <c r="I127" s="25" t="s">
        <v>28</v>
      </c>
      <c r="J127" s="16"/>
      <c r="K127" s="67" t="str">
        <f>medium</f>
        <v>Medium: 140 ft</v>
      </c>
      <c r="L127" s="16"/>
      <c r="M127" s="25" t="s">
        <v>128</v>
      </c>
      <c r="N127" s="16"/>
      <c r="O127" s="67" t="str">
        <f>Level&amp;" round(s), see text (D)
1 round/level"</f>
        <v>4 round(s), see text (D)
1 round/level</v>
      </c>
      <c r="P127" s="16"/>
      <c r="Q127" s="25" t="s">
        <v>202</v>
      </c>
      <c r="R127" s="16"/>
      <c r="S127" s="25" t="s">
        <v>40</v>
      </c>
      <c r="T127" s="16"/>
      <c r="U127" s="50" t="s">
        <v>401</v>
      </c>
      <c r="V127" s="4"/>
      <c r="W127" s="4"/>
      <c r="X127" s="16"/>
    </row>
    <row r="128">
      <c r="B128" s="55">
        <v>4.0</v>
      </c>
      <c r="C128" s="63" t="s">
        <v>402</v>
      </c>
      <c r="D128" s="20"/>
      <c r="E128" s="31" t="s">
        <v>138</v>
      </c>
      <c r="F128" s="20"/>
      <c r="G128" s="31" t="s">
        <v>27</v>
      </c>
      <c r="H128" s="20"/>
      <c r="I128" s="31" t="s">
        <v>28</v>
      </c>
      <c r="J128" s="20"/>
      <c r="K128" s="31" t="s">
        <v>403</v>
      </c>
      <c r="L128" s="20"/>
      <c r="M128" s="31" t="s">
        <v>396</v>
      </c>
      <c r="N128" s="20"/>
      <c r="O128" s="66" t="str">
        <f>Level&amp;" round(s) (D)
1 round/level"</f>
        <v>4 round(s) (D)
1 round/level</v>
      </c>
      <c r="P128" s="20"/>
      <c r="Q128" s="31" t="s">
        <v>103</v>
      </c>
      <c r="R128" s="20"/>
      <c r="S128" s="31" t="s">
        <v>104</v>
      </c>
      <c r="T128" s="20"/>
      <c r="U128" s="54" t="s">
        <v>404</v>
      </c>
      <c r="V128" s="9"/>
      <c r="W128" s="9"/>
      <c r="X128" s="20"/>
    </row>
    <row r="129">
      <c r="B129" s="56">
        <v>4.0</v>
      </c>
      <c r="C129" s="59" t="s">
        <v>405</v>
      </c>
      <c r="D129" s="16"/>
      <c r="E129" s="25" t="s">
        <v>43</v>
      </c>
      <c r="F129" s="16"/>
      <c r="G129" s="25" t="s">
        <v>406</v>
      </c>
      <c r="H129" s="16"/>
      <c r="I129" s="25" t="s">
        <v>94</v>
      </c>
      <c r="J129" s="16"/>
      <c r="K129" s="25" t="s">
        <v>59</v>
      </c>
      <c r="L129" s="16"/>
      <c r="M129" s="25" t="s">
        <v>60</v>
      </c>
      <c r="N129" s="16"/>
      <c r="O129" s="25" t="s">
        <v>94</v>
      </c>
      <c r="P129" s="16"/>
      <c r="Q129" s="25" t="s">
        <v>61</v>
      </c>
      <c r="R129" s="16"/>
      <c r="S129" s="25" t="s">
        <v>61</v>
      </c>
      <c r="T129" s="16"/>
      <c r="U129" s="50" t="s">
        <v>407</v>
      </c>
      <c r="V129" s="4"/>
      <c r="W129" s="4"/>
      <c r="X129" s="16"/>
    </row>
    <row r="130">
      <c r="B130" s="55">
        <v>4.0</v>
      </c>
      <c r="C130" s="63" t="s">
        <v>408</v>
      </c>
      <c r="D130" s="20"/>
      <c r="E130" s="31" t="s">
        <v>43</v>
      </c>
      <c r="F130" s="20"/>
      <c r="G130" s="31" t="s">
        <v>36</v>
      </c>
      <c r="H130" s="20"/>
      <c r="I130" s="31" t="s">
        <v>28</v>
      </c>
      <c r="J130" s="20"/>
      <c r="K130" s="31" t="str">
        <f>long</f>
        <v>Long: 560 ft</v>
      </c>
      <c r="L130" s="20"/>
      <c r="M130" s="31" t="str">
        <f>"Circle, centered on you, with a radius of "&amp;400+Level*40&amp;" ft, 400+40 ft/level"</f>
        <v>Circle, centered on you, with a radius of 560 ft, 400+40 ft/level</v>
      </c>
      <c r="N130" s="20"/>
      <c r="O130" s="31" t="str">
        <f>CONCAT(Level*10, " minutes
10 minutes/level")</f>
        <v>40 minutes
10 minutes/level</v>
      </c>
      <c r="P130" s="20"/>
      <c r="Q130" s="31" t="s">
        <v>31</v>
      </c>
      <c r="R130" s="20"/>
      <c r="S130" s="31" t="s">
        <v>32</v>
      </c>
      <c r="T130" s="20"/>
      <c r="U130" s="54" t="s">
        <v>409</v>
      </c>
      <c r="V130" s="9"/>
      <c r="W130" s="9"/>
      <c r="X130" s="20"/>
    </row>
    <row r="131">
      <c r="B131" s="56">
        <v>4.0</v>
      </c>
      <c r="C131" s="59" t="s">
        <v>410</v>
      </c>
      <c r="D131" s="16"/>
      <c r="E131" s="25" t="s">
        <v>35</v>
      </c>
      <c r="F131" s="16"/>
      <c r="G131" s="25" t="s">
        <v>27</v>
      </c>
      <c r="H131" s="16"/>
      <c r="I131" s="25" t="s">
        <v>411</v>
      </c>
      <c r="J131" s="16"/>
      <c r="K131" s="25" t="str">
        <f>close</f>
        <v>Close: 35 ft</v>
      </c>
      <c r="L131" s="16"/>
      <c r="M131" s="25" t="s">
        <v>128</v>
      </c>
      <c r="N131" s="16"/>
      <c r="O131" s="25" t="s">
        <v>360</v>
      </c>
      <c r="P131" s="16"/>
      <c r="Q131" s="25" t="s">
        <v>39</v>
      </c>
      <c r="R131" s="16"/>
      <c r="S131" s="25" t="s">
        <v>40</v>
      </c>
      <c r="T131" s="16"/>
      <c r="U131" s="50" t="s">
        <v>412</v>
      </c>
      <c r="V131" s="4"/>
      <c r="W131" s="4"/>
      <c r="X131" s="16"/>
    </row>
    <row r="132">
      <c r="B132" s="55">
        <v>4.0</v>
      </c>
      <c r="C132" s="68" t="s">
        <v>413</v>
      </c>
      <c r="D132" s="20"/>
      <c r="E132" s="31" t="s">
        <v>131</v>
      </c>
      <c r="F132" s="20"/>
      <c r="G132" s="31" t="s">
        <v>36</v>
      </c>
      <c r="H132" s="20"/>
      <c r="I132" s="66" t="s">
        <v>28</v>
      </c>
      <c r="J132" s="20"/>
      <c r="K132" s="66" t="s">
        <v>65</v>
      </c>
      <c r="L132" s="20"/>
      <c r="M132" s="66" t="str">
        <f>CONCAT("Creature or object of up to ",CONCAT(Level," cu ft touched, 1 cu ft per level"))</f>
        <v>Creature or object of up to 4 cu ft touched, 1 cu ft per level</v>
      </c>
      <c r="N132" s="20"/>
      <c r="O132" s="66" t="str">
        <f>CONCAT(Level*10, " minutes
10 minutes/level")</f>
        <v>40 minutes
10 minutes/level</v>
      </c>
      <c r="P132" s="20"/>
      <c r="Q132" s="66" t="s">
        <v>414</v>
      </c>
      <c r="R132" s="20"/>
      <c r="S132" s="66" t="s">
        <v>415</v>
      </c>
      <c r="T132" s="20"/>
      <c r="U132" s="69" t="s">
        <v>416</v>
      </c>
      <c r="V132" s="9"/>
      <c r="W132" s="9"/>
      <c r="X132" s="20"/>
    </row>
    <row r="133">
      <c r="B133" s="56">
        <v>4.0</v>
      </c>
      <c r="C133" s="59" t="s">
        <v>417</v>
      </c>
      <c r="D133" s="16"/>
      <c r="E133" s="25" t="s">
        <v>243</v>
      </c>
      <c r="F133" s="16"/>
      <c r="G133" s="25" t="s">
        <v>418</v>
      </c>
      <c r="H133" s="16"/>
      <c r="I133" s="67" t="s">
        <v>28</v>
      </c>
      <c r="J133" s="16"/>
      <c r="K133" s="67" t="str">
        <f>medium</f>
        <v>Medium: 140 ft</v>
      </c>
      <c r="L133" s="16"/>
      <c r="M133" s="25" t="s">
        <v>419</v>
      </c>
      <c r="N133" s="16"/>
      <c r="O133" s="67" t="str">
        <f>"Concentration + "&amp;Level&amp;" round(s) (D)
+1 round/level"</f>
        <v>Concentration + 4 round(s) (D)
+1 round/level</v>
      </c>
      <c r="P133" s="16"/>
      <c r="Q133" s="25" t="s">
        <v>39</v>
      </c>
      <c r="R133" s="16"/>
      <c r="S133" s="25" t="s">
        <v>40</v>
      </c>
      <c r="T133" s="16"/>
      <c r="U133" s="50" t="s">
        <v>420</v>
      </c>
      <c r="V133" s="4"/>
      <c r="W133" s="4"/>
      <c r="X133" s="16"/>
    </row>
    <row r="134">
      <c r="B134" s="55">
        <v>4.0</v>
      </c>
      <c r="C134" s="68" t="s">
        <v>421</v>
      </c>
      <c r="D134" s="20"/>
      <c r="E134" s="66" t="s">
        <v>100</v>
      </c>
      <c r="F134" s="20"/>
      <c r="G134" s="31" t="s">
        <v>27</v>
      </c>
      <c r="H134" s="20"/>
      <c r="I134" s="66" t="s">
        <v>28</v>
      </c>
      <c r="J134" s="20"/>
      <c r="K134" s="66" t="s">
        <v>78</v>
      </c>
      <c r="L134" s="20"/>
      <c r="M134" s="66" t="s">
        <v>422</v>
      </c>
      <c r="N134" s="20"/>
      <c r="O134" s="66" t="str">
        <f>CONCAT(Level*10, " minutes (D)
10 minutes/level")</f>
        <v>40 minutes (D)
10 minutes/level</v>
      </c>
      <c r="P134" s="20"/>
      <c r="Q134" s="66" t="s">
        <v>259</v>
      </c>
      <c r="R134" s="20"/>
      <c r="S134" s="66" t="s">
        <v>40</v>
      </c>
      <c r="T134" s="20"/>
      <c r="U134" s="54" t="s">
        <v>423</v>
      </c>
      <c r="V134" s="9"/>
      <c r="W134" s="9"/>
      <c r="X134" s="20"/>
    </row>
    <row r="135">
      <c r="B135" s="56">
        <v>4.0</v>
      </c>
      <c r="C135" s="59" t="s">
        <v>424</v>
      </c>
      <c r="D135" s="16"/>
      <c r="E135" s="25" t="s">
        <v>150</v>
      </c>
      <c r="F135" s="16"/>
      <c r="G135" s="25" t="s">
        <v>425</v>
      </c>
      <c r="H135" s="16"/>
      <c r="I135" s="25" t="s">
        <v>302</v>
      </c>
      <c r="J135" s="16"/>
      <c r="K135" s="67" t="str">
        <f>close</f>
        <v>Close: 35 ft</v>
      </c>
      <c r="L135" s="16"/>
      <c r="M135" s="25" t="s">
        <v>426</v>
      </c>
      <c r="N135" s="16"/>
      <c r="O135" s="67" t="str">
        <f>Level*2&amp;" hours (D)
2 hours/level"</f>
        <v>8 hours (D)
2 hours/level</v>
      </c>
      <c r="P135" s="16"/>
      <c r="Q135" s="25" t="s">
        <v>31</v>
      </c>
      <c r="R135" s="16"/>
      <c r="S135" s="25" t="s">
        <v>32</v>
      </c>
      <c r="T135" s="16"/>
      <c r="U135" s="50" t="s">
        <v>427</v>
      </c>
      <c r="V135" s="4"/>
      <c r="W135" s="4"/>
      <c r="X135" s="16"/>
    </row>
    <row r="136">
      <c r="B136" s="55">
        <v>4.0</v>
      </c>
      <c r="C136" s="63" t="s">
        <v>428</v>
      </c>
      <c r="D136" s="20"/>
      <c r="E136" s="31" t="s">
        <v>429</v>
      </c>
      <c r="F136" s="20"/>
      <c r="G136" s="31" t="s">
        <v>27</v>
      </c>
      <c r="H136" s="20"/>
      <c r="I136" s="31" t="s">
        <v>28</v>
      </c>
      <c r="J136" s="20"/>
      <c r="K136" s="31" t="s">
        <v>94</v>
      </c>
      <c r="L136" s="20"/>
      <c r="M136" s="31" t="s">
        <v>94</v>
      </c>
      <c r="N136" s="20"/>
      <c r="O136" s="31" t="s">
        <v>94</v>
      </c>
      <c r="P136" s="20"/>
      <c r="Q136" s="31" t="s">
        <v>430</v>
      </c>
      <c r="R136" s="20"/>
      <c r="S136" s="31" t="s">
        <v>431</v>
      </c>
      <c r="T136" s="20"/>
      <c r="U136" s="54" t="s">
        <v>432</v>
      </c>
      <c r="V136" s="9"/>
      <c r="W136" s="9"/>
      <c r="X136" s="20"/>
    </row>
    <row r="137">
      <c r="B137" s="56">
        <v>4.0</v>
      </c>
      <c r="C137" s="59" t="s">
        <v>433</v>
      </c>
      <c r="D137" s="16"/>
      <c r="E137" s="25" t="s">
        <v>272</v>
      </c>
      <c r="F137" s="16"/>
      <c r="G137" s="25" t="s">
        <v>48</v>
      </c>
      <c r="H137" s="16"/>
      <c r="I137" s="25" t="s">
        <v>28</v>
      </c>
      <c r="J137" s="16"/>
      <c r="K137" s="25" t="s">
        <v>307</v>
      </c>
      <c r="L137" s="16"/>
      <c r="M137" s="25" t="s">
        <v>308</v>
      </c>
      <c r="N137" s="16"/>
      <c r="O137" s="25" t="s">
        <v>50</v>
      </c>
      <c r="P137" s="16"/>
      <c r="Q137" s="25" t="s">
        <v>434</v>
      </c>
      <c r="R137" s="16"/>
      <c r="S137" s="25" t="s">
        <v>90</v>
      </c>
      <c r="T137" s="16"/>
      <c r="U137" s="50" t="s">
        <v>435</v>
      </c>
      <c r="V137" s="4"/>
      <c r="W137" s="4"/>
      <c r="X137" s="16"/>
    </row>
    <row r="138">
      <c r="B138" s="55">
        <v>4.0</v>
      </c>
      <c r="C138" s="68" t="s">
        <v>436</v>
      </c>
      <c r="D138" s="20"/>
      <c r="E138" s="66" t="s">
        <v>43</v>
      </c>
      <c r="F138" s="20"/>
      <c r="G138" s="66" t="s">
        <v>27</v>
      </c>
      <c r="H138" s="20"/>
      <c r="I138" s="66" t="s">
        <v>28</v>
      </c>
      <c r="J138" s="20"/>
      <c r="K138" s="66" t="s">
        <v>59</v>
      </c>
      <c r="L138" s="20"/>
      <c r="M138" s="66" t="s">
        <v>60</v>
      </c>
      <c r="N138" s="20"/>
      <c r="O138" s="66" t="str">
        <f>CONCAT(Level, " minute(s)
1 minute/level")</f>
        <v>4 minute(s)
1 minute/level</v>
      </c>
      <c r="P138" s="20"/>
      <c r="Q138" s="66" t="s">
        <v>61</v>
      </c>
      <c r="R138" s="20"/>
      <c r="S138" s="66" t="s">
        <v>61</v>
      </c>
      <c r="T138" s="20"/>
      <c r="U138" s="69" t="s">
        <v>437</v>
      </c>
      <c r="V138" s="9"/>
      <c r="W138" s="9"/>
      <c r="X138" s="20"/>
    </row>
    <row r="139">
      <c r="B139" s="56">
        <v>4.0</v>
      </c>
      <c r="C139" s="48" t="s">
        <v>438</v>
      </c>
      <c r="D139" s="16"/>
      <c r="E139" s="25" t="s">
        <v>182</v>
      </c>
      <c r="F139" s="16"/>
      <c r="G139" s="25" t="s">
        <v>85</v>
      </c>
      <c r="H139" s="16"/>
      <c r="I139" s="25" t="s">
        <v>38</v>
      </c>
      <c r="J139" s="16"/>
      <c r="K139" s="25" t="str">
        <f>close</f>
        <v>Close: 35 ft</v>
      </c>
      <c r="L139" s="16"/>
      <c r="M139" s="25" t="s">
        <v>183</v>
      </c>
      <c r="N139" s="16"/>
      <c r="O139" s="25" t="str">
        <f>Level&amp;" round(s) (D)
1 round/level"</f>
        <v>4 round(s) (D)
1 round/level</v>
      </c>
      <c r="P139" s="16"/>
      <c r="Q139" s="25" t="s">
        <v>31</v>
      </c>
      <c r="R139" s="16"/>
      <c r="S139" s="25" t="s">
        <v>32</v>
      </c>
      <c r="T139" s="16"/>
      <c r="U139" s="50" t="s">
        <v>184</v>
      </c>
      <c r="V139" s="4"/>
      <c r="W139" s="4"/>
      <c r="X139" s="16"/>
    </row>
    <row r="140">
      <c r="B140" s="55">
        <v>4.0</v>
      </c>
      <c r="C140" s="52" t="s">
        <v>439</v>
      </c>
      <c r="D140" s="20"/>
      <c r="E140" s="31" t="s">
        <v>138</v>
      </c>
      <c r="F140" s="20"/>
      <c r="G140" s="31" t="s">
        <v>27</v>
      </c>
      <c r="H140" s="20"/>
      <c r="I140" s="31" t="s">
        <v>38</v>
      </c>
      <c r="J140" s="20"/>
      <c r="K140" s="31" t="s">
        <v>59</v>
      </c>
      <c r="L140" s="20"/>
      <c r="M140" s="31" t="s">
        <v>440</v>
      </c>
      <c r="N140" s="20"/>
      <c r="O140" s="31" t="str">
        <f>Level&amp;" hour(s) (D)
1 hour/level"</f>
        <v>4 hour(s) (D)
1 hour/level</v>
      </c>
      <c r="P140" s="20"/>
      <c r="Q140" s="31" t="s">
        <v>61</v>
      </c>
      <c r="R140" s="20"/>
      <c r="S140" s="31" t="s">
        <v>61</v>
      </c>
      <c r="T140" s="20"/>
      <c r="U140" s="54" t="s">
        <v>441</v>
      </c>
      <c r="V140" s="9"/>
      <c r="W140" s="9"/>
      <c r="X140" s="20"/>
    </row>
    <row r="141">
      <c r="B141" s="56">
        <v>5.0</v>
      </c>
      <c r="C141" s="70" t="s">
        <v>442</v>
      </c>
      <c r="D141" s="16"/>
      <c r="E141" s="25" t="s">
        <v>131</v>
      </c>
      <c r="F141" s="16"/>
      <c r="G141" s="67" t="s">
        <v>27</v>
      </c>
      <c r="H141" s="16"/>
      <c r="I141" s="67" t="s">
        <v>28</v>
      </c>
      <c r="J141" s="16"/>
      <c r="K141" s="67" t="str">
        <f>CONCAT("Close: ", CONCAT(25+(5*FLOOR(Level/2,1)), " ft"))</f>
        <v>Close: 35 ft</v>
      </c>
      <c r="L141" s="16"/>
      <c r="M141" s="67" t="str">
        <f>CONCAT(Level," creature(s), 1 creature/level, no 2 of which can be more than 30 ft apart")</f>
        <v>4 creature(s), 1 creature/level, no 2 of which can be more than 30 ft apart</v>
      </c>
      <c r="N141" s="16"/>
      <c r="O141" s="67" t="s">
        <v>50</v>
      </c>
      <c r="P141" s="16"/>
      <c r="Q141" s="67" t="s">
        <v>443</v>
      </c>
      <c r="R141" s="16"/>
      <c r="S141" s="67" t="s">
        <v>444</v>
      </c>
      <c r="T141" s="16"/>
      <c r="U141" s="72" t="str">
        <f>CONCAT("Cures 1d8+",CONCAT(MIN(Level,25)," damage for many creatures, +1/level, max +25"))</f>
        <v>Cures 1d8+4 damage for many creatures, +1/level, max +25</v>
      </c>
      <c r="V141" s="4"/>
      <c r="W141" s="4"/>
      <c r="X141" s="16"/>
    </row>
    <row r="142">
      <c r="B142" s="55">
        <v>5.0</v>
      </c>
      <c r="C142" s="68" t="s">
        <v>445</v>
      </c>
      <c r="D142" s="20"/>
      <c r="E142" s="66" t="s">
        <v>100</v>
      </c>
      <c r="F142" s="20"/>
      <c r="G142" s="66" t="s">
        <v>27</v>
      </c>
      <c r="H142" s="20"/>
      <c r="I142" s="66" t="s">
        <v>28</v>
      </c>
      <c r="J142" s="20"/>
      <c r="K142" s="66" t="str">
        <f>CONCAT("Medium: ", CONCAT(100+(10*Level), " ft"))</f>
        <v>Medium: 140 ft</v>
      </c>
      <c r="L142" s="20"/>
      <c r="M142" s="31" t="s">
        <v>317</v>
      </c>
      <c r="N142" s="20"/>
      <c r="O142" s="66" t="s">
        <v>50</v>
      </c>
      <c r="P142" s="20"/>
      <c r="Q142" s="66" t="s">
        <v>31</v>
      </c>
      <c r="R142" s="20"/>
      <c r="S142" s="66" t="s">
        <v>32</v>
      </c>
      <c r="T142" s="20"/>
      <c r="U142" s="73" t="s">
        <v>446</v>
      </c>
      <c r="V142" s="9"/>
      <c r="W142" s="9"/>
      <c r="X142" s="20"/>
    </row>
    <row r="143">
      <c r="B143" s="56">
        <v>5.0</v>
      </c>
      <c r="C143" s="59" t="s">
        <v>447</v>
      </c>
      <c r="D143" s="16"/>
      <c r="E143" s="25" t="s">
        <v>337</v>
      </c>
      <c r="F143" s="16"/>
      <c r="G143" s="67" t="s">
        <v>27</v>
      </c>
      <c r="H143" s="16"/>
      <c r="I143" s="25" t="s">
        <v>102</v>
      </c>
      <c r="J143" s="16"/>
      <c r="K143" s="25" t="s">
        <v>448</v>
      </c>
      <c r="L143" s="16"/>
      <c r="M143" s="25" t="s">
        <v>449</v>
      </c>
      <c r="N143" s="16"/>
      <c r="O143" s="25" t="s">
        <v>94</v>
      </c>
      <c r="P143" s="16"/>
      <c r="Q143" s="67" t="s">
        <v>31</v>
      </c>
      <c r="R143" s="16"/>
      <c r="S143" s="25" t="s">
        <v>40</v>
      </c>
      <c r="T143" s="16"/>
      <c r="U143" s="74" t="s">
        <v>450</v>
      </c>
      <c r="V143" s="4"/>
      <c r="W143" s="4"/>
      <c r="X143" s="16"/>
    </row>
    <row r="144">
      <c r="B144" s="55">
        <v>5.0</v>
      </c>
      <c r="C144" s="63" t="s">
        <v>451</v>
      </c>
      <c r="D144" s="20"/>
      <c r="E144" s="31" t="s">
        <v>138</v>
      </c>
      <c r="F144" s="20"/>
      <c r="G144" s="31" t="s">
        <v>452</v>
      </c>
      <c r="H144" s="20"/>
      <c r="I144" s="31" t="s">
        <v>28</v>
      </c>
      <c r="J144" s="20"/>
      <c r="K144" s="31" t="s">
        <v>65</v>
      </c>
      <c r="L144" s="20"/>
      <c r="M144" s="31" t="s">
        <v>453</v>
      </c>
      <c r="N144" s="20"/>
      <c r="O144" s="31" t="str">
        <f>Level&amp;" hour(s) (D)
1 hour/level"</f>
        <v>4 hour(s) (D)
1 hour/level</v>
      </c>
      <c r="P144" s="20"/>
      <c r="Q144" s="66" t="s">
        <v>31</v>
      </c>
      <c r="R144" s="20"/>
      <c r="S144" s="31" t="s">
        <v>32</v>
      </c>
      <c r="T144" s="20"/>
      <c r="U144" s="65" t="s">
        <v>454</v>
      </c>
      <c r="V144" s="9"/>
      <c r="W144" s="9"/>
      <c r="X144" s="20"/>
    </row>
    <row r="145">
      <c r="B145" s="56">
        <v>5.0</v>
      </c>
      <c r="C145" s="59" t="s">
        <v>455</v>
      </c>
      <c r="D145" s="16"/>
      <c r="E145" s="25" t="s">
        <v>35</v>
      </c>
      <c r="F145" s="16"/>
      <c r="G145" s="25" t="s">
        <v>27</v>
      </c>
      <c r="H145" s="16"/>
      <c r="I145" s="25" t="s">
        <v>28</v>
      </c>
      <c r="J145" s="16"/>
      <c r="K145" s="25" t="s">
        <v>65</v>
      </c>
      <c r="L145" s="16"/>
      <c r="M145" s="25" t="s">
        <v>132</v>
      </c>
      <c r="N145" s="16"/>
      <c r="O145" s="25" t="str">
        <f>Level&amp;" minute(s)
1 minute/level"</f>
        <v>4 minute(s)
1 minute/level</v>
      </c>
      <c r="P145" s="16"/>
      <c r="Q145" s="25" t="s">
        <v>103</v>
      </c>
      <c r="R145" s="16"/>
      <c r="S145" s="25" t="s">
        <v>104</v>
      </c>
      <c r="T145" s="16"/>
      <c r="U145" s="74" t="s">
        <v>456</v>
      </c>
      <c r="V145" s="4"/>
      <c r="W145" s="4"/>
      <c r="X145" s="16"/>
    </row>
    <row r="146">
      <c r="B146" s="55">
        <v>5.0</v>
      </c>
      <c r="C146" s="63" t="s">
        <v>457</v>
      </c>
      <c r="D146" s="20"/>
      <c r="E146" s="31" t="s">
        <v>35</v>
      </c>
      <c r="F146" s="20"/>
      <c r="G146" s="31" t="s">
        <v>27</v>
      </c>
      <c r="H146" s="20"/>
      <c r="I146" s="31" t="s">
        <v>28</v>
      </c>
      <c r="J146" s="20"/>
      <c r="K146" s="31" t="str">
        <f>medium</f>
        <v>Medium: 140 ft</v>
      </c>
      <c r="L146" s="20"/>
      <c r="M146" s="31" t="s">
        <v>458</v>
      </c>
      <c r="N146" s="20"/>
      <c r="O146" s="31" t="s">
        <v>459</v>
      </c>
      <c r="P146" s="20"/>
      <c r="Q146" s="31" t="s">
        <v>39</v>
      </c>
      <c r="R146" s="20"/>
      <c r="S146" s="31" t="s">
        <v>40</v>
      </c>
      <c r="T146" s="20"/>
      <c r="U146" s="65" t="s">
        <v>460</v>
      </c>
      <c r="V146" s="9"/>
      <c r="W146" s="9"/>
      <c r="X146" s="20"/>
    </row>
    <row r="147">
      <c r="B147" s="56">
        <v>5.0</v>
      </c>
      <c r="C147" s="70" t="s">
        <v>461</v>
      </c>
      <c r="D147" s="16"/>
      <c r="E147" s="25" t="s">
        <v>138</v>
      </c>
      <c r="F147" s="16"/>
      <c r="G147" s="67" t="s">
        <v>27</v>
      </c>
      <c r="H147" s="16"/>
      <c r="I147" s="67" t="s">
        <v>28</v>
      </c>
      <c r="J147" s="16"/>
      <c r="K147" s="67" t="str">
        <f>long</f>
        <v>Long: 560 ft</v>
      </c>
      <c r="L147" s="16"/>
      <c r="M147" s="67" t="str">
        <f>Level&amp;" twenty ft cube(s), 1 cube/level"</f>
        <v>4 twenty ft cube(s), 1 cube/level</v>
      </c>
      <c r="N147" s="16"/>
      <c r="O147" s="67" t="str">
        <f>"Concentration + "&amp;Level&amp;" hour(s) (D)
+1 hour/level"</f>
        <v>Concentration + 4 hour(s) (D)
+1 hour/level</v>
      </c>
      <c r="P147" s="16"/>
      <c r="Q147" s="67" t="s">
        <v>56</v>
      </c>
      <c r="R147" s="16"/>
      <c r="S147" s="67" t="s">
        <v>32</v>
      </c>
      <c r="T147" s="16"/>
      <c r="U147" s="71" t="s">
        <v>462</v>
      </c>
      <c r="V147" s="4"/>
      <c r="W147" s="4"/>
      <c r="X147" s="16"/>
    </row>
    <row r="148">
      <c r="B148" s="55">
        <v>5.0</v>
      </c>
      <c r="C148" s="63" t="s">
        <v>463</v>
      </c>
      <c r="D148" s="20"/>
      <c r="E148" s="31" t="s">
        <v>464</v>
      </c>
      <c r="F148" s="20"/>
      <c r="G148" s="31" t="s">
        <v>331</v>
      </c>
      <c r="H148" s="20"/>
      <c r="I148" s="31" t="s">
        <v>28</v>
      </c>
      <c r="J148" s="20"/>
      <c r="K148" s="31" t="str">
        <f>close</f>
        <v>Close: 35 ft</v>
      </c>
      <c r="L148" s="20"/>
      <c r="M148" s="31" t="s">
        <v>465</v>
      </c>
      <c r="N148" s="20"/>
      <c r="O148" s="31" t="str">
        <f>Level&amp;" round(s) (D)
1 round/level
and concentration + 3 rounds, see text"</f>
        <v>4 round(s) (D)
1 round/level
and concentration + 3 rounds, see text</v>
      </c>
      <c r="P148" s="20"/>
      <c r="Q148" s="31" t="s">
        <v>466</v>
      </c>
      <c r="R148" s="20"/>
      <c r="S148" s="31" t="s">
        <v>32</v>
      </c>
      <c r="T148" s="20"/>
      <c r="U148" s="65" t="s">
        <v>467</v>
      </c>
      <c r="V148" s="9"/>
      <c r="W148" s="9"/>
      <c r="X148" s="20"/>
    </row>
    <row r="149">
      <c r="B149" s="56">
        <v>5.0</v>
      </c>
      <c r="C149" s="59" t="s">
        <v>468</v>
      </c>
      <c r="D149" s="16"/>
      <c r="E149" s="25" t="s">
        <v>469</v>
      </c>
      <c r="F149" s="16"/>
      <c r="G149" s="25" t="s">
        <v>27</v>
      </c>
      <c r="H149" s="16"/>
      <c r="I149" s="25" t="s">
        <v>302</v>
      </c>
      <c r="J149" s="16"/>
      <c r="K149" s="25" t="s">
        <v>448</v>
      </c>
      <c r="L149" s="16"/>
      <c r="M149" s="25" t="s">
        <v>128</v>
      </c>
      <c r="N149" s="16"/>
      <c r="O149" s="25" t="s">
        <v>50</v>
      </c>
      <c r="P149" s="16"/>
      <c r="Q149" s="25" t="s">
        <v>202</v>
      </c>
      <c r="R149" s="16"/>
      <c r="S149" s="25" t="s">
        <v>40</v>
      </c>
      <c r="T149" s="16"/>
      <c r="U149" s="74" t="s">
        <v>470</v>
      </c>
      <c r="V149" s="4"/>
      <c r="W149" s="4"/>
      <c r="X149" s="16"/>
    </row>
    <row r="150">
      <c r="B150" s="55">
        <v>5.0</v>
      </c>
      <c r="C150" s="63" t="s">
        <v>471</v>
      </c>
      <c r="D150" s="20"/>
      <c r="E150" s="31" t="s">
        <v>54</v>
      </c>
      <c r="F150" s="20"/>
      <c r="G150" s="31" t="s">
        <v>418</v>
      </c>
      <c r="H150" s="20"/>
      <c r="I150" s="31" t="s">
        <v>28</v>
      </c>
      <c r="J150" s="20"/>
      <c r="K150" s="31" t="str">
        <f>long</f>
        <v>Long: 560 ft</v>
      </c>
      <c r="L150" s="20"/>
      <c r="M150" s="31" t="str">
        <f>"Visual figment that cannot extend beyond "&amp;4+Level&amp;" ten ft cubes, 4 ten ft cubes + 1 ten ft cube/level"</f>
        <v>Visual figment that cannot extend beyond 8 ten ft cubes, 4 ten ft cubes + 1 ten ft cube/level</v>
      </c>
      <c r="N150" s="20"/>
      <c r="O150" s="31" t="str">
        <f>Level&amp;" minute(s) (D)
1 minute/level"</f>
        <v>4 minute(s) (D)
1 minute/level</v>
      </c>
      <c r="P150" s="20"/>
      <c r="Q150" s="31" t="s">
        <v>56</v>
      </c>
      <c r="R150" s="20"/>
      <c r="S150" s="31" t="s">
        <v>32</v>
      </c>
      <c r="T150" s="20"/>
      <c r="U150" s="65" t="s">
        <v>472</v>
      </c>
      <c r="V150" s="9"/>
      <c r="W150" s="9"/>
      <c r="X150" s="20"/>
    </row>
    <row r="151">
      <c r="B151" s="56">
        <v>5.0</v>
      </c>
      <c r="C151" s="59" t="s">
        <v>473</v>
      </c>
      <c r="D151" s="16"/>
      <c r="E151" s="25" t="s">
        <v>138</v>
      </c>
      <c r="F151" s="16"/>
      <c r="G151" s="25" t="s">
        <v>27</v>
      </c>
      <c r="H151" s="16"/>
      <c r="I151" s="25" t="s">
        <v>28</v>
      </c>
      <c r="J151" s="16"/>
      <c r="K151" s="25" t="str">
        <f>close</f>
        <v>Close: 35 ft</v>
      </c>
      <c r="L151" s="16"/>
      <c r="M151" s="25" t="str">
        <f>MAX(FLOOR(Level/2,1),1)&amp;" creature(s), 1 creature per 2 levels, no 2 of which can be more than 30 ft apart"</f>
        <v>2 creature(s), 1 creature per 2 levels, no 2 of which can be more than 30 ft apart</v>
      </c>
      <c r="N151" s="16"/>
      <c r="O151" s="25" t="s">
        <v>474</v>
      </c>
      <c r="P151" s="16"/>
      <c r="Q151" s="25" t="s">
        <v>475</v>
      </c>
      <c r="R151" s="16"/>
      <c r="S151" s="25" t="s">
        <v>265</v>
      </c>
      <c r="T151" s="16"/>
      <c r="U151" s="74" t="str">
        <f>"Changes appearance of "&amp;MAX(FLOOR(Level/2,1),1)&amp;" person/people, 1 person per 2 levels"</f>
        <v>Changes appearance of 2 person/people, 1 person per 2 levels</v>
      </c>
      <c r="V151" s="4"/>
      <c r="W151" s="4"/>
      <c r="X151" s="16"/>
    </row>
    <row r="152">
      <c r="B152" s="55">
        <v>5.0</v>
      </c>
      <c r="C152" s="63" t="s">
        <v>476</v>
      </c>
      <c r="D152" s="20"/>
      <c r="E152" s="31" t="s">
        <v>429</v>
      </c>
      <c r="F152" s="20"/>
      <c r="G152" s="31" t="s">
        <v>27</v>
      </c>
      <c r="H152" s="20"/>
      <c r="I152" s="31" t="s">
        <v>28</v>
      </c>
      <c r="J152" s="20"/>
      <c r="K152" s="31" t="s">
        <v>94</v>
      </c>
      <c r="L152" s="20"/>
      <c r="M152" s="31" t="s">
        <v>94</v>
      </c>
      <c r="N152" s="20"/>
      <c r="O152" s="31" t="s">
        <v>94</v>
      </c>
      <c r="P152" s="20"/>
      <c r="Q152" s="31" t="s">
        <v>56</v>
      </c>
      <c r="R152" s="20"/>
      <c r="S152" s="31" t="s">
        <v>40</v>
      </c>
      <c r="T152" s="20"/>
      <c r="U152" s="65" t="s">
        <v>477</v>
      </c>
      <c r="V152" s="9"/>
      <c r="W152" s="9"/>
      <c r="X152" s="20"/>
    </row>
    <row r="153">
      <c r="B153" s="56">
        <v>5.0</v>
      </c>
      <c r="C153" s="70" t="s">
        <v>478</v>
      </c>
      <c r="D153" s="16"/>
      <c r="E153" s="25" t="s">
        <v>429</v>
      </c>
      <c r="F153" s="16"/>
      <c r="G153" s="67" t="s">
        <v>27</v>
      </c>
      <c r="H153" s="16"/>
      <c r="I153" s="67" t="s">
        <v>28</v>
      </c>
      <c r="J153" s="16"/>
      <c r="K153" s="67" t="s">
        <v>65</v>
      </c>
      <c r="L153" s="16"/>
      <c r="M153" s="67" t="str">
        <f>"Up to "&amp;Level&amp;" touched creature(s), 1 creature/level"</f>
        <v>Up to 4 touched creature(s), 1 creature/level</v>
      </c>
      <c r="N153" s="16"/>
      <c r="O153" s="67" t="str">
        <f>Level&amp;" hour(s) (D)
1 hour/level"</f>
        <v>4 hour(s) (D)
1 hour/level</v>
      </c>
      <c r="P153" s="16"/>
      <c r="Q153" s="67" t="s">
        <v>39</v>
      </c>
      <c r="R153" s="16"/>
      <c r="S153" s="67" t="s">
        <v>40</v>
      </c>
      <c r="T153" s="16"/>
      <c r="U153" s="71" t="s">
        <v>479</v>
      </c>
      <c r="V153" s="4"/>
      <c r="W153" s="4"/>
      <c r="X153" s="16"/>
    </row>
    <row r="154">
      <c r="B154" s="55">
        <v>5.0</v>
      </c>
      <c r="C154" s="63" t="s">
        <v>480</v>
      </c>
      <c r="D154" s="20"/>
      <c r="E154" s="31" t="s">
        <v>481</v>
      </c>
      <c r="F154" s="20"/>
      <c r="G154" s="66" t="s">
        <v>27</v>
      </c>
      <c r="H154" s="20"/>
      <c r="I154" s="66" t="s">
        <v>28</v>
      </c>
      <c r="J154" s="20"/>
      <c r="K154" s="66" t="str">
        <f>medium</f>
        <v>Medium: 140 ft</v>
      </c>
      <c r="L154" s="20"/>
      <c r="M154" s="31" t="s">
        <v>482</v>
      </c>
      <c r="N154" s="20"/>
      <c r="O154" s="66" t="str">
        <f>Level&amp;" round(s)
1 round/level"</f>
        <v>4 round(s)
1 round/level</v>
      </c>
      <c r="P154" s="20"/>
      <c r="Q154" s="66" t="s">
        <v>39</v>
      </c>
      <c r="R154" s="20"/>
      <c r="S154" s="66" t="s">
        <v>40</v>
      </c>
      <c r="T154" s="20"/>
      <c r="U154" s="54" t="s">
        <v>483</v>
      </c>
      <c r="V154" s="9"/>
      <c r="W154" s="9"/>
      <c r="X154" s="20"/>
    </row>
    <row r="155">
      <c r="B155" s="56">
        <v>5.0</v>
      </c>
      <c r="C155" s="59" t="s">
        <v>484</v>
      </c>
      <c r="D155" s="16"/>
      <c r="E155" s="25" t="s">
        <v>286</v>
      </c>
      <c r="F155" s="16"/>
      <c r="G155" s="25" t="s">
        <v>64</v>
      </c>
      <c r="H155" s="16"/>
      <c r="I155" s="25" t="s">
        <v>28</v>
      </c>
      <c r="J155" s="16"/>
      <c r="K155" s="67" t="str">
        <f>medium</f>
        <v>Medium: 140 ft</v>
      </c>
      <c r="L155" s="16"/>
      <c r="M155" s="25" t="str">
        <f>CONCAT(Level," creature(s), 1 creature/level, no 2 of which can be more than 30 ft apart")</f>
        <v>4 creature(s), 1 creature/level, no 2 of which can be more than 30 ft apart</v>
      </c>
      <c r="N155" s="16"/>
      <c r="O155" s="25" t="str">
        <f>Level&amp;" hour(s) or until completed
1 hour/level"</f>
        <v>4 hour(s) or until completed
1 hour/level</v>
      </c>
      <c r="P155" s="16"/>
      <c r="Q155" s="25" t="s">
        <v>39</v>
      </c>
      <c r="R155" s="16"/>
      <c r="S155" s="25" t="s">
        <v>40</v>
      </c>
      <c r="T155" s="16"/>
      <c r="U155" s="50" t="str">
        <f>"As suggestion, plus "&amp;Level&amp;" subject(s), 1 subject/level"</f>
        <v>As suggestion, plus 4 subject(s), 1 subject/level</v>
      </c>
      <c r="V155" s="4"/>
      <c r="W155" s="4"/>
      <c r="X155" s="16"/>
    </row>
    <row r="156">
      <c r="B156" s="55">
        <v>5.0</v>
      </c>
      <c r="C156" s="52" t="s">
        <v>485</v>
      </c>
      <c r="D156" s="20"/>
      <c r="E156" s="31" t="s">
        <v>182</v>
      </c>
      <c r="F156" s="20"/>
      <c r="G156" s="31" t="s">
        <v>85</v>
      </c>
      <c r="H156" s="20"/>
      <c r="I156" s="31" t="s">
        <v>38</v>
      </c>
      <c r="J156" s="20"/>
      <c r="K156" s="31" t="str">
        <f>close</f>
        <v>Close: 35 ft</v>
      </c>
      <c r="L156" s="20"/>
      <c r="M156" s="31" t="s">
        <v>183</v>
      </c>
      <c r="N156" s="20"/>
      <c r="O156" s="31" t="str">
        <f>Level&amp;" round(s) (D)
1 round/level"</f>
        <v>4 round(s) (D)
1 round/level</v>
      </c>
      <c r="P156" s="20"/>
      <c r="Q156" s="31" t="s">
        <v>31</v>
      </c>
      <c r="R156" s="20"/>
      <c r="S156" s="31" t="s">
        <v>32</v>
      </c>
      <c r="T156" s="20"/>
      <c r="U156" s="54" t="s">
        <v>184</v>
      </c>
      <c r="V156" s="9"/>
      <c r="W156" s="9"/>
      <c r="X156" s="20"/>
    </row>
    <row r="157">
      <c r="B157" s="56">
        <v>6.0</v>
      </c>
      <c r="C157" s="59" t="s">
        <v>486</v>
      </c>
      <c r="D157" s="16"/>
      <c r="E157" s="25" t="s">
        <v>43</v>
      </c>
      <c r="F157" s="16"/>
      <c r="G157" s="25" t="s">
        <v>487</v>
      </c>
      <c r="H157" s="16"/>
      <c r="I157" s="67" t="s">
        <v>28</v>
      </c>
      <c r="J157" s="16"/>
      <c r="K157" s="67" t="str">
        <f>CONCAT("Close: ", CONCAT(25+(5*FLOOR(Level/2,1)), " ft"))</f>
        <v>Close: 35 ft</v>
      </c>
      <c r="L157" s="16"/>
      <c r="M157" s="67" t="str">
        <f>CONCAT(Level," creature(s) or object(s), 1 creature or object/level")</f>
        <v>4 creature(s) or object(s), 1 creature or object/level</v>
      </c>
      <c r="N157" s="16"/>
      <c r="O157" s="67" t="str">
        <f>CONCAT(Level, " round(s) (D)
1 round/level")</f>
        <v>4 round(s) (D)
1 round/level</v>
      </c>
      <c r="P157" s="16"/>
      <c r="Q157" s="25" t="s">
        <v>259</v>
      </c>
      <c r="R157" s="16"/>
      <c r="S157" s="25" t="s">
        <v>32</v>
      </c>
      <c r="T157" s="16"/>
      <c r="U157" s="50" t="s">
        <v>488</v>
      </c>
      <c r="V157" s="4"/>
      <c r="W157" s="4"/>
      <c r="X157" s="16"/>
    </row>
    <row r="158">
      <c r="B158" s="55">
        <v>6.0</v>
      </c>
      <c r="C158" s="63" t="s">
        <v>489</v>
      </c>
      <c r="D158" s="20"/>
      <c r="E158" s="31" t="s">
        <v>73</v>
      </c>
      <c r="F158" s="20"/>
      <c r="G158" s="31" t="s">
        <v>27</v>
      </c>
      <c r="H158" s="20"/>
      <c r="I158" s="31" t="s">
        <v>28</v>
      </c>
      <c r="J158" s="20"/>
      <c r="K158" s="66" t="str">
        <f>medium</f>
        <v>Medium: 140 ft</v>
      </c>
      <c r="L158" s="20"/>
      <c r="M158" s="66" t="str">
        <f>CONCAT(Level," small object(s), 1 object/level, see text")</f>
        <v>4 small object(s), 1 object/level, see text</v>
      </c>
      <c r="N158" s="20"/>
      <c r="O158" s="66" t="str">
        <f>CONCAT(Level, " round(s)
1 round/level")</f>
        <v>4 round(s)
1 round/level</v>
      </c>
      <c r="P158" s="20"/>
      <c r="Q158" s="31" t="s">
        <v>31</v>
      </c>
      <c r="R158" s="20"/>
      <c r="S158" s="31" t="s">
        <v>32</v>
      </c>
      <c r="T158" s="20"/>
      <c r="U158" s="54" t="s">
        <v>490</v>
      </c>
      <c r="V158" s="9"/>
      <c r="W158" s="9"/>
      <c r="X158" s="20"/>
    </row>
    <row r="159">
      <c r="B159" s="56">
        <v>6.0</v>
      </c>
      <c r="C159" s="70" t="s">
        <v>491</v>
      </c>
      <c r="D159" s="16"/>
      <c r="E159" s="67" t="s">
        <v>73</v>
      </c>
      <c r="F159" s="16"/>
      <c r="G159" s="67" t="s">
        <v>36</v>
      </c>
      <c r="H159" s="16"/>
      <c r="I159" s="67" t="s">
        <v>28</v>
      </c>
      <c r="J159" s="16"/>
      <c r="K159" s="67" t="str">
        <f>CONCAT("Close: ", CONCAT(25+(5*FLOOR(Level/2,1)), " ft"))</f>
        <v>Close: 35 ft</v>
      </c>
      <c r="L159" s="16"/>
      <c r="M159" s="67" t="str">
        <f>CONCAT(Level," creature(s), 1 creature/level, no 2 of which can be more than 30 ft apart")</f>
        <v>4 creature(s), 1 creature/level, no 2 of which can be more than 30 ft apart</v>
      </c>
      <c r="N159" s="16"/>
      <c r="O159" s="67" t="str">
        <f>CONCAT(Level, " minute(s)
1 minute/level")</f>
        <v>4 minute(s)
1 minute/level</v>
      </c>
      <c r="P159" s="16"/>
      <c r="Q159" s="67" t="s">
        <v>103</v>
      </c>
      <c r="R159" s="16"/>
      <c r="S159" s="67" t="s">
        <v>214</v>
      </c>
      <c r="T159" s="16"/>
      <c r="U159" s="71" t="str">
        <f>CONCAT("As Cat's Grace, affects ",CONCAT(Level, " subject(s), 1 subject/level."))</f>
        <v>As Cat's Grace, affects 4 subject(s), 1 subject/level.</v>
      </c>
      <c r="V159" s="4"/>
      <c r="W159" s="4"/>
      <c r="X159" s="16"/>
    </row>
    <row r="160">
      <c r="B160" s="55">
        <v>6.0</v>
      </c>
      <c r="C160" s="63" t="s">
        <v>492</v>
      </c>
      <c r="D160" s="20"/>
      <c r="E160" s="31" t="s">
        <v>122</v>
      </c>
      <c r="F160" s="20"/>
      <c r="G160" s="31" t="s">
        <v>48</v>
      </c>
      <c r="H160" s="20"/>
      <c r="I160" s="66" t="s">
        <v>28</v>
      </c>
      <c r="J160" s="20"/>
      <c r="K160" s="31" t="str">
        <f>close</f>
        <v>Close: 35 ft</v>
      </c>
      <c r="L160" s="20"/>
      <c r="M160" s="31" t="s">
        <v>493</v>
      </c>
      <c r="N160" s="20"/>
      <c r="O160" s="66" t="str">
        <f>Level&amp;" day(s)
1 day/level"</f>
        <v>4 day(s)
1 day/level</v>
      </c>
      <c r="P160" s="20"/>
      <c r="Q160" s="31" t="s">
        <v>39</v>
      </c>
      <c r="R160" s="20"/>
      <c r="S160" s="31" t="s">
        <v>40</v>
      </c>
      <c r="T160" s="20"/>
      <c r="U160" s="54" t="s">
        <v>299</v>
      </c>
      <c r="V160" s="9"/>
      <c r="W160" s="9"/>
      <c r="X160" s="20"/>
    </row>
    <row r="161">
      <c r="B161" s="56">
        <v>6.0</v>
      </c>
      <c r="C161" s="70" t="s">
        <v>494</v>
      </c>
      <c r="D161" s="16"/>
      <c r="E161" s="25" t="s">
        <v>131</v>
      </c>
      <c r="F161" s="16"/>
      <c r="G161" s="67" t="s">
        <v>27</v>
      </c>
      <c r="H161" s="16"/>
      <c r="I161" s="67" t="s">
        <v>28</v>
      </c>
      <c r="J161" s="16"/>
      <c r="K161" s="67" t="str">
        <f>CONCAT("Close: ", CONCAT(25+(5*FLOOR(Level/2,1)), " ft"))</f>
        <v>Close: 35 ft</v>
      </c>
      <c r="L161" s="16"/>
      <c r="M161" s="67" t="str">
        <f>CONCAT(Level," creature(s), 1 creature/level, no 2 of which can be more than 30 ft apart")</f>
        <v>4 creature(s), 1 creature/level, no 2 of which can be more than 30 ft apart</v>
      </c>
      <c r="N161" s="16"/>
      <c r="O161" s="67" t="s">
        <v>50</v>
      </c>
      <c r="P161" s="16"/>
      <c r="Q161" s="67" t="s">
        <v>443</v>
      </c>
      <c r="R161" s="16"/>
      <c r="S161" s="67" t="s">
        <v>444</v>
      </c>
      <c r="T161" s="16"/>
      <c r="U161" s="71" t="str">
        <f>CONCAT("Cures 2d8+",CONCAT(MIN(Level,30)," damage for many creatures, +1/level, max +30"))</f>
        <v>Cures 2d8+4 damage for many creatures, +1/level, max +30</v>
      </c>
      <c r="V161" s="4"/>
      <c r="W161" s="4"/>
      <c r="X161" s="16"/>
    </row>
    <row r="162">
      <c r="B162" s="55">
        <v>6.0</v>
      </c>
      <c r="C162" s="63" t="s">
        <v>495</v>
      </c>
      <c r="D162" s="20"/>
      <c r="E162" s="66" t="s">
        <v>73</v>
      </c>
      <c r="F162" s="20"/>
      <c r="G162" s="66" t="s">
        <v>36</v>
      </c>
      <c r="H162" s="20"/>
      <c r="I162" s="66" t="s">
        <v>28</v>
      </c>
      <c r="J162" s="20"/>
      <c r="K162" s="66" t="str">
        <f>CONCAT("Close: ", CONCAT(25+(5*FLOOR(Level/2,1)), " ft"))</f>
        <v>Close: 35 ft</v>
      </c>
      <c r="L162" s="20"/>
      <c r="M162" s="66" t="str">
        <f>CONCAT(Level," creature(s), 1 creature/level, no 2 of which can be more than 30 ft apart")</f>
        <v>4 creature(s), 1 creature/level, no 2 of which can be more than 30 ft apart</v>
      </c>
      <c r="N162" s="20"/>
      <c r="O162" s="66" t="str">
        <f>CONCAT(Level, " minute(s)
1 minute/level")</f>
        <v>4 minute(s)
1 minute/level</v>
      </c>
      <c r="P162" s="20"/>
      <c r="Q162" s="66" t="s">
        <v>103</v>
      </c>
      <c r="R162" s="20"/>
      <c r="S162" s="66" t="s">
        <v>214</v>
      </c>
      <c r="T162" s="20"/>
      <c r="U162" s="69" t="str">
        <f>CONCAT("As Eagle's Splendor, affects ",CONCAT(Level, " subject(s), 1 subject/level."))</f>
        <v>As Eagle's Splendor, affects 4 subject(s), 1 subject/level.</v>
      </c>
      <c r="V162" s="9"/>
      <c r="W162" s="9"/>
      <c r="X162" s="20"/>
    </row>
    <row r="163">
      <c r="B163" s="56">
        <v>6.0</v>
      </c>
      <c r="C163" s="59" t="s">
        <v>496</v>
      </c>
      <c r="D163" s="16"/>
      <c r="E163" s="25" t="s">
        <v>497</v>
      </c>
      <c r="F163" s="16"/>
      <c r="G163" s="25" t="s">
        <v>27</v>
      </c>
      <c r="H163" s="16"/>
      <c r="I163" s="67" t="s">
        <v>28</v>
      </c>
      <c r="J163" s="16"/>
      <c r="K163" s="67" t="str">
        <f>CONCAT("Close: ", CONCAT(25+(5*FLOOR(Level/2,1)), " ft"))</f>
        <v>Close: 35 ft</v>
      </c>
      <c r="L163" s="16"/>
      <c r="M163" s="25" t="s">
        <v>128</v>
      </c>
      <c r="N163" s="16"/>
      <c r="O163" s="67" t="str">
        <f>CONCAT(MAX(FLOOR(Level/3,1),1), " round(s)
1 round per 3 levels, see text")</f>
        <v>1 round(s)
1 round per 3 levels, see text</v>
      </c>
      <c r="P163" s="16"/>
      <c r="Q163" s="25" t="s">
        <v>51</v>
      </c>
      <c r="R163" s="16"/>
      <c r="S163" s="67" t="s">
        <v>214</v>
      </c>
      <c r="T163" s="16"/>
      <c r="U163" s="50" t="s">
        <v>498</v>
      </c>
      <c r="V163" s="4"/>
      <c r="W163" s="4"/>
      <c r="X163" s="16"/>
    </row>
    <row r="164">
      <c r="B164" s="55">
        <v>6.0</v>
      </c>
      <c r="C164" s="68" t="s">
        <v>499</v>
      </c>
      <c r="D164" s="20"/>
      <c r="E164" s="66" t="s">
        <v>43</v>
      </c>
      <c r="F164" s="20"/>
      <c r="G164" s="66" t="s">
        <v>85</v>
      </c>
      <c r="H164" s="20"/>
      <c r="I164" s="66" t="s">
        <v>500</v>
      </c>
      <c r="J164" s="20"/>
      <c r="K164" s="66" t="s">
        <v>501</v>
      </c>
      <c r="L164" s="20"/>
      <c r="M164" s="66" t="s">
        <v>396</v>
      </c>
      <c r="N164" s="20"/>
      <c r="O164" s="66" t="str">
        <f>CONCAT(Level, " minute(s)
1 minute/level")</f>
        <v>4 minute(s)
1 minute/level</v>
      </c>
      <c r="P164" s="20"/>
      <c r="Q164" s="66" t="s">
        <v>502</v>
      </c>
      <c r="R164" s="20"/>
      <c r="S164" s="66" t="s">
        <v>503</v>
      </c>
      <c r="T164" s="20"/>
      <c r="U164" s="69" t="s">
        <v>504</v>
      </c>
      <c r="V164" s="9"/>
      <c r="W164" s="9"/>
      <c r="X164" s="20"/>
    </row>
    <row r="165">
      <c r="B165" s="56">
        <v>6.0</v>
      </c>
      <c r="C165" s="59" t="s">
        <v>505</v>
      </c>
      <c r="D165" s="16"/>
      <c r="E165" s="67" t="s">
        <v>73</v>
      </c>
      <c r="F165" s="16"/>
      <c r="G165" s="67" t="s">
        <v>36</v>
      </c>
      <c r="H165" s="16"/>
      <c r="I165" s="67" t="s">
        <v>28</v>
      </c>
      <c r="J165" s="16"/>
      <c r="K165" s="67" t="str">
        <f>CONCAT("Close: ", CONCAT(25+(5*FLOOR(Level/2,1)), " ft"))</f>
        <v>Close: 35 ft</v>
      </c>
      <c r="L165" s="16"/>
      <c r="M165" s="67" t="str">
        <f>CONCAT(Level," creature(s), 1 creature/level, no 2 of which can be more than 30 ft apart")</f>
        <v>4 creature(s), 1 creature/level, no 2 of which can be more than 30 ft apart</v>
      </c>
      <c r="N165" s="16"/>
      <c r="O165" s="67" t="str">
        <f>CONCAT(Level, " minute(s)
1 minute/level")</f>
        <v>4 minute(s)
1 minute/level</v>
      </c>
      <c r="P165" s="16"/>
      <c r="Q165" s="67" t="s">
        <v>103</v>
      </c>
      <c r="R165" s="16"/>
      <c r="S165" s="67" t="s">
        <v>214</v>
      </c>
      <c r="T165" s="16"/>
      <c r="U165" s="71" t="str">
        <f>CONCAT("As Fox's Cunning, affects ",CONCAT(Level, " subject(s), 1 subject/level."))</f>
        <v>As Fox's Cunning, affects 4 subject(s), 1 subject/level.</v>
      </c>
      <c r="V165" s="4"/>
      <c r="W165" s="4"/>
      <c r="X165" s="16"/>
    </row>
    <row r="166">
      <c r="B166" s="55">
        <v>6.0</v>
      </c>
      <c r="C166" s="63" t="s">
        <v>506</v>
      </c>
      <c r="D166" s="20"/>
      <c r="E166" s="31" t="s">
        <v>327</v>
      </c>
      <c r="F166" s="20"/>
      <c r="G166" s="31" t="s">
        <v>48</v>
      </c>
      <c r="H166" s="20"/>
      <c r="I166" s="31" t="s">
        <v>302</v>
      </c>
      <c r="J166" s="20"/>
      <c r="K166" s="66" t="str">
        <f>close</f>
        <v>Close: 35 ft</v>
      </c>
      <c r="L166" s="20"/>
      <c r="M166" s="31" t="s">
        <v>128</v>
      </c>
      <c r="N166" s="20"/>
      <c r="O166" s="66" t="str">
        <f>Level&amp;" day(s) or until discharged (D)
1 day/level"</f>
        <v>4 day(s) or until discharged (D)
1 day/level</v>
      </c>
      <c r="P166" s="20"/>
      <c r="Q166" s="31" t="s">
        <v>31</v>
      </c>
      <c r="R166" s="20"/>
      <c r="S166" s="31" t="s">
        <v>40</v>
      </c>
      <c r="T166" s="20"/>
      <c r="U166" s="54" t="s">
        <v>507</v>
      </c>
      <c r="V166" s="9"/>
      <c r="W166" s="9"/>
      <c r="X166" s="20"/>
    </row>
    <row r="167">
      <c r="B167" s="56">
        <v>6.0</v>
      </c>
      <c r="C167" s="59" t="s">
        <v>508</v>
      </c>
      <c r="D167" s="16"/>
      <c r="E167" s="25" t="s">
        <v>150</v>
      </c>
      <c r="F167" s="16"/>
      <c r="G167" s="25" t="s">
        <v>27</v>
      </c>
      <c r="H167" s="16"/>
      <c r="I167" s="25" t="s">
        <v>302</v>
      </c>
      <c r="J167" s="16"/>
      <c r="K167" s="67" t="str">
        <f>close</f>
        <v>Close: 35 ft</v>
      </c>
      <c r="L167" s="16"/>
      <c r="M167" s="25" t="str">
        <f>"Feast for "&amp;Level&amp;" creature(s), 1 creature/level"</f>
        <v>Feast for 4 creature(s), 1 creature/level</v>
      </c>
      <c r="N167" s="16"/>
      <c r="O167" s="25" t="s">
        <v>509</v>
      </c>
      <c r="P167" s="16"/>
      <c r="Q167" s="25" t="s">
        <v>31</v>
      </c>
      <c r="R167" s="16"/>
      <c r="S167" s="25" t="s">
        <v>32</v>
      </c>
      <c r="T167" s="16"/>
      <c r="U167" s="50" t="str">
        <f>"Food for "&amp;Level&amp;" creature(s), 1 creature/level, cures and grants combat bonuses"</f>
        <v>Food for 4 creature(s), 1 creature/level, cures and grants combat bonuses</v>
      </c>
      <c r="V167" s="4"/>
      <c r="W167" s="4"/>
      <c r="X167" s="16"/>
    </row>
    <row r="168">
      <c r="B168" s="55">
        <v>6.0</v>
      </c>
      <c r="C168" s="63" t="s">
        <v>510</v>
      </c>
      <c r="D168" s="20"/>
      <c r="E168" s="31" t="s">
        <v>35</v>
      </c>
      <c r="F168" s="20"/>
      <c r="G168" s="31" t="s">
        <v>48</v>
      </c>
      <c r="H168" s="20"/>
      <c r="I168" s="31" t="s">
        <v>28</v>
      </c>
      <c r="J168" s="20"/>
      <c r="K168" s="31" t="s">
        <v>65</v>
      </c>
      <c r="L168" s="20"/>
      <c r="M168" s="31" t="s">
        <v>511</v>
      </c>
      <c r="N168" s="20"/>
      <c r="O168" s="31" t="s">
        <v>512</v>
      </c>
      <c r="P168" s="20"/>
      <c r="Q168" s="31" t="s">
        <v>31</v>
      </c>
      <c r="R168" s="20"/>
      <c r="S168" s="31" t="s">
        <v>40</v>
      </c>
      <c r="T168" s="20"/>
      <c r="U168" s="54" t="s">
        <v>513</v>
      </c>
      <c r="V168" s="9"/>
      <c r="W168" s="9"/>
      <c r="X168" s="20"/>
    </row>
    <row r="169">
      <c r="B169" s="56">
        <v>6.0</v>
      </c>
      <c r="C169" s="59" t="s">
        <v>514</v>
      </c>
      <c r="D169" s="16"/>
      <c r="E169" s="25" t="s">
        <v>54</v>
      </c>
      <c r="F169" s="16"/>
      <c r="G169" s="25" t="s">
        <v>515</v>
      </c>
      <c r="H169" s="16"/>
      <c r="I169" s="25" t="s">
        <v>28</v>
      </c>
      <c r="J169" s="16"/>
      <c r="K169" s="25" t="str">
        <f>long</f>
        <v>Long: 560 ft</v>
      </c>
      <c r="L169" s="16"/>
      <c r="M169" s="25" t="str">
        <f>"Figment that cannot extend beyond a twenty ft cube + "&amp;Level&amp;" ten ft cube(s), +1 ten ft. cube/level"</f>
        <v>Figment that cannot extend beyond a twenty ft cube + 4 ten ft cube(s), +1 ten ft. cube/level</v>
      </c>
      <c r="N169" s="16"/>
      <c r="O169" s="25" t="s">
        <v>206</v>
      </c>
      <c r="P169" s="16"/>
      <c r="Q169" s="25" t="s">
        <v>56</v>
      </c>
      <c r="R169" s="16"/>
      <c r="S169" s="25" t="s">
        <v>32</v>
      </c>
      <c r="T169" s="16"/>
      <c r="U169" s="50" t="s">
        <v>516</v>
      </c>
      <c r="V169" s="4"/>
      <c r="W169" s="4"/>
      <c r="X169" s="16"/>
    </row>
    <row r="170">
      <c r="B170" s="55">
        <v>6.0</v>
      </c>
      <c r="C170" s="63" t="s">
        <v>517</v>
      </c>
      <c r="D170" s="20"/>
      <c r="E170" s="31" t="s">
        <v>54</v>
      </c>
      <c r="F170" s="20"/>
      <c r="G170" s="31" t="s">
        <v>518</v>
      </c>
      <c r="H170" s="20"/>
      <c r="I170" s="31" t="s">
        <v>28</v>
      </c>
      <c r="J170" s="20"/>
      <c r="K170" s="31" t="str">
        <f>long</f>
        <v>Long: 560 ft</v>
      </c>
      <c r="L170" s="20"/>
      <c r="M170" s="31" t="str">
        <f>"Figment that cannot extend beyond a twenty ft cube + "&amp;Level&amp;" ten ft cube(s), +1 ten ft cube/level"</f>
        <v>Figment that cannot extend beyond a twenty ft cube + 4 ten ft cube(s), +1 ten ft cube/level</v>
      </c>
      <c r="N170" s="20"/>
      <c r="O170" s="31" t="str">
        <f>CONCAT(Level, " round(s) (D)
1 round/level")</f>
        <v>4 round(s) (D)
1 round/level</v>
      </c>
      <c r="P170" s="20"/>
      <c r="Q170" s="31" t="s">
        <v>56</v>
      </c>
      <c r="R170" s="20"/>
      <c r="S170" s="31" t="s">
        <v>32</v>
      </c>
      <c r="T170" s="20"/>
      <c r="U170" s="54" t="s">
        <v>519</v>
      </c>
      <c r="V170" s="9"/>
      <c r="W170" s="9"/>
      <c r="X170" s="20"/>
    </row>
    <row r="171">
      <c r="B171" s="56">
        <v>6.0</v>
      </c>
      <c r="C171" s="59" t="s">
        <v>520</v>
      </c>
      <c r="D171" s="16"/>
      <c r="E171" s="25" t="s">
        <v>429</v>
      </c>
      <c r="F171" s="16"/>
      <c r="G171" s="25" t="s">
        <v>521</v>
      </c>
      <c r="H171" s="16"/>
      <c r="I171" s="25" t="s">
        <v>28</v>
      </c>
      <c r="J171" s="16"/>
      <c r="K171" s="25" t="str">
        <f>medium</f>
        <v>Medium: 140 ft</v>
      </c>
      <c r="L171" s="16"/>
      <c r="M171" s="25" t="s">
        <v>522</v>
      </c>
      <c r="N171" s="16"/>
      <c r="O171" s="25" t="str">
        <f>"Permanent until triggered, then "&amp;Level&amp;" round(s)
1 round/level"</f>
        <v>Permanent until triggered, then 4 round(s)
1 round/level</v>
      </c>
      <c r="P171" s="16"/>
      <c r="Q171" s="25" t="s">
        <v>56</v>
      </c>
      <c r="R171" s="16"/>
      <c r="S171" s="25" t="s">
        <v>32</v>
      </c>
      <c r="T171" s="16"/>
      <c r="U171" s="50" t="s">
        <v>523</v>
      </c>
      <c r="V171" s="4"/>
      <c r="W171" s="4"/>
      <c r="X171" s="16"/>
    </row>
    <row r="172">
      <c r="B172" s="55">
        <v>6.0</v>
      </c>
      <c r="C172" s="68" t="s">
        <v>524</v>
      </c>
      <c r="D172" s="20"/>
      <c r="E172" s="31" t="s">
        <v>301</v>
      </c>
      <c r="F172" s="20"/>
      <c r="G172" s="66" t="s">
        <v>27</v>
      </c>
      <c r="H172" s="20"/>
      <c r="I172" s="66" t="s">
        <v>28</v>
      </c>
      <c r="J172" s="20"/>
      <c r="K172" s="66" t="s">
        <v>94</v>
      </c>
      <c r="L172" s="20"/>
      <c r="M172" s="66" t="s">
        <v>303</v>
      </c>
      <c r="N172" s="20"/>
      <c r="O172" s="66" t="str">
        <f>CONCAT(Level, " hour(s)
1 hour/level")</f>
        <v>4 hour(s)
1 hour/level</v>
      </c>
      <c r="P172" s="20"/>
      <c r="Q172" s="66" t="s">
        <v>39</v>
      </c>
      <c r="R172" s="20"/>
      <c r="S172" s="66" t="s">
        <v>40</v>
      </c>
      <c r="T172" s="20"/>
      <c r="U172" s="69" t="s">
        <v>525</v>
      </c>
      <c r="V172" s="9"/>
      <c r="W172" s="9"/>
      <c r="X172" s="20"/>
    </row>
    <row r="173">
      <c r="B173" s="56">
        <v>6.0</v>
      </c>
      <c r="C173" s="59" t="s">
        <v>526</v>
      </c>
      <c r="D173" s="16"/>
      <c r="E173" s="25" t="s">
        <v>272</v>
      </c>
      <c r="F173" s="16"/>
      <c r="G173" s="25" t="s">
        <v>85</v>
      </c>
      <c r="H173" s="16"/>
      <c r="I173" s="25" t="s">
        <v>28</v>
      </c>
      <c r="J173" s="16"/>
      <c r="K173" s="25" t="s">
        <v>44</v>
      </c>
      <c r="L173" s="16"/>
      <c r="M173" s="25" t="s">
        <v>308</v>
      </c>
      <c r="N173" s="16"/>
      <c r="O173" s="25" t="s">
        <v>50</v>
      </c>
      <c r="P173" s="16"/>
      <c r="Q173" s="25" t="s">
        <v>434</v>
      </c>
      <c r="R173" s="16"/>
      <c r="S173" s="25" t="s">
        <v>90</v>
      </c>
      <c r="T173" s="16"/>
      <c r="U173" s="50" t="s">
        <v>527</v>
      </c>
      <c r="V173" s="4"/>
      <c r="W173" s="4"/>
      <c r="X173" s="16"/>
    </row>
    <row r="174">
      <c r="B174" s="55">
        <v>6.0</v>
      </c>
      <c r="C174" s="52" t="s">
        <v>528</v>
      </c>
      <c r="D174" s="20"/>
      <c r="E174" s="31" t="s">
        <v>182</v>
      </c>
      <c r="F174" s="20"/>
      <c r="G174" s="31" t="s">
        <v>85</v>
      </c>
      <c r="H174" s="20"/>
      <c r="I174" s="31" t="s">
        <v>38</v>
      </c>
      <c r="J174" s="20"/>
      <c r="K174" s="31" t="str">
        <f>close</f>
        <v>Close: 35 ft</v>
      </c>
      <c r="L174" s="20"/>
      <c r="M174" s="31" t="s">
        <v>183</v>
      </c>
      <c r="N174" s="20"/>
      <c r="O174" s="31" t="str">
        <f>Level&amp;" round(s) (D)
1 round/level"</f>
        <v>4 round(s) (D)
1 round/level</v>
      </c>
      <c r="P174" s="20"/>
      <c r="Q174" s="31" t="s">
        <v>31</v>
      </c>
      <c r="R174" s="20"/>
      <c r="S174" s="31" t="s">
        <v>32</v>
      </c>
      <c r="T174" s="20"/>
      <c r="U174" s="54" t="s">
        <v>184</v>
      </c>
      <c r="V174" s="9"/>
      <c r="W174" s="9"/>
      <c r="X174" s="20"/>
    </row>
    <row r="175">
      <c r="B175" s="56">
        <v>6.0</v>
      </c>
      <c r="C175" s="48" t="s">
        <v>529</v>
      </c>
      <c r="D175" s="16"/>
      <c r="E175" s="25" t="s">
        <v>272</v>
      </c>
      <c r="F175" s="16"/>
      <c r="G175" s="25" t="s">
        <v>85</v>
      </c>
      <c r="H175" s="16"/>
      <c r="I175" s="25" t="s">
        <v>302</v>
      </c>
      <c r="J175" s="16"/>
      <c r="K175" s="25" t="s">
        <v>65</v>
      </c>
      <c r="L175" s="16"/>
      <c r="M175" s="25" t="s">
        <v>530</v>
      </c>
      <c r="N175" s="16"/>
      <c r="O175" s="25" t="str">
        <f>"Up to "&amp;Level&amp;" round(s)
1 round/level"</f>
        <v>Up to 4 round(s)
1 round/level</v>
      </c>
      <c r="P175" s="16"/>
      <c r="Q175" s="25" t="s">
        <v>169</v>
      </c>
      <c r="R175" s="16"/>
      <c r="S175" s="25" t="s">
        <v>40</v>
      </c>
      <c r="T175" s="16"/>
      <c r="U175" s="50" t="s">
        <v>531</v>
      </c>
      <c r="V175" s="4"/>
      <c r="W175" s="4"/>
      <c r="X175" s="16"/>
    </row>
    <row r="176">
      <c r="B176" s="55">
        <v>6.0</v>
      </c>
      <c r="C176" s="52" t="s">
        <v>532</v>
      </c>
      <c r="D176" s="20"/>
      <c r="E176" s="31" t="s">
        <v>138</v>
      </c>
      <c r="F176" s="20"/>
      <c r="G176" s="31" t="s">
        <v>27</v>
      </c>
      <c r="H176" s="20"/>
      <c r="I176" s="31" t="s">
        <v>28</v>
      </c>
      <c r="J176" s="20"/>
      <c r="K176" s="31" t="str">
        <f>long</f>
        <v>Long: 560 ft</v>
      </c>
      <c r="L176" s="20"/>
      <c r="M176" s="31" t="s">
        <v>533</v>
      </c>
      <c r="N176" s="20"/>
      <c r="O176" s="31" t="str">
        <f>"Concentration + "&amp;Level&amp;" hour(s) (D)
+1 hour/level"</f>
        <v>Concentration + 4 hour(s) (D)
+1 hour/level</v>
      </c>
      <c r="P176" s="20"/>
      <c r="Q176" s="31" t="s">
        <v>202</v>
      </c>
      <c r="R176" s="20"/>
      <c r="S176" s="31" t="s">
        <v>431</v>
      </c>
      <c r="T176" s="20"/>
      <c r="U176" s="54" t="s">
        <v>534</v>
      </c>
      <c r="V176" s="9"/>
      <c r="W176" s="9"/>
      <c r="X176" s="20"/>
    </row>
    <row r="177">
      <c r="A177" s="75"/>
      <c r="B177" s="76"/>
      <c r="C177" s="77"/>
      <c r="D177" s="77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9"/>
      <c r="V177" s="79"/>
      <c r="W177" s="79"/>
      <c r="X177" s="79"/>
      <c r="Y177" s="75"/>
      <c r="Z177" s="75"/>
    </row>
  </sheetData>
  <mergeCells count="1659">
    <mergeCell ref="Q14:R14"/>
    <mergeCell ref="S14:T14"/>
    <mergeCell ref="U14:X14"/>
    <mergeCell ref="C14:D14"/>
    <mergeCell ref="E14:F14"/>
    <mergeCell ref="G14:H14"/>
    <mergeCell ref="I14:J14"/>
    <mergeCell ref="K14:L14"/>
    <mergeCell ref="M14:N14"/>
    <mergeCell ref="O14:P14"/>
    <mergeCell ref="Q15:R15"/>
    <mergeCell ref="S15:T15"/>
    <mergeCell ref="U15:X15"/>
    <mergeCell ref="C15:D15"/>
    <mergeCell ref="E15:F15"/>
    <mergeCell ref="G15:H15"/>
    <mergeCell ref="I15:J15"/>
    <mergeCell ref="K15:L15"/>
    <mergeCell ref="M15:N15"/>
    <mergeCell ref="O15:P15"/>
    <mergeCell ref="Q16:R16"/>
    <mergeCell ref="S16:T16"/>
    <mergeCell ref="U16:X16"/>
    <mergeCell ref="C16:D16"/>
    <mergeCell ref="E16:F16"/>
    <mergeCell ref="G16:H16"/>
    <mergeCell ref="I16:J16"/>
    <mergeCell ref="K16:L16"/>
    <mergeCell ref="M16:N16"/>
    <mergeCell ref="O16:P16"/>
    <mergeCell ref="Q17:R17"/>
    <mergeCell ref="S17:T17"/>
    <mergeCell ref="U17:X17"/>
    <mergeCell ref="C17:D17"/>
    <mergeCell ref="E17:F17"/>
    <mergeCell ref="G17:H17"/>
    <mergeCell ref="I17:J17"/>
    <mergeCell ref="K17:L17"/>
    <mergeCell ref="M17:N17"/>
    <mergeCell ref="O17:P17"/>
    <mergeCell ref="Q18:R18"/>
    <mergeCell ref="S18:T18"/>
    <mergeCell ref="U18:X18"/>
    <mergeCell ref="C18:D18"/>
    <mergeCell ref="E18:F18"/>
    <mergeCell ref="G18:H18"/>
    <mergeCell ref="I18:J18"/>
    <mergeCell ref="K18:L18"/>
    <mergeCell ref="M18:N18"/>
    <mergeCell ref="O18:P18"/>
    <mergeCell ref="Q19:R19"/>
    <mergeCell ref="S19:T19"/>
    <mergeCell ref="U19:X19"/>
    <mergeCell ref="C19:D19"/>
    <mergeCell ref="E19:F19"/>
    <mergeCell ref="G19:H19"/>
    <mergeCell ref="I19:J19"/>
    <mergeCell ref="K19:L19"/>
    <mergeCell ref="M19:N19"/>
    <mergeCell ref="O19:P19"/>
    <mergeCell ref="Q20:R20"/>
    <mergeCell ref="S20:T20"/>
    <mergeCell ref="U20:X20"/>
    <mergeCell ref="C20:D20"/>
    <mergeCell ref="E20:F20"/>
    <mergeCell ref="G20:H20"/>
    <mergeCell ref="I20:J20"/>
    <mergeCell ref="K20:L20"/>
    <mergeCell ref="M20:N20"/>
    <mergeCell ref="O20:P20"/>
    <mergeCell ref="Q21:R21"/>
    <mergeCell ref="S21:T21"/>
    <mergeCell ref="U21:X21"/>
    <mergeCell ref="C21:D21"/>
    <mergeCell ref="E21:F21"/>
    <mergeCell ref="G21:H21"/>
    <mergeCell ref="I21:J21"/>
    <mergeCell ref="K21:L21"/>
    <mergeCell ref="M21:N21"/>
    <mergeCell ref="O21:P21"/>
    <mergeCell ref="Q22:R22"/>
    <mergeCell ref="S22:T22"/>
    <mergeCell ref="U22:X22"/>
    <mergeCell ref="C22:D22"/>
    <mergeCell ref="E22:F22"/>
    <mergeCell ref="G22:H22"/>
    <mergeCell ref="I22:J22"/>
    <mergeCell ref="K22:L22"/>
    <mergeCell ref="M22:N22"/>
    <mergeCell ref="O22:P22"/>
    <mergeCell ref="Q23:R23"/>
    <mergeCell ref="S23:T23"/>
    <mergeCell ref="U23:X23"/>
    <mergeCell ref="C23:D23"/>
    <mergeCell ref="E23:F23"/>
    <mergeCell ref="G23:H23"/>
    <mergeCell ref="I23:J23"/>
    <mergeCell ref="K23:L23"/>
    <mergeCell ref="M23:N23"/>
    <mergeCell ref="O23:P23"/>
    <mergeCell ref="Q24:R24"/>
    <mergeCell ref="S24:T24"/>
    <mergeCell ref="U24:X24"/>
    <mergeCell ref="C24:D24"/>
    <mergeCell ref="E24:F24"/>
    <mergeCell ref="G24:H24"/>
    <mergeCell ref="I24:J24"/>
    <mergeCell ref="K24:L24"/>
    <mergeCell ref="M24:N24"/>
    <mergeCell ref="O24:P24"/>
    <mergeCell ref="Q25:R25"/>
    <mergeCell ref="S25:T25"/>
    <mergeCell ref="U25:X25"/>
    <mergeCell ref="C25:D25"/>
    <mergeCell ref="E25:F25"/>
    <mergeCell ref="G25:H25"/>
    <mergeCell ref="I25:J25"/>
    <mergeCell ref="K25:L25"/>
    <mergeCell ref="M25:N25"/>
    <mergeCell ref="O25:P25"/>
    <mergeCell ref="Q26:R26"/>
    <mergeCell ref="S26:T26"/>
    <mergeCell ref="U26:X26"/>
    <mergeCell ref="C26:D26"/>
    <mergeCell ref="E26:F26"/>
    <mergeCell ref="G26:H26"/>
    <mergeCell ref="I26:J26"/>
    <mergeCell ref="K26:L26"/>
    <mergeCell ref="M26:N26"/>
    <mergeCell ref="O26:P26"/>
    <mergeCell ref="Q27:R27"/>
    <mergeCell ref="S27:T27"/>
    <mergeCell ref="U27:X27"/>
    <mergeCell ref="C27:D27"/>
    <mergeCell ref="E27:F27"/>
    <mergeCell ref="G27:H27"/>
    <mergeCell ref="I27:J27"/>
    <mergeCell ref="K27:L27"/>
    <mergeCell ref="M27:N27"/>
    <mergeCell ref="O27:P27"/>
    <mergeCell ref="Q28:R28"/>
    <mergeCell ref="S28:T28"/>
    <mergeCell ref="U28:X28"/>
    <mergeCell ref="C28:D28"/>
    <mergeCell ref="E28:F28"/>
    <mergeCell ref="G28:H28"/>
    <mergeCell ref="I28:J28"/>
    <mergeCell ref="K28:L28"/>
    <mergeCell ref="M28:N28"/>
    <mergeCell ref="O28:P28"/>
    <mergeCell ref="Q29:R29"/>
    <mergeCell ref="S29:T29"/>
    <mergeCell ref="U29:X29"/>
    <mergeCell ref="C29:D29"/>
    <mergeCell ref="E29:F29"/>
    <mergeCell ref="G29:H29"/>
    <mergeCell ref="I29:J29"/>
    <mergeCell ref="K29:L29"/>
    <mergeCell ref="M29:N29"/>
    <mergeCell ref="O29:P29"/>
    <mergeCell ref="Q30:R30"/>
    <mergeCell ref="S30:T30"/>
    <mergeCell ref="U30:X30"/>
    <mergeCell ref="C30:D30"/>
    <mergeCell ref="E30:F30"/>
    <mergeCell ref="G30:H30"/>
    <mergeCell ref="I30:J30"/>
    <mergeCell ref="K30:L30"/>
    <mergeCell ref="M30:N30"/>
    <mergeCell ref="O30:P30"/>
    <mergeCell ref="Q31:R31"/>
    <mergeCell ref="S31:T31"/>
    <mergeCell ref="U31:X31"/>
    <mergeCell ref="C31:D31"/>
    <mergeCell ref="E31:F31"/>
    <mergeCell ref="G31:H31"/>
    <mergeCell ref="I31:J31"/>
    <mergeCell ref="K31:L31"/>
    <mergeCell ref="M31:N31"/>
    <mergeCell ref="O31:P31"/>
    <mergeCell ref="Q32:R32"/>
    <mergeCell ref="S32:T32"/>
    <mergeCell ref="U32:X32"/>
    <mergeCell ref="C32:D32"/>
    <mergeCell ref="E32:F32"/>
    <mergeCell ref="G32:H32"/>
    <mergeCell ref="I32:J32"/>
    <mergeCell ref="K32:L32"/>
    <mergeCell ref="M32:N32"/>
    <mergeCell ref="O32:P32"/>
    <mergeCell ref="Q33:R33"/>
    <mergeCell ref="S33:T33"/>
    <mergeCell ref="U33:X33"/>
    <mergeCell ref="C33:D33"/>
    <mergeCell ref="E33:F33"/>
    <mergeCell ref="G33:H33"/>
    <mergeCell ref="I33:J33"/>
    <mergeCell ref="K33:L33"/>
    <mergeCell ref="M33:N33"/>
    <mergeCell ref="O33:P33"/>
    <mergeCell ref="Q34:R34"/>
    <mergeCell ref="S34:T34"/>
    <mergeCell ref="U34:X34"/>
    <mergeCell ref="C34:D34"/>
    <mergeCell ref="E34:F34"/>
    <mergeCell ref="G34:H34"/>
    <mergeCell ref="I34:J34"/>
    <mergeCell ref="K34:L34"/>
    <mergeCell ref="M34:N34"/>
    <mergeCell ref="O34:P34"/>
    <mergeCell ref="Q35:R35"/>
    <mergeCell ref="S35:T35"/>
    <mergeCell ref="U35:X35"/>
    <mergeCell ref="C35:D35"/>
    <mergeCell ref="E35:F35"/>
    <mergeCell ref="G35:H35"/>
    <mergeCell ref="I35:J35"/>
    <mergeCell ref="K35:L35"/>
    <mergeCell ref="M35:N35"/>
    <mergeCell ref="O35:P35"/>
    <mergeCell ref="Q36:R36"/>
    <mergeCell ref="S36:T36"/>
    <mergeCell ref="U36:X36"/>
    <mergeCell ref="C36:D36"/>
    <mergeCell ref="E36:F36"/>
    <mergeCell ref="G36:H36"/>
    <mergeCell ref="I36:J36"/>
    <mergeCell ref="K36:L36"/>
    <mergeCell ref="M36:N36"/>
    <mergeCell ref="O36:P36"/>
    <mergeCell ref="Q37:R37"/>
    <mergeCell ref="S37:T37"/>
    <mergeCell ref="U37:X37"/>
    <mergeCell ref="C37:D37"/>
    <mergeCell ref="E37:F37"/>
    <mergeCell ref="G37:H37"/>
    <mergeCell ref="I37:J37"/>
    <mergeCell ref="K37:L37"/>
    <mergeCell ref="M37:N37"/>
    <mergeCell ref="O37:P37"/>
    <mergeCell ref="Q38:R38"/>
    <mergeCell ref="S38:T38"/>
    <mergeCell ref="U38:X38"/>
    <mergeCell ref="C38:D38"/>
    <mergeCell ref="E38:F38"/>
    <mergeCell ref="G38:H38"/>
    <mergeCell ref="I38:J38"/>
    <mergeCell ref="K38:L38"/>
    <mergeCell ref="M38:N38"/>
    <mergeCell ref="O38:P38"/>
    <mergeCell ref="Q39:R39"/>
    <mergeCell ref="S39:T39"/>
    <mergeCell ref="U39:X39"/>
    <mergeCell ref="C39:D39"/>
    <mergeCell ref="E39:F39"/>
    <mergeCell ref="G39:H39"/>
    <mergeCell ref="I39:J39"/>
    <mergeCell ref="K39:L39"/>
    <mergeCell ref="M39:N39"/>
    <mergeCell ref="O39:P39"/>
    <mergeCell ref="Q40:R40"/>
    <mergeCell ref="S40:T40"/>
    <mergeCell ref="U40:X40"/>
    <mergeCell ref="C40:D40"/>
    <mergeCell ref="E40:F40"/>
    <mergeCell ref="G40:H40"/>
    <mergeCell ref="I40:J40"/>
    <mergeCell ref="K40:L40"/>
    <mergeCell ref="M40:N40"/>
    <mergeCell ref="O40:P40"/>
    <mergeCell ref="Q41:R41"/>
    <mergeCell ref="S41:T41"/>
    <mergeCell ref="U41:X41"/>
    <mergeCell ref="C41:D41"/>
    <mergeCell ref="E41:F41"/>
    <mergeCell ref="G41:H41"/>
    <mergeCell ref="I41:J41"/>
    <mergeCell ref="K41:L41"/>
    <mergeCell ref="M41:N41"/>
    <mergeCell ref="O41:P41"/>
    <mergeCell ref="Q42:R42"/>
    <mergeCell ref="S42:T42"/>
    <mergeCell ref="U42:X42"/>
    <mergeCell ref="C42:D42"/>
    <mergeCell ref="E42:F42"/>
    <mergeCell ref="G42:H42"/>
    <mergeCell ref="I42:J42"/>
    <mergeCell ref="K42:L42"/>
    <mergeCell ref="M42:N42"/>
    <mergeCell ref="O42:P42"/>
    <mergeCell ref="Q43:R43"/>
    <mergeCell ref="S43:T43"/>
    <mergeCell ref="U43:X43"/>
    <mergeCell ref="C43:D43"/>
    <mergeCell ref="E43:F43"/>
    <mergeCell ref="G43:H43"/>
    <mergeCell ref="I43:J43"/>
    <mergeCell ref="K43:L43"/>
    <mergeCell ref="M43:N43"/>
    <mergeCell ref="O43:P43"/>
    <mergeCell ref="Q44:R44"/>
    <mergeCell ref="S44:T44"/>
    <mergeCell ref="U44:X44"/>
    <mergeCell ref="C44:D44"/>
    <mergeCell ref="E44:F44"/>
    <mergeCell ref="G44:H44"/>
    <mergeCell ref="I44:J44"/>
    <mergeCell ref="K44:L44"/>
    <mergeCell ref="M44:N44"/>
    <mergeCell ref="O44:P44"/>
    <mergeCell ref="Q45:R45"/>
    <mergeCell ref="S45:T45"/>
    <mergeCell ref="U45:X45"/>
    <mergeCell ref="C45:D45"/>
    <mergeCell ref="E45:F45"/>
    <mergeCell ref="G45:H45"/>
    <mergeCell ref="I45:J45"/>
    <mergeCell ref="K45:L45"/>
    <mergeCell ref="M45:N45"/>
    <mergeCell ref="O45:P45"/>
    <mergeCell ref="Q46:R46"/>
    <mergeCell ref="S46:T46"/>
    <mergeCell ref="U46:X46"/>
    <mergeCell ref="C46:D46"/>
    <mergeCell ref="E46:F46"/>
    <mergeCell ref="G46:H46"/>
    <mergeCell ref="I46:J46"/>
    <mergeCell ref="K46:L46"/>
    <mergeCell ref="M46:N46"/>
    <mergeCell ref="O46:P46"/>
    <mergeCell ref="Q47:R47"/>
    <mergeCell ref="S47:T47"/>
    <mergeCell ref="U47:X47"/>
    <mergeCell ref="C47:D47"/>
    <mergeCell ref="E47:F47"/>
    <mergeCell ref="G47:H47"/>
    <mergeCell ref="I47:J47"/>
    <mergeCell ref="K47:L47"/>
    <mergeCell ref="M47:N47"/>
    <mergeCell ref="O47:P47"/>
    <mergeCell ref="Q48:R48"/>
    <mergeCell ref="S48:T48"/>
    <mergeCell ref="U48:X48"/>
    <mergeCell ref="C48:D48"/>
    <mergeCell ref="E48:F48"/>
    <mergeCell ref="G48:H48"/>
    <mergeCell ref="I48:J48"/>
    <mergeCell ref="K48:L48"/>
    <mergeCell ref="M48:N48"/>
    <mergeCell ref="O48:P48"/>
    <mergeCell ref="Q49:R49"/>
    <mergeCell ref="S49:T49"/>
    <mergeCell ref="U49:X49"/>
    <mergeCell ref="C49:D49"/>
    <mergeCell ref="E49:F49"/>
    <mergeCell ref="G49:H49"/>
    <mergeCell ref="I49:J49"/>
    <mergeCell ref="K49:L49"/>
    <mergeCell ref="M49:N49"/>
    <mergeCell ref="O49:P49"/>
    <mergeCell ref="Q50:R50"/>
    <mergeCell ref="S50:T50"/>
    <mergeCell ref="U50:X50"/>
    <mergeCell ref="C50:D50"/>
    <mergeCell ref="E50:F50"/>
    <mergeCell ref="G50:H50"/>
    <mergeCell ref="I50:J50"/>
    <mergeCell ref="K50:L50"/>
    <mergeCell ref="M50:N50"/>
    <mergeCell ref="O50:P50"/>
    <mergeCell ref="Q51:R51"/>
    <mergeCell ref="S51:T51"/>
    <mergeCell ref="U51:X51"/>
    <mergeCell ref="C51:D51"/>
    <mergeCell ref="E51:F51"/>
    <mergeCell ref="G51:H51"/>
    <mergeCell ref="I51:J51"/>
    <mergeCell ref="K51:L51"/>
    <mergeCell ref="M51:N51"/>
    <mergeCell ref="O51:P51"/>
    <mergeCell ref="Q52:R52"/>
    <mergeCell ref="S52:T52"/>
    <mergeCell ref="U52:X52"/>
    <mergeCell ref="C52:D52"/>
    <mergeCell ref="E52:F52"/>
    <mergeCell ref="G52:H52"/>
    <mergeCell ref="I52:J52"/>
    <mergeCell ref="K52:L52"/>
    <mergeCell ref="M52:N52"/>
    <mergeCell ref="O52:P52"/>
    <mergeCell ref="Q53:R53"/>
    <mergeCell ref="S53:T53"/>
    <mergeCell ref="U53:X53"/>
    <mergeCell ref="C53:D53"/>
    <mergeCell ref="E53:F53"/>
    <mergeCell ref="G53:H53"/>
    <mergeCell ref="I53:J53"/>
    <mergeCell ref="K53:L53"/>
    <mergeCell ref="M53:N53"/>
    <mergeCell ref="O53:P53"/>
    <mergeCell ref="Q54:R54"/>
    <mergeCell ref="S54:T54"/>
    <mergeCell ref="U54:X54"/>
    <mergeCell ref="C54:D54"/>
    <mergeCell ref="E54:F54"/>
    <mergeCell ref="G54:H54"/>
    <mergeCell ref="I54:J54"/>
    <mergeCell ref="K54:L54"/>
    <mergeCell ref="M54:N54"/>
    <mergeCell ref="O54:P54"/>
    <mergeCell ref="Q55:R55"/>
    <mergeCell ref="S55:T55"/>
    <mergeCell ref="U55:X55"/>
    <mergeCell ref="C55:D55"/>
    <mergeCell ref="E55:F55"/>
    <mergeCell ref="G55:H55"/>
    <mergeCell ref="I55:J55"/>
    <mergeCell ref="K55:L55"/>
    <mergeCell ref="M55:N55"/>
    <mergeCell ref="O55:P55"/>
    <mergeCell ref="Q56:R56"/>
    <mergeCell ref="S56:T56"/>
    <mergeCell ref="U56:X56"/>
    <mergeCell ref="C56:D56"/>
    <mergeCell ref="E56:F56"/>
    <mergeCell ref="G56:H56"/>
    <mergeCell ref="I56:J56"/>
    <mergeCell ref="K56:L56"/>
    <mergeCell ref="M56:N56"/>
    <mergeCell ref="O56:P56"/>
    <mergeCell ref="Q57:R57"/>
    <mergeCell ref="S57:T57"/>
    <mergeCell ref="U57:X57"/>
    <mergeCell ref="C57:D57"/>
    <mergeCell ref="E57:F57"/>
    <mergeCell ref="G57:H57"/>
    <mergeCell ref="I57:J57"/>
    <mergeCell ref="K57:L57"/>
    <mergeCell ref="M57:N57"/>
    <mergeCell ref="O57:P57"/>
    <mergeCell ref="Q58:R58"/>
    <mergeCell ref="S58:T58"/>
    <mergeCell ref="U58:X58"/>
    <mergeCell ref="C58:D58"/>
    <mergeCell ref="E58:F58"/>
    <mergeCell ref="G58:H58"/>
    <mergeCell ref="I58:J58"/>
    <mergeCell ref="K58:L58"/>
    <mergeCell ref="M58:N58"/>
    <mergeCell ref="O58:P58"/>
    <mergeCell ref="Q59:R59"/>
    <mergeCell ref="S59:T59"/>
    <mergeCell ref="U59:X59"/>
    <mergeCell ref="C59:D59"/>
    <mergeCell ref="E59:F59"/>
    <mergeCell ref="G59:H59"/>
    <mergeCell ref="I59:J59"/>
    <mergeCell ref="K59:L59"/>
    <mergeCell ref="M59:N59"/>
    <mergeCell ref="O59:P59"/>
    <mergeCell ref="Q60:R60"/>
    <mergeCell ref="S60:T60"/>
    <mergeCell ref="U60:X60"/>
    <mergeCell ref="C60:D60"/>
    <mergeCell ref="E60:F60"/>
    <mergeCell ref="G60:H60"/>
    <mergeCell ref="I60:J60"/>
    <mergeCell ref="K60:L60"/>
    <mergeCell ref="M60:N60"/>
    <mergeCell ref="O60:P60"/>
    <mergeCell ref="Q61:R61"/>
    <mergeCell ref="S61:T61"/>
    <mergeCell ref="U61:X61"/>
    <mergeCell ref="C61:D61"/>
    <mergeCell ref="E61:F61"/>
    <mergeCell ref="G61:H61"/>
    <mergeCell ref="I61:J61"/>
    <mergeCell ref="K61:L61"/>
    <mergeCell ref="M61:N61"/>
    <mergeCell ref="O61:P61"/>
    <mergeCell ref="Q62:R62"/>
    <mergeCell ref="S62:T62"/>
    <mergeCell ref="U62:X62"/>
    <mergeCell ref="C62:D62"/>
    <mergeCell ref="E62:F62"/>
    <mergeCell ref="G62:H62"/>
    <mergeCell ref="I62:J62"/>
    <mergeCell ref="K62:L62"/>
    <mergeCell ref="M62:N62"/>
    <mergeCell ref="O62:P62"/>
    <mergeCell ref="Q63:R63"/>
    <mergeCell ref="S63:T63"/>
    <mergeCell ref="U63:X63"/>
    <mergeCell ref="C63:D63"/>
    <mergeCell ref="E63:F63"/>
    <mergeCell ref="G63:H63"/>
    <mergeCell ref="I63:J63"/>
    <mergeCell ref="K63:L63"/>
    <mergeCell ref="M63:N63"/>
    <mergeCell ref="O63:P63"/>
    <mergeCell ref="Q64:R64"/>
    <mergeCell ref="S64:T64"/>
    <mergeCell ref="U64:X64"/>
    <mergeCell ref="C64:D64"/>
    <mergeCell ref="E64:F64"/>
    <mergeCell ref="G64:H64"/>
    <mergeCell ref="I64:J64"/>
    <mergeCell ref="K64:L64"/>
    <mergeCell ref="M64:N64"/>
    <mergeCell ref="O64:P64"/>
    <mergeCell ref="Q65:R65"/>
    <mergeCell ref="S65:T65"/>
    <mergeCell ref="U65:X65"/>
    <mergeCell ref="C65:D65"/>
    <mergeCell ref="E65:F65"/>
    <mergeCell ref="G65:H65"/>
    <mergeCell ref="I65:J65"/>
    <mergeCell ref="K65:L65"/>
    <mergeCell ref="M65:N65"/>
    <mergeCell ref="O65:P65"/>
    <mergeCell ref="Q66:R66"/>
    <mergeCell ref="S66:T66"/>
    <mergeCell ref="U66:X66"/>
    <mergeCell ref="C66:D66"/>
    <mergeCell ref="E66:F66"/>
    <mergeCell ref="G66:H66"/>
    <mergeCell ref="I66:J66"/>
    <mergeCell ref="K66:L66"/>
    <mergeCell ref="M66:N66"/>
    <mergeCell ref="O66:P66"/>
    <mergeCell ref="Q67:R67"/>
    <mergeCell ref="S67:T67"/>
    <mergeCell ref="U67:X67"/>
    <mergeCell ref="C67:D67"/>
    <mergeCell ref="E67:F67"/>
    <mergeCell ref="G67:H67"/>
    <mergeCell ref="I67:J67"/>
    <mergeCell ref="K67:L67"/>
    <mergeCell ref="M67:N67"/>
    <mergeCell ref="O67:P67"/>
    <mergeCell ref="Q68:R68"/>
    <mergeCell ref="S68:T68"/>
    <mergeCell ref="U68:X68"/>
    <mergeCell ref="C68:D68"/>
    <mergeCell ref="E68:F68"/>
    <mergeCell ref="G68:H68"/>
    <mergeCell ref="I68:J68"/>
    <mergeCell ref="K68:L68"/>
    <mergeCell ref="M68:N68"/>
    <mergeCell ref="O68:P68"/>
    <mergeCell ref="Q69:R69"/>
    <mergeCell ref="S69:T69"/>
    <mergeCell ref="U69:X69"/>
    <mergeCell ref="C69:D69"/>
    <mergeCell ref="E69:F69"/>
    <mergeCell ref="G69:H69"/>
    <mergeCell ref="I69:J69"/>
    <mergeCell ref="K69:L69"/>
    <mergeCell ref="M69:N69"/>
    <mergeCell ref="O69:P69"/>
    <mergeCell ref="Q70:R70"/>
    <mergeCell ref="S70:T70"/>
    <mergeCell ref="U70:X70"/>
    <mergeCell ref="C70:D70"/>
    <mergeCell ref="E70:F70"/>
    <mergeCell ref="G70:H70"/>
    <mergeCell ref="I70:J70"/>
    <mergeCell ref="K70:L70"/>
    <mergeCell ref="M70:N70"/>
    <mergeCell ref="O70:P70"/>
    <mergeCell ref="Q71:R71"/>
    <mergeCell ref="S71:T71"/>
    <mergeCell ref="U71:X71"/>
    <mergeCell ref="C71:D71"/>
    <mergeCell ref="E71:F71"/>
    <mergeCell ref="G71:H71"/>
    <mergeCell ref="I71:J71"/>
    <mergeCell ref="K71:L71"/>
    <mergeCell ref="M71:N71"/>
    <mergeCell ref="O71:P71"/>
    <mergeCell ref="Q72:R72"/>
    <mergeCell ref="S72:T72"/>
    <mergeCell ref="U72:X72"/>
    <mergeCell ref="C72:D72"/>
    <mergeCell ref="E72:F72"/>
    <mergeCell ref="G72:H72"/>
    <mergeCell ref="I72:J72"/>
    <mergeCell ref="K72:L72"/>
    <mergeCell ref="M72:N72"/>
    <mergeCell ref="O72:P72"/>
    <mergeCell ref="Q73:R73"/>
    <mergeCell ref="S73:T73"/>
    <mergeCell ref="U73:X73"/>
    <mergeCell ref="C73:D73"/>
    <mergeCell ref="E73:F73"/>
    <mergeCell ref="G73:H73"/>
    <mergeCell ref="I73:J73"/>
    <mergeCell ref="K73:L73"/>
    <mergeCell ref="M73:N73"/>
    <mergeCell ref="O73:P73"/>
    <mergeCell ref="Q74:R74"/>
    <mergeCell ref="S74:T74"/>
    <mergeCell ref="U74:X74"/>
    <mergeCell ref="C74:D74"/>
    <mergeCell ref="E74:F74"/>
    <mergeCell ref="G74:H74"/>
    <mergeCell ref="I74:J74"/>
    <mergeCell ref="K74:L74"/>
    <mergeCell ref="M74:N74"/>
    <mergeCell ref="O74:P74"/>
    <mergeCell ref="Q75:R75"/>
    <mergeCell ref="S75:T75"/>
    <mergeCell ref="U75:X75"/>
    <mergeCell ref="C75:D75"/>
    <mergeCell ref="E75:F75"/>
    <mergeCell ref="G75:H75"/>
    <mergeCell ref="I75:J75"/>
    <mergeCell ref="K75:L75"/>
    <mergeCell ref="M75:N75"/>
    <mergeCell ref="O75:P75"/>
    <mergeCell ref="Q76:R76"/>
    <mergeCell ref="S76:T76"/>
    <mergeCell ref="U76:X76"/>
    <mergeCell ref="C76:D76"/>
    <mergeCell ref="E76:F76"/>
    <mergeCell ref="G76:H76"/>
    <mergeCell ref="I76:J76"/>
    <mergeCell ref="K76:L76"/>
    <mergeCell ref="M76:N76"/>
    <mergeCell ref="O76:P76"/>
    <mergeCell ref="Q77:R77"/>
    <mergeCell ref="S77:T77"/>
    <mergeCell ref="U77:X77"/>
    <mergeCell ref="C77:D77"/>
    <mergeCell ref="E77:F77"/>
    <mergeCell ref="G77:H77"/>
    <mergeCell ref="I77:J77"/>
    <mergeCell ref="K77:L77"/>
    <mergeCell ref="M77:N77"/>
    <mergeCell ref="O77:P77"/>
    <mergeCell ref="Q78:R78"/>
    <mergeCell ref="S78:T78"/>
    <mergeCell ref="U78:X78"/>
    <mergeCell ref="C78:D78"/>
    <mergeCell ref="E78:F78"/>
    <mergeCell ref="G78:H78"/>
    <mergeCell ref="I78:J78"/>
    <mergeCell ref="K78:L78"/>
    <mergeCell ref="M78:N78"/>
    <mergeCell ref="O78:P78"/>
    <mergeCell ref="Q79:R79"/>
    <mergeCell ref="S79:T79"/>
    <mergeCell ref="U79:X79"/>
    <mergeCell ref="C79:D79"/>
    <mergeCell ref="E79:F79"/>
    <mergeCell ref="G79:H79"/>
    <mergeCell ref="I79:J79"/>
    <mergeCell ref="K79:L79"/>
    <mergeCell ref="M79:N79"/>
    <mergeCell ref="O79:P79"/>
    <mergeCell ref="Q80:R80"/>
    <mergeCell ref="S80:T80"/>
    <mergeCell ref="U80:X80"/>
    <mergeCell ref="C80:D80"/>
    <mergeCell ref="E80:F80"/>
    <mergeCell ref="G80:H80"/>
    <mergeCell ref="I80:J80"/>
    <mergeCell ref="K80:L80"/>
    <mergeCell ref="M80:N80"/>
    <mergeCell ref="O80:P80"/>
    <mergeCell ref="Q81:R81"/>
    <mergeCell ref="S81:T81"/>
    <mergeCell ref="U81:X81"/>
    <mergeCell ref="C81:D81"/>
    <mergeCell ref="E81:F81"/>
    <mergeCell ref="G81:H81"/>
    <mergeCell ref="I81:J81"/>
    <mergeCell ref="K81:L81"/>
    <mergeCell ref="M81:N81"/>
    <mergeCell ref="O81:P81"/>
    <mergeCell ref="Q82:R82"/>
    <mergeCell ref="S82:T82"/>
    <mergeCell ref="U82:X82"/>
    <mergeCell ref="C82:D82"/>
    <mergeCell ref="E82:F82"/>
    <mergeCell ref="G82:H82"/>
    <mergeCell ref="I82:J82"/>
    <mergeCell ref="K82:L82"/>
    <mergeCell ref="M82:N82"/>
    <mergeCell ref="O82:P82"/>
    <mergeCell ref="Q83:R83"/>
    <mergeCell ref="S83:T83"/>
    <mergeCell ref="U83:X83"/>
    <mergeCell ref="C83:D83"/>
    <mergeCell ref="E83:F83"/>
    <mergeCell ref="G83:H83"/>
    <mergeCell ref="I83:J83"/>
    <mergeCell ref="K83:L83"/>
    <mergeCell ref="M83:N83"/>
    <mergeCell ref="O83:P83"/>
    <mergeCell ref="Q84:R84"/>
    <mergeCell ref="S84:T84"/>
    <mergeCell ref="U84:X84"/>
    <mergeCell ref="C84:D84"/>
    <mergeCell ref="E84:F84"/>
    <mergeCell ref="G84:H84"/>
    <mergeCell ref="I84:J84"/>
    <mergeCell ref="K84:L84"/>
    <mergeCell ref="M84:N84"/>
    <mergeCell ref="O84:P84"/>
    <mergeCell ref="Q85:R85"/>
    <mergeCell ref="S85:T85"/>
    <mergeCell ref="U85:X85"/>
    <mergeCell ref="C85:D85"/>
    <mergeCell ref="E85:F85"/>
    <mergeCell ref="G85:H85"/>
    <mergeCell ref="I85:J85"/>
    <mergeCell ref="K85:L85"/>
    <mergeCell ref="M85:N85"/>
    <mergeCell ref="O85:P85"/>
    <mergeCell ref="Q86:R86"/>
    <mergeCell ref="S86:T86"/>
    <mergeCell ref="U86:X86"/>
    <mergeCell ref="C86:D86"/>
    <mergeCell ref="E86:F86"/>
    <mergeCell ref="G86:H86"/>
    <mergeCell ref="I86:J86"/>
    <mergeCell ref="K86:L86"/>
    <mergeCell ref="M86:N86"/>
    <mergeCell ref="O86:P86"/>
    <mergeCell ref="Q87:R87"/>
    <mergeCell ref="S87:T87"/>
    <mergeCell ref="U87:X87"/>
    <mergeCell ref="C87:D87"/>
    <mergeCell ref="E87:F87"/>
    <mergeCell ref="G87:H87"/>
    <mergeCell ref="I87:J87"/>
    <mergeCell ref="K87:L87"/>
    <mergeCell ref="M87:N87"/>
    <mergeCell ref="O87:P87"/>
    <mergeCell ref="Q88:R88"/>
    <mergeCell ref="S88:T88"/>
    <mergeCell ref="U88:X88"/>
    <mergeCell ref="C88:D88"/>
    <mergeCell ref="E88:F88"/>
    <mergeCell ref="G88:H88"/>
    <mergeCell ref="I88:J88"/>
    <mergeCell ref="K88:L88"/>
    <mergeCell ref="M88:N88"/>
    <mergeCell ref="O88:P88"/>
    <mergeCell ref="Q89:R89"/>
    <mergeCell ref="S89:T89"/>
    <mergeCell ref="U89:X89"/>
    <mergeCell ref="C89:D89"/>
    <mergeCell ref="E89:F89"/>
    <mergeCell ref="G89:H89"/>
    <mergeCell ref="I89:J89"/>
    <mergeCell ref="K89:L89"/>
    <mergeCell ref="M89:N89"/>
    <mergeCell ref="O89:P89"/>
    <mergeCell ref="Q90:R90"/>
    <mergeCell ref="S90:T90"/>
    <mergeCell ref="U90:X90"/>
    <mergeCell ref="C90:D90"/>
    <mergeCell ref="E90:F90"/>
    <mergeCell ref="G90:H90"/>
    <mergeCell ref="I90:J90"/>
    <mergeCell ref="K90:L90"/>
    <mergeCell ref="M90:N90"/>
    <mergeCell ref="O90:P90"/>
    <mergeCell ref="Q91:R91"/>
    <mergeCell ref="S91:T91"/>
    <mergeCell ref="U91:X91"/>
    <mergeCell ref="C91:D91"/>
    <mergeCell ref="E91:F91"/>
    <mergeCell ref="G91:H91"/>
    <mergeCell ref="I91:J91"/>
    <mergeCell ref="K91:L91"/>
    <mergeCell ref="M91:N91"/>
    <mergeCell ref="O91:P91"/>
    <mergeCell ref="Q92:R92"/>
    <mergeCell ref="S92:T92"/>
    <mergeCell ref="U92:X92"/>
    <mergeCell ref="C92:D92"/>
    <mergeCell ref="E92:F92"/>
    <mergeCell ref="G92:H92"/>
    <mergeCell ref="I92:J92"/>
    <mergeCell ref="K92:L92"/>
    <mergeCell ref="M92:N92"/>
    <mergeCell ref="O92:P92"/>
    <mergeCell ref="Q93:R93"/>
    <mergeCell ref="S93:T93"/>
    <mergeCell ref="U93:X93"/>
    <mergeCell ref="C93:D93"/>
    <mergeCell ref="E93:F93"/>
    <mergeCell ref="G93:H93"/>
    <mergeCell ref="I93:J93"/>
    <mergeCell ref="K93:L93"/>
    <mergeCell ref="M93:N93"/>
    <mergeCell ref="O93:P93"/>
    <mergeCell ref="Q94:R94"/>
    <mergeCell ref="S94:T94"/>
    <mergeCell ref="U94:X94"/>
    <mergeCell ref="C94:D94"/>
    <mergeCell ref="E94:F94"/>
    <mergeCell ref="G94:H94"/>
    <mergeCell ref="I94:J94"/>
    <mergeCell ref="K94:L94"/>
    <mergeCell ref="M94:N94"/>
    <mergeCell ref="O94:P94"/>
    <mergeCell ref="Q95:R95"/>
    <mergeCell ref="S95:T95"/>
    <mergeCell ref="U95:X95"/>
    <mergeCell ref="C95:D95"/>
    <mergeCell ref="E95:F95"/>
    <mergeCell ref="G95:H95"/>
    <mergeCell ref="I95:J95"/>
    <mergeCell ref="K95:L95"/>
    <mergeCell ref="M95:N95"/>
    <mergeCell ref="O95:P95"/>
    <mergeCell ref="Q96:R96"/>
    <mergeCell ref="S96:T96"/>
    <mergeCell ref="U96:X96"/>
    <mergeCell ref="C96:D96"/>
    <mergeCell ref="E96:F96"/>
    <mergeCell ref="G96:H96"/>
    <mergeCell ref="I96:J96"/>
    <mergeCell ref="K96:L96"/>
    <mergeCell ref="M96:N96"/>
    <mergeCell ref="O96:P96"/>
    <mergeCell ref="Q97:R97"/>
    <mergeCell ref="S97:T97"/>
    <mergeCell ref="U97:X97"/>
    <mergeCell ref="C97:D97"/>
    <mergeCell ref="E97:F97"/>
    <mergeCell ref="G97:H97"/>
    <mergeCell ref="I97:J97"/>
    <mergeCell ref="K97:L97"/>
    <mergeCell ref="M97:N97"/>
    <mergeCell ref="O97:P97"/>
    <mergeCell ref="Q98:R98"/>
    <mergeCell ref="S98:T98"/>
    <mergeCell ref="U98:X98"/>
    <mergeCell ref="C98:D98"/>
    <mergeCell ref="E98:F98"/>
    <mergeCell ref="G98:H98"/>
    <mergeCell ref="I98:J98"/>
    <mergeCell ref="K98:L98"/>
    <mergeCell ref="M98:N98"/>
    <mergeCell ref="O98:P98"/>
    <mergeCell ref="Q99:R99"/>
    <mergeCell ref="S99:T99"/>
    <mergeCell ref="U99:X99"/>
    <mergeCell ref="C99:D99"/>
    <mergeCell ref="E99:F99"/>
    <mergeCell ref="G99:H99"/>
    <mergeCell ref="I99:J99"/>
    <mergeCell ref="K99:L99"/>
    <mergeCell ref="M99:N99"/>
    <mergeCell ref="O99:P99"/>
    <mergeCell ref="Q100:R100"/>
    <mergeCell ref="S100:T100"/>
    <mergeCell ref="U100:X100"/>
    <mergeCell ref="C100:D100"/>
    <mergeCell ref="E100:F100"/>
    <mergeCell ref="G100:H100"/>
    <mergeCell ref="I100:J100"/>
    <mergeCell ref="K100:L100"/>
    <mergeCell ref="M100:N100"/>
    <mergeCell ref="O100:P100"/>
    <mergeCell ref="Q101:R101"/>
    <mergeCell ref="S101:T101"/>
    <mergeCell ref="U101:X101"/>
    <mergeCell ref="C101:D101"/>
    <mergeCell ref="E101:F101"/>
    <mergeCell ref="G101:H101"/>
    <mergeCell ref="I101:J101"/>
    <mergeCell ref="K101:L101"/>
    <mergeCell ref="M101:N101"/>
    <mergeCell ref="O101:P101"/>
    <mergeCell ref="Q102:R102"/>
    <mergeCell ref="S102:T102"/>
    <mergeCell ref="U102:X102"/>
    <mergeCell ref="C102:D102"/>
    <mergeCell ref="E102:F102"/>
    <mergeCell ref="G102:H102"/>
    <mergeCell ref="I102:J102"/>
    <mergeCell ref="K102:L102"/>
    <mergeCell ref="M102:N102"/>
    <mergeCell ref="O102:P102"/>
    <mergeCell ref="Q103:R103"/>
    <mergeCell ref="S103:T103"/>
    <mergeCell ref="U103:X103"/>
    <mergeCell ref="C103:D103"/>
    <mergeCell ref="E103:F103"/>
    <mergeCell ref="G103:H103"/>
    <mergeCell ref="I103:J103"/>
    <mergeCell ref="K103:L103"/>
    <mergeCell ref="M103:N103"/>
    <mergeCell ref="O103:P103"/>
    <mergeCell ref="Q104:R104"/>
    <mergeCell ref="S104:T104"/>
    <mergeCell ref="U104:X104"/>
    <mergeCell ref="C104:D104"/>
    <mergeCell ref="E104:F104"/>
    <mergeCell ref="G104:H104"/>
    <mergeCell ref="I104:J104"/>
    <mergeCell ref="K104:L104"/>
    <mergeCell ref="M104:N104"/>
    <mergeCell ref="O104:P104"/>
    <mergeCell ref="Q105:R105"/>
    <mergeCell ref="S105:T105"/>
    <mergeCell ref="U105:X105"/>
    <mergeCell ref="C105:D105"/>
    <mergeCell ref="E105:F105"/>
    <mergeCell ref="G105:H105"/>
    <mergeCell ref="I105:J105"/>
    <mergeCell ref="K105:L105"/>
    <mergeCell ref="M105:N105"/>
    <mergeCell ref="O105:P105"/>
    <mergeCell ref="Q106:R106"/>
    <mergeCell ref="S106:T106"/>
    <mergeCell ref="U106:X106"/>
    <mergeCell ref="C106:D106"/>
    <mergeCell ref="E106:F106"/>
    <mergeCell ref="G106:H106"/>
    <mergeCell ref="I106:J106"/>
    <mergeCell ref="K106:L106"/>
    <mergeCell ref="M106:N106"/>
    <mergeCell ref="O106:P106"/>
    <mergeCell ref="Q107:R107"/>
    <mergeCell ref="S107:T107"/>
    <mergeCell ref="U107:X107"/>
    <mergeCell ref="C107:D107"/>
    <mergeCell ref="E107:F107"/>
    <mergeCell ref="G107:H107"/>
    <mergeCell ref="I107:J107"/>
    <mergeCell ref="K107:L107"/>
    <mergeCell ref="M107:N107"/>
    <mergeCell ref="O107:P107"/>
    <mergeCell ref="Q108:R108"/>
    <mergeCell ref="S108:T108"/>
    <mergeCell ref="U108:X108"/>
    <mergeCell ref="C108:D108"/>
    <mergeCell ref="E108:F108"/>
    <mergeCell ref="G108:H108"/>
    <mergeCell ref="I108:J108"/>
    <mergeCell ref="K108:L108"/>
    <mergeCell ref="M108:N108"/>
    <mergeCell ref="O108:P108"/>
    <mergeCell ref="Q109:R109"/>
    <mergeCell ref="S109:T109"/>
    <mergeCell ref="U109:X109"/>
    <mergeCell ref="C109:D109"/>
    <mergeCell ref="E109:F109"/>
    <mergeCell ref="G109:H109"/>
    <mergeCell ref="I109:J109"/>
    <mergeCell ref="K109:L109"/>
    <mergeCell ref="M109:N109"/>
    <mergeCell ref="O109:P109"/>
    <mergeCell ref="Q110:R110"/>
    <mergeCell ref="S110:T110"/>
    <mergeCell ref="U110:X110"/>
    <mergeCell ref="C110:D110"/>
    <mergeCell ref="E110:F110"/>
    <mergeCell ref="G110:H110"/>
    <mergeCell ref="I110:J110"/>
    <mergeCell ref="K110:L110"/>
    <mergeCell ref="M110:N110"/>
    <mergeCell ref="O110:P110"/>
    <mergeCell ref="Q111:R111"/>
    <mergeCell ref="S111:T111"/>
    <mergeCell ref="U111:X111"/>
    <mergeCell ref="C111:D111"/>
    <mergeCell ref="E111:F111"/>
    <mergeCell ref="G111:H111"/>
    <mergeCell ref="I111:J111"/>
    <mergeCell ref="K111:L111"/>
    <mergeCell ref="M111:N111"/>
    <mergeCell ref="O111:P111"/>
    <mergeCell ref="Q161:R161"/>
    <mergeCell ref="S161:T161"/>
    <mergeCell ref="U161:X161"/>
    <mergeCell ref="C161:D161"/>
    <mergeCell ref="E161:F161"/>
    <mergeCell ref="G161:H161"/>
    <mergeCell ref="I161:J161"/>
    <mergeCell ref="K161:L161"/>
    <mergeCell ref="M161:N161"/>
    <mergeCell ref="O161:P161"/>
    <mergeCell ref="Q162:R162"/>
    <mergeCell ref="S162:T162"/>
    <mergeCell ref="U162:X162"/>
    <mergeCell ref="C162:D162"/>
    <mergeCell ref="E162:F162"/>
    <mergeCell ref="G162:H162"/>
    <mergeCell ref="I162:J162"/>
    <mergeCell ref="K162:L162"/>
    <mergeCell ref="M162:N162"/>
    <mergeCell ref="O162:P162"/>
    <mergeCell ref="Q163:R163"/>
    <mergeCell ref="S163:T163"/>
    <mergeCell ref="U163:X163"/>
    <mergeCell ref="C163:D163"/>
    <mergeCell ref="E163:F163"/>
    <mergeCell ref="G163:H163"/>
    <mergeCell ref="I163:J163"/>
    <mergeCell ref="K163:L163"/>
    <mergeCell ref="M163:N163"/>
    <mergeCell ref="O163:P163"/>
    <mergeCell ref="Q164:R164"/>
    <mergeCell ref="S164:T164"/>
    <mergeCell ref="U164:X164"/>
    <mergeCell ref="C164:D164"/>
    <mergeCell ref="E164:F164"/>
    <mergeCell ref="G164:H164"/>
    <mergeCell ref="I164:J164"/>
    <mergeCell ref="K164:L164"/>
    <mergeCell ref="M164:N164"/>
    <mergeCell ref="O164:P164"/>
    <mergeCell ref="Q165:R165"/>
    <mergeCell ref="S165:T165"/>
    <mergeCell ref="U165:X165"/>
    <mergeCell ref="C165:D165"/>
    <mergeCell ref="E165:F165"/>
    <mergeCell ref="G165:H165"/>
    <mergeCell ref="I165:J165"/>
    <mergeCell ref="K165:L165"/>
    <mergeCell ref="M165:N165"/>
    <mergeCell ref="O165:P165"/>
    <mergeCell ref="Q166:R166"/>
    <mergeCell ref="S166:T166"/>
    <mergeCell ref="U166:X166"/>
    <mergeCell ref="C166:D166"/>
    <mergeCell ref="E166:F166"/>
    <mergeCell ref="G166:H166"/>
    <mergeCell ref="I166:J166"/>
    <mergeCell ref="K166:L166"/>
    <mergeCell ref="M166:N166"/>
    <mergeCell ref="O166:P166"/>
    <mergeCell ref="Q167:R167"/>
    <mergeCell ref="S167:T167"/>
    <mergeCell ref="U167:X167"/>
    <mergeCell ref="C167:D167"/>
    <mergeCell ref="E167:F167"/>
    <mergeCell ref="G167:H167"/>
    <mergeCell ref="I167:J167"/>
    <mergeCell ref="K167:L167"/>
    <mergeCell ref="M167:N167"/>
    <mergeCell ref="O167:P167"/>
    <mergeCell ref="Q175:R175"/>
    <mergeCell ref="S175:T175"/>
    <mergeCell ref="U175:X175"/>
    <mergeCell ref="C175:D175"/>
    <mergeCell ref="E175:F175"/>
    <mergeCell ref="G175:H175"/>
    <mergeCell ref="I175:J175"/>
    <mergeCell ref="K175:L175"/>
    <mergeCell ref="M175:N175"/>
    <mergeCell ref="O175:P175"/>
    <mergeCell ref="B9:D9"/>
    <mergeCell ref="B11:X11"/>
    <mergeCell ref="B2:D2"/>
    <mergeCell ref="B3:D3"/>
    <mergeCell ref="B4:D4"/>
    <mergeCell ref="B5:D5"/>
    <mergeCell ref="B6:D6"/>
    <mergeCell ref="B7:D7"/>
    <mergeCell ref="B8:D8"/>
    <mergeCell ref="Q12:R12"/>
    <mergeCell ref="S12:T12"/>
    <mergeCell ref="U12:X12"/>
    <mergeCell ref="C12:D12"/>
    <mergeCell ref="E12:F12"/>
    <mergeCell ref="G12:H12"/>
    <mergeCell ref="I12:J12"/>
    <mergeCell ref="K12:L12"/>
    <mergeCell ref="M12:N12"/>
    <mergeCell ref="O12:P12"/>
    <mergeCell ref="Q13:R13"/>
    <mergeCell ref="S13:T13"/>
    <mergeCell ref="U13:X13"/>
    <mergeCell ref="C13:D13"/>
    <mergeCell ref="E13:F13"/>
    <mergeCell ref="G13:H13"/>
    <mergeCell ref="I13:J13"/>
    <mergeCell ref="K13:L13"/>
    <mergeCell ref="M13:N13"/>
    <mergeCell ref="O13:P13"/>
    <mergeCell ref="Q176:R176"/>
    <mergeCell ref="S176:T176"/>
    <mergeCell ref="U176:X176"/>
    <mergeCell ref="C176:D176"/>
    <mergeCell ref="E176:F176"/>
    <mergeCell ref="G176:H176"/>
    <mergeCell ref="I176:J176"/>
    <mergeCell ref="K176:L176"/>
    <mergeCell ref="M176:N176"/>
    <mergeCell ref="O176:P176"/>
    <mergeCell ref="Q168:R168"/>
    <mergeCell ref="S168:T168"/>
    <mergeCell ref="U168:X168"/>
    <mergeCell ref="C168:D168"/>
    <mergeCell ref="E168:F168"/>
    <mergeCell ref="G168:H168"/>
    <mergeCell ref="I168:J168"/>
    <mergeCell ref="K168:L168"/>
    <mergeCell ref="M168:N168"/>
    <mergeCell ref="O168:P168"/>
    <mergeCell ref="Q169:R169"/>
    <mergeCell ref="S169:T169"/>
    <mergeCell ref="U169:X169"/>
    <mergeCell ref="C169:D169"/>
    <mergeCell ref="E169:F169"/>
    <mergeCell ref="G169:H169"/>
    <mergeCell ref="I169:J169"/>
    <mergeCell ref="K169:L169"/>
    <mergeCell ref="M169:N169"/>
    <mergeCell ref="O169:P169"/>
    <mergeCell ref="Q170:R170"/>
    <mergeCell ref="S170:T170"/>
    <mergeCell ref="U170:X170"/>
    <mergeCell ref="C170:D170"/>
    <mergeCell ref="E170:F170"/>
    <mergeCell ref="G170:H170"/>
    <mergeCell ref="I170:J170"/>
    <mergeCell ref="K170:L170"/>
    <mergeCell ref="M170:N170"/>
    <mergeCell ref="O170:P170"/>
    <mergeCell ref="Q171:R171"/>
    <mergeCell ref="S171:T171"/>
    <mergeCell ref="U171:X171"/>
    <mergeCell ref="C171:D171"/>
    <mergeCell ref="E171:F171"/>
    <mergeCell ref="G171:H171"/>
    <mergeCell ref="I171:J171"/>
    <mergeCell ref="K171:L171"/>
    <mergeCell ref="M171:N171"/>
    <mergeCell ref="O171:P171"/>
    <mergeCell ref="Q172:R172"/>
    <mergeCell ref="S172:T172"/>
    <mergeCell ref="U172:X172"/>
    <mergeCell ref="C172:D172"/>
    <mergeCell ref="E172:F172"/>
    <mergeCell ref="G172:H172"/>
    <mergeCell ref="I172:J172"/>
    <mergeCell ref="K172:L172"/>
    <mergeCell ref="M172:N172"/>
    <mergeCell ref="O172:P172"/>
    <mergeCell ref="Q173:R173"/>
    <mergeCell ref="S173:T173"/>
    <mergeCell ref="U173:X173"/>
    <mergeCell ref="C173:D173"/>
    <mergeCell ref="E173:F173"/>
    <mergeCell ref="G173:H173"/>
    <mergeCell ref="I173:J173"/>
    <mergeCell ref="K173:L173"/>
    <mergeCell ref="M173:N173"/>
    <mergeCell ref="O173:P173"/>
    <mergeCell ref="Q174:R174"/>
    <mergeCell ref="S174:T174"/>
    <mergeCell ref="U174:X174"/>
    <mergeCell ref="C174:D174"/>
    <mergeCell ref="E174:F174"/>
    <mergeCell ref="G174:H174"/>
    <mergeCell ref="I174:J174"/>
    <mergeCell ref="K174:L174"/>
    <mergeCell ref="M174:N174"/>
    <mergeCell ref="O174:P174"/>
    <mergeCell ref="Q112:R112"/>
    <mergeCell ref="S112:T112"/>
    <mergeCell ref="U112:X112"/>
    <mergeCell ref="C112:D112"/>
    <mergeCell ref="E112:F112"/>
    <mergeCell ref="G112:H112"/>
    <mergeCell ref="I112:J112"/>
    <mergeCell ref="K112:L112"/>
    <mergeCell ref="M112:N112"/>
    <mergeCell ref="O112:P112"/>
    <mergeCell ref="Q113:R113"/>
    <mergeCell ref="S113:T113"/>
    <mergeCell ref="U113:X113"/>
    <mergeCell ref="C113:D113"/>
    <mergeCell ref="E113:F113"/>
    <mergeCell ref="G113:H113"/>
    <mergeCell ref="I113:J113"/>
    <mergeCell ref="K113:L113"/>
    <mergeCell ref="M113:N113"/>
    <mergeCell ref="O113:P113"/>
    <mergeCell ref="Q114:R114"/>
    <mergeCell ref="S114:T114"/>
    <mergeCell ref="U114:X114"/>
    <mergeCell ref="C114:D114"/>
    <mergeCell ref="E114:F114"/>
    <mergeCell ref="G114:H114"/>
    <mergeCell ref="I114:J114"/>
    <mergeCell ref="K114:L114"/>
    <mergeCell ref="M114:N114"/>
    <mergeCell ref="O114:P114"/>
    <mergeCell ref="Q115:R115"/>
    <mergeCell ref="S115:T115"/>
    <mergeCell ref="U115:X115"/>
    <mergeCell ref="C115:D115"/>
    <mergeCell ref="E115:F115"/>
    <mergeCell ref="G115:H115"/>
    <mergeCell ref="I115:J115"/>
    <mergeCell ref="K115:L115"/>
    <mergeCell ref="M115:N115"/>
    <mergeCell ref="O115:P115"/>
    <mergeCell ref="Q116:R116"/>
    <mergeCell ref="S116:T116"/>
    <mergeCell ref="U116:X116"/>
    <mergeCell ref="C116:D116"/>
    <mergeCell ref="E116:F116"/>
    <mergeCell ref="G116:H116"/>
    <mergeCell ref="I116:J116"/>
    <mergeCell ref="K116:L116"/>
    <mergeCell ref="M116:N116"/>
    <mergeCell ref="O116:P116"/>
    <mergeCell ref="Q117:R117"/>
    <mergeCell ref="S117:T117"/>
    <mergeCell ref="U117:X117"/>
    <mergeCell ref="C117:D117"/>
    <mergeCell ref="E117:F117"/>
    <mergeCell ref="G117:H117"/>
    <mergeCell ref="I117:J117"/>
    <mergeCell ref="K117:L117"/>
    <mergeCell ref="M117:N117"/>
    <mergeCell ref="O117:P117"/>
    <mergeCell ref="Q118:R118"/>
    <mergeCell ref="S118:T118"/>
    <mergeCell ref="U118:X118"/>
    <mergeCell ref="C118:D118"/>
    <mergeCell ref="E118:F118"/>
    <mergeCell ref="G118:H118"/>
    <mergeCell ref="I118:J118"/>
    <mergeCell ref="K118:L118"/>
    <mergeCell ref="M118:N118"/>
    <mergeCell ref="O118:P118"/>
    <mergeCell ref="Q119:R119"/>
    <mergeCell ref="S119:T119"/>
    <mergeCell ref="U119:X119"/>
    <mergeCell ref="C119:D119"/>
    <mergeCell ref="E119:F119"/>
    <mergeCell ref="G119:H119"/>
    <mergeCell ref="I119:J119"/>
    <mergeCell ref="K119:L119"/>
    <mergeCell ref="M119:N119"/>
    <mergeCell ref="O119:P119"/>
    <mergeCell ref="Q120:R120"/>
    <mergeCell ref="S120:T120"/>
    <mergeCell ref="U120:X120"/>
    <mergeCell ref="C120:D120"/>
    <mergeCell ref="E120:F120"/>
    <mergeCell ref="G120:H120"/>
    <mergeCell ref="I120:J120"/>
    <mergeCell ref="K120:L120"/>
    <mergeCell ref="M120:N120"/>
    <mergeCell ref="O120:P120"/>
    <mergeCell ref="Q121:R121"/>
    <mergeCell ref="S121:T121"/>
    <mergeCell ref="U121:X121"/>
    <mergeCell ref="C121:D121"/>
    <mergeCell ref="E121:F121"/>
    <mergeCell ref="G121:H121"/>
    <mergeCell ref="I121:J121"/>
    <mergeCell ref="K121:L121"/>
    <mergeCell ref="M121:N121"/>
    <mergeCell ref="O121:P121"/>
    <mergeCell ref="Q122:R122"/>
    <mergeCell ref="S122:T122"/>
    <mergeCell ref="U122:X122"/>
    <mergeCell ref="C122:D122"/>
    <mergeCell ref="E122:F122"/>
    <mergeCell ref="G122:H122"/>
    <mergeCell ref="I122:J122"/>
    <mergeCell ref="K122:L122"/>
    <mergeCell ref="M122:N122"/>
    <mergeCell ref="O122:P122"/>
    <mergeCell ref="Q123:R123"/>
    <mergeCell ref="S123:T123"/>
    <mergeCell ref="U123:X123"/>
    <mergeCell ref="C123:D123"/>
    <mergeCell ref="E123:F123"/>
    <mergeCell ref="G123:H123"/>
    <mergeCell ref="I123:J123"/>
    <mergeCell ref="K123:L123"/>
    <mergeCell ref="M123:N123"/>
    <mergeCell ref="O123:P123"/>
    <mergeCell ref="Q124:R124"/>
    <mergeCell ref="S124:T124"/>
    <mergeCell ref="U124:X124"/>
    <mergeCell ref="C124:D124"/>
    <mergeCell ref="E124:F124"/>
    <mergeCell ref="G124:H124"/>
    <mergeCell ref="I124:J124"/>
    <mergeCell ref="K124:L124"/>
    <mergeCell ref="M124:N124"/>
    <mergeCell ref="O124:P124"/>
    <mergeCell ref="Q125:R125"/>
    <mergeCell ref="S125:T125"/>
    <mergeCell ref="U125:X125"/>
    <mergeCell ref="C125:D125"/>
    <mergeCell ref="E125:F125"/>
    <mergeCell ref="G125:H125"/>
    <mergeCell ref="I125:J125"/>
    <mergeCell ref="K125:L125"/>
    <mergeCell ref="M125:N125"/>
    <mergeCell ref="O125:P125"/>
    <mergeCell ref="Q126:R126"/>
    <mergeCell ref="S126:T126"/>
    <mergeCell ref="U126:X126"/>
    <mergeCell ref="C126:D126"/>
    <mergeCell ref="E126:F126"/>
    <mergeCell ref="G126:H126"/>
    <mergeCell ref="I126:J126"/>
    <mergeCell ref="K126:L126"/>
    <mergeCell ref="M126:N126"/>
    <mergeCell ref="O126:P126"/>
    <mergeCell ref="Q127:R127"/>
    <mergeCell ref="S127:T127"/>
    <mergeCell ref="U127:X127"/>
    <mergeCell ref="C127:D127"/>
    <mergeCell ref="E127:F127"/>
    <mergeCell ref="G127:H127"/>
    <mergeCell ref="I127:J127"/>
    <mergeCell ref="K127:L127"/>
    <mergeCell ref="M127:N127"/>
    <mergeCell ref="O127:P127"/>
    <mergeCell ref="Q128:R128"/>
    <mergeCell ref="S128:T128"/>
    <mergeCell ref="U128:X128"/>
    <mergeCell ref="C128:D128"/>
    <mergeCell ref="E128:F128"/>
    <mergeCell ref="G128:H128"/>
    <mergeCell ref="I128:J128"/>
    <mergeCell ref="K128:L128"/>
    <mergeCell ref="M128:N128"/>
    <mergeCell ref="O128:P128"/>
    <mergeCell ref="Q129:R129"/>
    <mergeCell ref="S129:T129"/>
    <mergeCell ref="U129:X129"/>
    <mergeCell ref="C129:D129"/>
    <mergeCell ref="E129:F129"/>
    <mergeCell ref="G129:H129"/>
    <mergeCell ref="I129:J129"/>
    <mergeCell ref="K129:L129"/>
    <mergeCell ref="M129:N129"/>
    <mergeCell ref="O129:P129"/>
    <mergeCell ref="Q130:R130"/>
    <mergeCell ref="S130:T130"/>
    <mergeCell ref="U130:X130"/>
    <mergeCell ref="C130:D130"/>
    <mergeCell ref="E130:F130"/>
    <mergeCell ref="G130:H130"/>
    <mergeCell ref="I130:J130"/>
    <mergeCell ref="K130:L130"/>
    <mergeCell ref="M130:N130"/>
    <mergeCell ref="O130:P130"/>
    <mergeCell ref="Q131:R131"/>
    <mergeCell ref="S131:T131"/>
    <mergeCell ref="U131:X131"/>
    <mergeCell ref="C131:D131"/>
    <mergeCell ref="E131:F131"/>
    <mergeCell ref="G131:H131"/>
    <mergeCell ref="I131:J131"/>
    <mergeCell ref="K131:L131"/>
    <mergeCell ref="M131:N131"/>
    <mergeCell ref="O131:P131"/>
    <mergeCell ref="Q132:R132"/>
    <mergeCell ref="S132:T132"/>
    <mergeCell ref="U132:X132"/>
    <mergeCell ref="C132:D132"/>
    <mergeCell ref="E132:F132"/>
    <mergeCell ref="G132:H132"/>
    <mergeCell ref="I132:J132"/>
    <mergeCell ref="K132:L132"/>
    <mergeCell ref="M132:N132"/>
    <mergeCell ref="O132:P132"/>
    <mergeCell ref="Q133:R133"/>
    <mergeCell ref="S133:T133"/>
    <mergeCell ref="U133:X133"/>
    <mergeCell ref="C133:D133"/>
    <mergeCell ref="E133:F133"/>
    <mergeCell ref="G133:H133"/>
    <mergeCell ref="I133:J133"/>
    <mergeCell ref="K133:L133"/>
    <mergeCell ref="M133:N133"/>
    <mergeCell ref="O133:P133"/>
    <mergeCell ref="Q134:R134"/>
    <mergeCell ref="S134:T134"/>
    <mergeCell ref="U134:X134"/>
    <mergeCell ref="C134:D134"/>
    <mergeCell ref="E134:F134"/>
    <mergeCell ref="G134:H134"/>
    <mergeCell ref="I134:J134"/>
    <mergeCell ref="K134:L134"/>
    <mergeCell ref="M134:N134"/>
    <mergeCell ref="O134:P134"/>
    <mergeCell ref="Q135:R135"/>
    <mergeCell ref="S135:T135"/>
    <mergeCell ref="U135:X135"/>
    <mergeCell ref="C135:D135"/>
    <mergeCell ref="E135:F135"/>
    <mergeCell ref="G135:H135"/>
    <mergeCell ref="I135:J135"/>
    <mergeCell ref="K135:L135"/>
    <mergeCell ref="M135:N135"/>
    <mergeCell ref="O135:P135"/>
    <mergeCell ref="Q136:R136"/>
    <mergeCell ref="S136:T136"/>
    <mergeCell ref="U136:X136"/>
    <mergeCell ref="C136:D136"/>
    <mergeCell ref="E136:F136"/>
    <mergeCell ref="G136:H136"/>
    <mergeCell ref="I136:J136"/>
    <mergeCell ref="K136:L136"/>
    <mergeCell ref="M136:N136"/>
    <mergeCell ref="O136:P136"/>
    <mergeCell ref="Q137:R137"/>
    <mergeCell ref="S137:T137"/>
    <mergeCell ref="U137:X137"/>
    <mergeCell ref="C137:D137"/>
    <mergeCell ref="E137:F137"/>
    <mergeCell ref="G137:H137"/>
    <mergeCell ref="I137:J137"/>
    <mergeCell ref="K137:L137"/>
    <mergeCell ref="M137:N137"/>
    <mergeCell ref="O137:P137"/>
    <mergeCell ref="Q138:R138"/>
    <mergeCell ref="S138:T138"/>
    <mergeCell ref="U138:X138"/>
    <mergeCell ref="C138:D138"/>
    <mergeCell ref="E138:F138"/>
    <mergeCell ref="G138:H138"/>
    <mergeCell ref="I138:J138"/>
    <mergeCell ref="K138:L138"/>
    <mergeCell ref="M138:N138"/>
    <mergeCell ref="O138:P138"/>
    <mergeCell ref="Q139:R139"/>
    <mergeCell ref="S139:T139"/>
    <mergeCell ref="U139:X139"/>
    <mergeCell ref="C139:D139"/>
    <mergeCell ref="E139:F139"/>
    <mergeCell ref="G139:H139"/>
    <mergeCell ref="I139:J139"/>
    <mergeCell ref="K139:L139"/>
    <mergeCell ref="M139:N139"/>
    <mergeCell ref="O139:P139"/>
    <mergeCell ref="Q140:R140"/>
    <mergeCell ref="S140:T140"/>
    <mergeCell ref="U140:X140"/>
    <mergeCell ref="C140:D140"/>
    <mergeCell ref="E140:F140"/>
    <mergeCell ref="G140:H140"/>
    <mergeCell ref="I140:J140"/>
    <mergeCell ref="K140:L140"/>
    <mergeCell ref="M140:N140"/>
    <mergeCell ref="O140:P140"/>
    <mergeCell ref="Q141:R141"/>
    <mergeCell ref="S141:T141"/>
    <mergeCell ref="U141:X141"/>
    <mergeCell ref="C141:D141"/>
    <mergeCell ref="E141:F141"/>
    <mergeCell ref="G141:H141"/>
    <mergeCell ref="I141:J141"/>
    <mergeCell ref="K141:L141"/>
    <mergeCell ref="M141:N141"/>
    <mergeCell ref="O141:P141"/>
    <mergeCell ref="Q142:R142"/>
    <mergeCell ref="S142:T142"/>
    <mergeCell ref="U142:X142"/>
    <mergeCell ref="C142:D142"/>
    <mergeCell ref="E142:F142"/>
    <mergeCell ref="G142:H142"/>
    <mergeCell ref="I142:J142"/>
    <mergeCell ref="K142:L142"/>
    <mergeCell ref="M142:N142"/>
    <mergeCell ref="O142:P142"/>
    <mergeCell ref="Q143:R143"/>
    <mergeCell ref="S143:T143"/>
    <mergeCell ref="U143:X143"/>
    <mergeCell ref="C143:D143"/>
    <mergeCell ref="E143:F143"/>
    <mergeCell ref="G143:H143"/>
    <mergeCell ref="I143:J143"/>
    <mergeCell ref="K143:L143"/>
    <mergeCell ref="M143:N143"/>
    <mergeCell ref="O143:P143"/>
    <mergeCell ref="Q144:R144"/>
    <mergeCell ref="S144:T144"/>
    <mergeCell ref="U144:X144"/>
    <mergeCell ref="C144:D144"/>
    <mergeCell ref="E144:F144"/>
    <mergeCell ref="G144:H144"/>
    <mergeCell ref="I144:J144"/>
    <mergeCell ref="K144:L144"/>
    <mergeCell ref="M144:N144"/>
    <mergeCell ref="O144:P144"/>
    <mergeCell ref="Q145:R145"/>
    <mergeCell ref="S145:T145"/>
    <mergeCell ref="U145:X145"/>
    <mergeCell ref="C145:D145"/>
    <mergeCell ref="E145:F145"/>
    <mergeCell ref="G145:H145"/>
    <mergeCell ref="I145:J145"/>
    <mergeCell ref="K145:L145"/>
    <mergeCell ref="M145:N145"/>
    <mergeCell ref="O145:P145"/>
    <mergeCell ref="Q146:R146"/>
    <mergeCell ref="S146:T146"/>
    <mergeCell ref="U146:X146"/>
    <mergeCell ref="C146:D146"/>
    <mergeCell ref="E146:F146"/>
    <mergeCell ref="G146:H146"/>
    <mergeCell ref="I146:J146"/>
    <mergeCell ref="K146:L146"/>
    <mergeCell ref="M146:N146"/>
    <mergeCell ref="O146:P146"/>
    <mergeCell ref="Q147:R147"/>
    <mergeCell ref="S147:T147"/>
    <mergeCell ref="U147:X147"/>
    <mergeCell ref="C147:D147"/>
    <mergeCell ref="E147:F147"/>
    <mergeCell ref="G147:H147"/>
    <mergeCell ref="I147:J147"/>
    <mergeCell ref="K147:L147"/>
    <mergeCell ref="M147:N147"/>
    <mergeCell ref="O147:P147"/>
    <mergeCell ref="Q148:R148"/>
    <mergeCell ref="S148:T148"/>
    <mergeCell ref="U148:X148"/>
    <mergeCell ref="C148:D148"/>
    <mergeCell ref="E148:F148"/>
    <mergeCell ref="G148:H148"/>
    <mergeCell ref="I148:J148"/>
    <mergeCell ref="K148:L148"/>
    <mergeCell ref="M148:N148"/>
    <mergeCell ref="O148:P148"/>
    <mergeCell ref="Q149:R149"/>
    <mergeCell ref="S149:T149"/>
    <mergeCell ref="U149:X149"/>
    <mergeCell ref="C149:D149"/>
    <mergeCell ref="E149:F149"/>
    <mergeCell ref="G149:H149"/>
    <mergeCell ref="I149:J149"/>
    <mergeCell ref="K149:L149"/>
    <mergeCell ref="M149:N149"/>
    <mergeCell ref="O149:P149"/>
    <mergeCell ref="Q150:R150"/>
    <mergeCell ref="S150:T150"/>
    <mergeCell ref="U150:X150"/>
    <mergeCell ref="C150:D150"/>
    <mergeCell ref="E150:F150"/>
    <mergeCell ref="G150:H150"/>
    <mergeCell ref="I150:J150"/>
    <mergeCell ref="K150:L150"/>
    <mergeCell ref="M150:N150"/>
    <mergeCell ref="O150:P150"/>
    <mergeCell ref="Q151:R151"/>
    <mergeCell ref="S151:T151"/>
    <mergeCell ref="U151:X151"/>
    <mergeCell ref="C151:D151"/>
    <mergeCell ref="E151:F151"/>
    <mergeCell ref="G151:H151"/>
    <mergeCell ref="I151:J151"/>
    <mergeCell ref="K151:L151"/>
    <mergeCell ref="M151:N151"/>
    <mergeCell ref="O151:P151"/>
    <mergeCell ref="Q152:R152"/>
    <mergeCell ref="S152:T152"/>
    <mergeCell ref="U152:X152"/>
    <mergeCell ref="C152:D152"/>
    <mergeCell ref="E152:F152"/>
    <mergeCell ref="G152:H152"/>
    <mergeCell ref="I152:J152"/>
    <mergeCell ref="K152:L152"/>
    <mergeCell ref="M152:N152"/>
    <mergeCell ref="O152:P152"/>
    <mergeCell ref="Q153:R153"/>
    <mergeCell ref="S153:T153"/>
    <mergeCell ref="U153:X153"/>
    <mergeCell ref="C153:D153"/>
    <mergeCell ref="E153:F153"/>
    <mergeCell ref="G153:H153"/>
    <mergeCell ref="I153:J153"/>
    <mergeCell ref="K153:L153"/>
    <mergeCell ref="M153:N153"/>
    <mergeCell ref="O153:P153"/>
    <mergeCell ref="Q154:R154"/>
    <mergeCell ref="S154:T154"/>
    <mergeCell ref="U154:X154"/>
    <mergeCell ref="C154:D154"/>
    <mergeCell ref="E154:F154"/>
    <mergeCell ref="G154:H154"/>
    <mergeCell ref="I154:J154"/>
    <mergeCell ref="K154:L154"/>
    <mergeCell ref="M154:N154"/>
    <mergeCell ref="O154:P154"/>
    <mergeCell ref="Q155:R155"/>
    <mergeCell ref="S155:T155"/>
    <mergeCell ref="U155:X155"/>
    <mergeCell ref="C155:D155"/>
    <mergeCell ref="E155:F155"/>
    <mergeCell ref="G155:H155"/>
    <mergeCell ref="I155:J155"/>
    <mergeCell ref="K155:L155"/>
    <mergeCell ref="M155:N155"/>
    <mergeCell ref="O155:P155"/>
    <mergeCell ref="Q156:R156"/>
    <mergeCell ref="S156:T156"/>
    <mergeCell ref="U156:X156"/>
    <mergeCell ref="C156:D156"/>
    <mergeCell ref="E156:F156"/>
    <mergeCell ref="G156:H156"/>
    <mergeCell ref="I156:J156"/>
    <mergeCell ref="K156:L156"/>
    <mergeCell ref="M156:N156"/>
    <mergeCell ref="O156:P156"/>
    <mergeCell ref="Q157:R157"/>
    <mergeCell ref="S157:T157"/>
    <mergeCell ref="U157:X157"/>
    <mergeCell ref="C157:D157"/>
    <mergeCell ref="E157:F157"/>
    <mergeCell ref="G157:H157"/>
    <mergeCell ref="I157:J157"/>
    <mergeCell ref="K157:L157"/>
    <mergeCell ref="M157:N157"/>
    <mergeCell ref="O157:P157"/>
    <mergeCell ref="Q158:R158"/>
    <mergeCell ref="S158:T158"/>
    <mergeCell ref="U158:X158"/>
    <mergeCell ref="C158:D158"/>
    <mergeCell ref="E158:F158"/>
    <mergeCell ref="G158:H158"/>
    <mergeCell ref="I158:J158"/>
    <mergeCell ref="K158:L158"/>
    <mergeCell ref="M158:N158"/>
    <mergeCell ref="O158:P158"/>
    <mergeCell ref="Q159:R159"/>
    <mergeCell ref="S159:T159"/>
    <mergeCell ref="U159:X159"/>
    <mergeCell ref="C159:D159"/>
    <mergeCell ref="E159:F159"/>
    <mergeCell ref="G159:H159"/>
    <mergeCell ref="I159:J159"/>
    <mergeCell ref="K159:L159"/>
    <mergeCell ref="M159:N159"/>
    <mergeCell ref="O159:P159"/>
    <mergeCell ref="Q160:R160"/>
    <mergeCell ref="S160:T160"/>
    <mergeCell ref="U160:X160"/>
    <mergeCell ref="C160:D160"/>
    <mergeCell ref="E160:F160"/>
    <mergeCell ref="G160:H160"/>
    <mergeCell ref="I160:J160"/>
    <mergeCell ref="K160:L160"/>
    <mergeCell ref="M160:N160"/>
    <mergeCell ref="O160:P160"/>
  </mergeCells>
  <conditionalFormatting sqref="C157:D177">
    <cfRule type="expression" dxfId="4" priority="1">
      <formula>INDIRECT(CONCAT("D",ROW()))</formula>
    </cfRule>
  </conditionalFormatting>
  <conditionalFormatting sqref="C157:D177">
    <cfRule type="expression" dxfId="4" priority="2">
      <formula>INDIRECT(CONCAT("D",ROW()))</formula>
    </cfRule>
  </conditionalFormatting>
  <conditionalFormatting sqref="C141:D156">
    <cfRule type="expression" dxfId="4" priority="3">
      <formula>INDIRECT(CONCAT("D",ROW()))</formula>
    </cfRule>
  </conditionalFormatting>
  <conditionalFormatting sqref="C141:D156">
    <cfRule type="expression" dxfId="4" priority="4">
      <formula>INDIRECT(CONCAT("D",ROW()))</formula>
    </cfRule>
  </conditionalFormatting>
  <conditionalFormatting sqref="C120:D140">
    <cfRule type="expression" dxfId="4" priority="5">
      <formula>INDIRECT(CONCAT("D",ROW()))</formula>
    </cfRule>
  </conditionalFormatting>
  <conditionalFormatting sqref="C120:D140">
    <cfRule type="expression" dxfId="4" priority="6">
      <formula>INDIRECT(CONCAT("D",ROW()))</formula>
    </cfRule>
  </conditionalFormatting>
  <conditionalFormatting sqref="C90:D119">
    <cfRule type="expression" dxfId="4" priority="7">
      <formula>INDIRECT(CONCAT("D",ROW()))</formula>
    </cfRule>
  </conditionalFormatting>
  <conditionalFormatting sqref="C55:D89">
    <cfRule type="expression" dxfId="4" priority="8">
      <formula>INDIRECT(CONCAT("D",ROW()))</formula>
    </cfRule>
  </conditionalFormatting>
  <conditionalFormatting sqref="C29:D54">
    <cfRule type="expression" dxfId="4" priority="9">
      <formula>INDIRECT(CONCAT("D",ROW()))</formula>
    </cfRule>
  </conditionalFormatting>
  <conditionalFormatting sqref="C13:D26">
    <cfRule type="expression" dxfId="0" priority="10">
      <formula>INDIRECT(CONCAT("D",ROW()))</formula>
    </cfRule>
  </conditionalFormatting>
  <conditionalFormatting sqref="B13:B31">
    <cfRule type="expression" dxfId="0" priority="11">
      <formula>INDIRECT(CONCAT("D",ROW()))</formula>
    </cfRule>
  </conditionalFormatting>
  <hyperlinks>
    <hyperlink display="Cantrips" location="SuperList!B13:X28" ref="B3"/>
    <hyperlink display="1st Level Spells" location="SuperList!B29:X54" ref="B4"/>
    <hyperlink display="2nd Level Spells" location="SuperList!B55:X89" ref="B5"/>
    <hyperlink display="3rd Level Spells" location="SuperList!B90:X119" ref="B6"/>
    <hyperlink display="4th Level Spells" location="SuperList!B120:X140" ref="B7"/>
    <hyperlink display="5th Level Spells" location="SuperList!B141:X156" ref="B8"/>
    <hyperlink display="6th Level Spells" location="SuperList!B157:X176" ref="B9"/>
    <hyperlink r:id="rId1" ref="C13"/>
    <hyperlink r:id="rId2" ref="C14"/>
    <hyperlink r:id="rId3" ref="C15"/>
    <hyperlink r:id="rId4" ref="C16"/>
    <hyperlink r:id="rId5" ref="C17"/>
    <hyperlink r:id="rId6" ref="C18"/>
    <hyperlink r:id="rId7" ref="C19"/>
    <hyperlink r:id="rId8" ref="C20"/>
    <hyperlink r:id="rId9" ref="C21"/>
    <hyperlink r:id="rId10" ref="C22"/>
    <hyperlink r:id="rId11" ref="C23"/>
    <hyperlink r:id="rId12" ref="C24"/>
    <hyperlink r:id="rId13" ref="C25"/>
    <hyperlink r:id="rId14" ref="C26"/>
    <hyperlink r:id="rId15" ref="C27"/>
    <hyperlink r:id="rId16" ref="C28"/>
    <hyperlink r:id="rId17" ref="C29"/>
    <hyperlink r:id="rId18" ref="C30"/>
    <hyperlink r:id="rId19" ref="C31"/>
    <hyperlink r:id="rId20" ref="C32"/>
    <hyperlink r:id="rId21" ref="C33"/>
    <hyperlink r:id="rId22" ref="C34"/>
    <hyperlink r:id="rId23" ref="C35"/>
    <hyperlink r:id="rId24" ref="C36"/>
    <hyperlink r:id="rId25" ref="C37"/>
    <hyperlink r:id="rId26" ref="C38"/>
    <hyperlink r:id="rId27" ref="C39"/>
    <hyperlink r:id="rId28" ref="C40"/>
    <hyperlink r:id="rId29" ref="C41"/>
    <hyperlink r:id="rId30" ref="C42"/>
    <hyperlink r:id="rId31" ref="C43"/>
    <hyperlink r:id="rId32" ref="C44"/>
    <hyperlink r:id="rId33" ref="C45"/>
    <hyperlink r:id="rId34" ref="C46"/>
    <hyperlink r:id="rId35" ref="C47"/>
    <hyperlink r:id="rId36" ref="C48"/>
    <hyperlink r:id="rId37" ref="C49"/>
    <hyperlink r:id="rId38" ref="C50"/>
    <hyperlink r:id="rId39" ref="C51"/>
    <hyperlink r:id="rId40" ref="C52"/>
    <hyperlink r:id="rId41" ref="C53"/>
    <hyperlink r:id="rId42" ref="C54"/>
    <hyperlink r:id="rId43" ref="C55"/>
    <hyperlink r:id="rId44" ref="C56"/>
    <hyperlink r:id="rId45" ref="C57"/>
    <hyperlink r:id="rId46" ref="C58"/>
    <hyperlink r:id="rId47" ref="C59"/>
    <hyperlink r:id="rId48" ref="C60"/>
    <hyperlink r:id="rId49" ref="C61"/>
    <hyperlink r:id="rId50" ref="C62"/>
    <hyperlink r:id="rId51" ref="C63"/>
    <hyperlink r:id="rId52" ref="C64"/>
    <hyperlink r:id="rId53" ref="C65"/>
    <hyperlink r:id="rId54" ref="C66"/>
    <hyperlink r:id="rId55" ref="C67"/>
    <hyperlink r:id="rId56" ref="C68"/>
    <hyperlink r:id="rId57" ref="C69"/>
    <hyperlink r:id="rId58" ref="C70"/>
    <hyperlink r:id="rId59" ref="C71"/>
    <hyperlink r:id="rId60" ref="C72"/>
    <hyperlink r:id="rId61" ref="C73"/>
    <hyperlink r:id="rId62" ref="C74"/>
    <hyperlink r:id="rId63" ref="C75"/>
    <hyperlink r:id="rId64" ref="C76"/>
    <hyperlink r:id="rId65" ref="C77"/>
    <hyperlink r:id="rId66" ref="C78"/>
    <hyperlink r:id="rId67" ref="C79"/>
    <hyperlink r:id="rId68" ref="C80"/>
    <hyperlink r:id="rId69" ref="C81"/>
    <hyperlink r:id="rId70" ref="C82"/>
    <hyperlink r:id="rId71" ref="C83"/>
    <hyperlink r:id="rId72" ref="C84"/>
    <hyperlink r:id="rId73" ref="C85"/>
    <hyperlink r:id="rId74" ref="C86"/>
    <hyperlink r:id="rId75" ref="C87"/>
    <hyperlink r:id="rId76" ref="C88"/>
    <hyperlink r:id="rId77" ref="C89"/>
    <hyperlink r:id="rId78" ref="C90"/>
    <hyperlink r:id="rId79" ref="C91"/>
    <hyperlink r:id="rId80" ref="C92"/>
    <hyperlink r:id="rId81" ref="C93"/>
    <hyperlink r:id="rId82" ref="C94"/>
    <hyperlink r:id="rId83" ref="C95"/>
    <hyperlink r:id="rId84" ref="C96"/>
    <hyperlink r:id="rId85" ref="C97"/>
    <hyperlink r:id="rId86" ref="C98"/>
    <hyperlink r:id="rId87" ref="C99"/>
    <hyperlink r:id="rId88" ref="C100"/>
    <hyperlink r:id="rId89" ref="C101"/>
    <hyperlink r:id="rId90" ref="C102"/>
    <hyperlink r:id="rId91" ref="C103"/>
    <hyperlink r:id="rId92" ref="C104"/>
    <hyperlink r:id="rId93" ref="C105"/>
    <hyperlink r:id="rId94" ref="C106"/>
    <hyperlink r:id="rId95" ref="C107"/>
    <hyperlink r:id="rId96" ref="C108"/>
    <hyperlink r:id="rId97" ref="C109"/>
    <hyperlink r:id="rId98" ref="C110"/>
    <hyperlink r:id="rId99" ref="C111"/>
    <hyperlink r:id="rId100" ref="C112"/>
    <hyperlink r:id="rId101" ref="C113"/>
    <hyperlink r:id="rId102" ref="C114"/>
    <hyperlink r:id="rId103" ref="C115"/>
    <hyperlink r:id="rId104" ref="C116"/>
    <hyperlink r:id="rId105" ref="C117"/>
    <hyperlink r:id="rId106" ref="C118"/>
    <hyperlink r:id="rId107" ref="C119"/>
    <hyperlink r:id="rId108" ref="C120"/>
    <hyperlink r:id="rId109" ref="C121"/>
    <hyperlink r:id="rId110" ref="C122"/>
    <hyperlink r:id="rId111" ref="C123"/>
    <hyperlink r:id="rId112" ref="C124"/>
    <hyperlink r:id="rId113" ref="C125"/>
    <hyperlink r:id="rId114" ref="C126"/>
    <hyperlink r:id="rId115" ref="C127"/>
    <hyperlink r:id="rId116" ref="C128"/>
    <hyperlink r:id="rId117" ref="C129"/>
    <hyperlink r:id="rId118" ref="C130"/>
    <hyperlink r:id="rId119" ref="C131"/>
    <hyperlink r:id="rId120" ref="C132"/>
    <hyperlink r:id="rId121" ref="C133"/>
    <hyperlink r:id="rId122" ref="C134"/>
    <hyperlink r:id="rId123" ref="C135"/>
    <hyperlink r:id="rId124" ref="C136"/>
    <hyperlink r:id="rId125" ref="C137"/>
    <hyperlink r:id="rId126" ref="C138"/>
    <hyperlink r:id="rId127" ref="C139"/>
    <hyperlink r:id="rId128" ref="C140"/>
    <hyperlink r:id="rId129" ref="C141"/>
    <hyperlink r:id="rId130" ref="C142"/>
    <hyperlink r:id="rId131" ref="C143"/>
    <hyperlink r:id="rId132" ref="C144"/>
    <hyperlink r:id="rId133" ref="C145"/>
    <hyperlink r:id="rId134" ref="C146"/>
    <hyperlink r:id="rId135" ref="C147"/>
    <hyperlink r:id="rId136" ref="C148"/>
    <hyperlink r:id="rId137" ref="C149"/>
    <hyperlink r:id="rId138" ref="C150"/>
    <hyperlink r:id="rId139" ref="C151"/>
    <hyperlink r:id="rId140" ref="C152"/>
    <hyperlink r:id="rId141" ref="C153"/>
    <hyperlink r:id="rId142" ref="C154"/>
    <hyperlink r:id="rId143" ref="C155"/>
    <hyperlink r:id="rId144" ref="C156"/>
    <hyperlink r:id="rId145" ref="C157"/>
    <hyperlink r:id="rId146" ref="C158"/>
    <hyperlink r:id="rId147" ref="C159"/>
    <hyperlink r:id="rId148" ref="C160"/>
    <hyperlink r:id="rId149" ref="C161"/>
    <hyperlink r:id="rId150" ref="C162"/>
    <hyperlink r:id="rId151" ref="C163"/>
    <hyperlink r:id="rId152" ref="C164"/>
    <hyperlink r:id="rId153" ref="C165"/>
    <hyperlink r:id="rId154" ref="C166"/>
    <hyperlink r:id="rId155" ref="C167"/>
    <hyperlink r:id="rId156" ref="C168"/>
    <hyperlink r:id="rId157" ref="C169"/>
    <hyperlink r:id="rId158" ref="C170"/>
    <hyperlink r:id="rId159" ref="C171"/>
    <hyperlink r:id="rId160" ref="C172"/>
    <hyperlink r:id="rId161" ref="C173"/>
    <hyperlink r:id="rId162" ref="C174"/>
    <hyperlink r:id="rId163" ref="C175"/>
    <hyperlink r:id="rId164" ref="C176"/>
  </hyperlinks>
  <drawing r:id="rId1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80" t="s">
        <v>1</v>
      </c>
      <c r="B2" s="80" t="s">
        <v>535</v>
      </c>
      <c r="C2" s="80" t="s">
        <v>536</v>
      </c>
      <c r="D2" s="80" t="s">
        <v>537</v>
      </c>
      <c r="E2" s="80" t="s">
        <v>538</v>
      </c>
      <c r="F2" s="80" t="s">
        <v>539</v>
      </c>
      <c r="G2" s="80" t="s">
        <v>540</v>
      </c>
      <c r="H2" s="80" t="s">
        <v>541</v>
      </c>
      <c r="J2" s="80" t="s">
        <v>1</v>
      </c>
      <c r="K2" s="80" t="s">
        <v>535</v>
      </c>
      <c r="L2" s="80" t="s">
        <v>536</v>
      </c>
      <c r="M2" s="80" t="s">
        <v>537</v>
      </c>
      <c r="N2" s="80" t="s">
        <v>538</v>
      </c>
      <c r="O2" s="80" t="s">
        <v>539</v>
      </c>
      <c r="P2" s="80" t="s">
        <v>540</v>
      </c>
      <c r="Q2" s="80" t="s">
        <v>541</v>
      </c>
    </row>
    <row r="3">
      <c r="A3" s="80">
        <v>1.0</v>
      </c>
      <c r="B3" s="80">
        <v>2.0</v>
      </c>
      <c r="J3" s="80">
        <v>1.0</v>
      </c>
      <c r="K3" s="80">
        <v>4.0</v>
      </c>
    </row>
    <row r="4">
      <c r="A4" s="80">
        <v>2.0</v>
      </c>
      <c r="B4" s="80">
        <v>3.0</v>
      </c>
      <c r="C4" s="80">
        <v>0.0</v>
      </c>
      <c r="J4" s="80">
        <v>2.0</v>
      </c>
      <c r="K4" s="80">
        <v>5.0</v>
      </c>
      <c r="L4" s="80">
        <v>2.0</v>
      </c>
    </row>
    <row r="5">
      <c r="A5" s="80">
        <v>3.0</v>
      </c>
      <c r="B5" s="80">
        <v>3.0</v>
      </c>
      <c r="C5" s="80">
        <v>1.0</v>
      </c>
      <c r="J5" s="80">
        <v>3.0</v>
      </c>
      <c r="K5" s="80">
        <v>6.0</v>
      </c>
      <c r="L5" s="80">
        <v>3.0</v>
      </c>
    </row>
    <row r="6">
      <c r="A6" s="80">
        <v>4.0</v>
      </c>
      <c r="B6" s="80">
        <v>3.0</v>
      </c>
      <c r="C6" s="80">
        <v>2.0</v>
      </c>
      <c r="D6" s="80">
        <v>0.0</v>
      </c>
      <c r="J6" s="80">
        <v>4.0</v>
      </c>
      <c r="K6" s="80">
        <v>6.0</v>
      </c>
      <c r="L6" s="80">
        <v>3.0</v>
      </c>
      <c r="M6" s="80">
        <v>2.0</v>
      </c>
    </row>
    <row r="7">
      <c r="A7" s="80">
        <v>5.0</v>
      </c>
      <c r="B7" s="80">
        <v>3.0</v>
      </c>
      <c r="C7" s="80">
        <v>3.0</v>
      </c>
      <c r="D7" s="80">
        <v>1.0</v>
      </c>
      <c r="J7" s="80">
        <v>5.0</v>
      </c>
      <c r="K7" s="80">
        <v>6.0</v>
      </c>
      <c r="L7" s="80">
        <v>4.0</v>
      </c>
      <c r="M7" s="80">
        <v>3.0</v>
      </c>
    </row>
    <row r="8">
      <c r="A8" s="80">
        <v>6.0</v>
      </c>
      <c r="B8" s="80">
        <v>3.0</v>
      </c>
      <c r="C8" s="80">
        <v>3.0</v>
      </c>
      <c r="D8" s="80">
        <v>2.0</v>
      </c>
      <c r="J8" s="80">
        <v>6.0</v>
      </c>
      <c r="K8" s="80">
        <v>6.0</v>
      </c>
      <c r="L8" s="80">
        <v>4.0</v>
      </c>
      <c r="M8" s="80">
        <v>3.0</v>
      </c>
    </row>
    <row r="9">
      <c r="A9" s="80">
        <v>7.0</v>
      </c>
      <c r="B9" s="80">
        <v>3.0</v>
      </c>
      <c r="C9" s="80">
        <v>3.0</v>
      </c>
      <c r="D9" s="80">
        <v>2.0</v>
      </c>
      <c r="E9" s="80">
        <v>0.0</v>
      </c>
      <c r="J9" s="80">
        <v>7.0</v>
      </c>
      <c r="K9" s="80">
        <v>6.0</v>
      </c>
      <c r="L9" s="80">
        <v>4.0</v>
      </c>
      <c r="M9" s="80">
        <v>4.0</v>
      </c>
      <c r="N9" s="80">
        <v>2.0</v>
      </c>
    </row>
    <row r="10">
      <c r="A10" s="80">
        <v>8.0</v>
      </c>
      <c r="B10" s="80">
        <v>3.0</v>
      </c>
      <c r="C10" s="80">
        <v>3.0</v>
      </c>
      <c r="D10" s="80">
        <v>3.0</v>
      </c>
      <c r="E10" s="80">
        <v>1.0</v>
      </c>
      <c r="J10" s="80">
        <v>8.0</v>
      </c>
      <c r="K10" s="80">
        <v>6.0</v>
      </c>
      <c r="L10" s="80">
        <v>4.0</v>
      </c>
      <c r="M10" s="80">
        <v>4.0</v>
      </c>
      <c r="N10" s="80">
        <v>3.0</v>
      </c>
    </row>
    <row r="11">
      <c r="A11" s="80">
        <v>9.0</v>
      </c>
      <c r="B11" s="80">
        <v>3.0</v>
      </c>
      <c r="C11" s="80">
        <v>3.0</v>
      </c>
      <c r="D11" s="80">
        <v>3.0</v>
      </c>
      <c r="E11" s="80">
        <v>2.0</v>
      </c>
      <c r="J11" s="80">
        <v>9.0</v>
      </c>
      <c r="K11" s="80">
        <v>6.0</v>
      </c>
      <c r="L11" s="80">
        <v>4.0</v>
      </c>
      <c r="M11" s="80">
        <v>4.0</v>
      </c>
      <c r="N11" s="80">
        <v>3.0</v>
      </c>
    </row>
    <row r="12">
      <c r="A12" s="80">
        <v>10.0</v>
      </c>
      <c r="B12" s="80">
        <v>3.0</v>
      </c>
      <c r="C12" s="80">
        <v>3.0</v>
      </c>
      <c r="D12" s="80">
        <v>3.0</v>
      </c>
      <c r="E12" s="80">
        <v>2.0</v>
      </c>
      <c r="F12" s="80">
        <v>0.0</v>
      </c>
      <c r="J12" s="80">
        <v>10.0</v>
      </c>
      <c r="K12" s="80">
        <v>6.0</v>
      </c>
      <c r="L12" s="80">
        <v>4.0</v>
      </c>
      <c r="M12" s="80">
        <v>4.0</v>
      </c>
      <c r="N12" s="80">
        <v>4.0</v>
      </c>
      <c r="O12" s="80">
        <v>2.0</v>
      </c>
    </row>
    <row r="13">
      <c r="A13" s="80">
        <v>11.0</v>
      </c>
      <c r="B13" s="80">
        <v>3.0</v>
      </c>
      <c r="C13" s="80">
        <v>3.0</v>
      </c>
      <c r="D13" s="80">
        <v>3.0</v>
      </c>
      <c r="E13" s="80">
        <v>3.0</v>
      </c>
      <c r="F13" s="80">
        <v>1.0</v>
      </c>
      <c r="J13" s="80">
        <v>11.0</v>
      </c>
      <c r="K13" s="80">
        <v>6.0</v>
      </c>
      <c r="L13" s="80">
        <v>4.0</v>
      </c>
      <c r="M13" s="80">
        <v>4.0</v>
      </c>
      <c r="N13" s="80">
        <v>4.0</v>
      </c>
      <c r="O13" s="80">
        <v>3.0</v>
      </c>
    </row>
    <row r="14">
      <c r="A14" s="80">
        <v>12.0</v>
      </c>
      <c r="B14" s="80">
        <v>3.0</v>
      </c>
      <c r="C14" s="80">
        <v>3.0</v>
      </c>
      <c r="D14" s="80">
        <v>3.0</v>
      </c>
      <c r="E14" s="80">
        <v>3.0</v>
      </c>
      <c r="F14" s="80">
        <v>2.0</v>
      </c>
      <c r="J14" s="80">
        <v>12.0</v>
      </c>
      <c r="K14" s="80">
        <v>6.0</v>
      </c>
      <c r="L14" s="80">
        <v>4.0</v>
      </c>
      <c r="M14" s="80">
        <v>4.0</v>
      </c>
      <c r="N14" s="80">
        <v>4.0</v>
      </c>
      <c r="O14" s="80">
        <v>3.0</v>
      </c>
    </row>
    <row r="15">
      <c r="A15" s="80">
        <v>13.0</v>
      </c>
      <c r="B15" s="80">
        <v>3.0</v>
      </c>
      <c r="C15" s="80">
        <v>3.0</v>
      </c>
      <c r="D15" s="80">
        <v>3.0</v>
      </c>
      <c r="E15" s="80">
        <v>3.0</v>
      </c>
      <c r="F15" s="80">
        <v>2.0</v>
      </c>
      <c r="G15" s="80">
        <v>0.0</v>
      </c>
      <c r="J15" s="80">
        <v>13.0</v>
      </c>
      <c r="K15" s="80">
        <v>6.0</v>
      </c>
      <c r="L15" s="80">
        <v>4.0</v>
      </c>
      <c r="M15" s="80">
        <v>4.0</v>
      </c>
      <c r="N15" s="80">
        <v>4.0</v>
      </c>
      <c r="O15" s="80">
        <v>4.0</v>
      </c>
      <c r="P15" s="80">
        <v>2.0</v>
      </c>
    </row>
    <row r="16">
      <c r="A16" s="80">
        <v>14.0</v>
      </c>
      <c r="B16" s="80">
        <v>4.0</v>
      </c>
      <c r="C16" s="80">
        <v>3.0</v>
      </c>
      <c r="D16" s="80">
        <v>3.0</v>
      </c>
      <c r="E16" s="80">
        <v>3.0</v>
      </c>
      <c r="F16" s="80">
        <v>3.0</v>
      </c>
      <c r="G16" s="80">
        <v>1.0</v>
      </c>
      <c r="J16" s="80">
        <v>14.0</v>
      </c>
      <c r="K16" s="80">
        <v>6.0</v>
      </c>
      <c r="L16" s="80">
        <v>4.0</v>
      </c>
      <c r="M16" s="80">
        <v>4.0</v>
      </c>
      <c r="N16" s="80">
        <v>4.0</v>
      </c>
      <c r="O16" s="80">
        <v>4.0</v>
      </c>
      <c r="P16" s="80">
        <v>3.0</v>
      </c>
    </row>
    <row r="17">
      <c r="A17" s="80">
        <v>15.0</v>
      </c>
      <c r="B17" s="80">
        <v>4.0</v>
      </c>
      <c r="C17" s="80">
        <v>4.0</v>
      </c>
      <c r="D17" s="80">
        <v>3.0</v>
      </c>
      <c r="E17" s="80">
        <v>3.0</v>
      </c>
      <c r="F17" s="80">
        <v>3.0</v>
      </c>
      <c r="G17" s="80">
        <v>2.0</v>
      </c>
      <c r="J17" s="80">
        <v>15.0</v>
      </c>
      <c r="K17" s="80">
        <v>6.0</v>
      </c>
      <c r="L17" s="80">
        <v>4.0</v>
      </c>
      <c r="M17" s="80">
        <v>4.0</v>
      </c>
      <c r="N17" s="80">
        <v>4.0</v>
      </c>
      <c r="O17" s="80">
        <v>4.0</v>
      </c>
      <c r="P17" s="80">
        <v>3.0</v>
      </c>
    </row>
    <row r="18">
      <c r="A18" s="80">
        <v>16.0</v>
      </c>
      <c r="B18" s="80">
        <v>4.0</v>
      </c>
      <c r="C18" s="80">
        <v>4.0</v>
      </c>
      <c r="D18" s="80">
        <v>4.0</v>
      </c>
      <c r="E18" s="80">
        <v>3.0</v>
      </c>
      <c r="F18" s="80">
        <v>3.0</v>
      </c>
      <c r="G18" s="80">
        <v>2.0</v>
      </c>
      <c r="H18" s="80">
        <v>0.0</v>
      </c>
      <c r="J18" s="80">
        <v>16.0</v>
      </c>
      <c r="K18" s="80">
        <v>6.0</v>
      </c>
      <c r="L18" s="80">
        <v>5.0</v>
      </c>
      <c r="M18" s="80">
        <v>4.0</v>
      </c>
      <c r="N18" s="80">
        <v>4.0</v>
      </c>
      <c r="O18" s="80">
        <v>4.0</v>
      </c>
      <c r="P18" s="80">
        <v>4.0</v>
      </c>
      <c r="Q18" s="80">
        <v>2.0</v>
      </c>
    </row>
    <row r="19">
      <c r="A19" s="80">
        <v>17.0</v>
      </c>
      <c r="B19" s="80">
        <v>4.0</v>
      </c>
      <c r="C19" s="80">
        <v>4.0</v>
      </c>
      <c r="D19" s="80">
        <v>4.0</v>
      </c>
      <c r="E19" s="80">
        <v>4.0</v>
      </c>
      <c r="F19" s="80">
        <v>3.0</v>
      </c>
      <c r="G19" s="80">
        <v>3.0</v>
      </c>
      <c r="H19" s="80">
        <v>1.0</v>
      </c>
      <c r="J19" s="80">
        <v>17.0</v>
      </c>
      <c r="K19" s="80">
        <v>6.0</v>
      </c>
      <c r="L19" s="80">
        <v>5.0</v>
      </c>
      <c r="M19" s="80">
        <v>5.0</v>
      </c>
      <c r="N19" s="80">
        <v>4.0</v>
      </c>
      <c r="O19" s="80">
        <v>4.0</v>
      </c>
      <c r="P19" s="80">
        <v>4.0</v>
      </c>
      <c r="Q19" s="80">
        <v>3.0</v>
      </c>
    </row>
    <row r="20">
      <c r="A20" s="80">
        <v>18.0</v>
      </c>
      <c r="B20" s="80">
        <v>4.0</v>
      </c>
      <c r="C20" s="80">
        <v>4.0</v>
      </c>
      <c r="D20" s="80">
        <v>4.0</v>
      </c>
      <c r="E20" s="80">
        <v>4.0</v>
      </c>
      <c r="F20" s="80">
        <v>4.0</v>
      </c>
      <c r="G20" s="80">
        <v>3.0</v>
      </c>
      <c r="H20" s="80">
        <v>2.0</v>
      </c>
      <c r="J20" s="80">
        <v>18.0</v>
      </c>
      <c r="K20" s="80">
        <v>6.0</v>
      </c>
      <c r="L20" s="80">
        <v>5.0</v>
      </c>
      <c r="M20" s="80">
        <v>5.0</v>
      </c>
      <c r="N20" s="80">
        <v>5.0</v>
      </c>
      <c r="O20" s="80">
        <v>4.0</v>
      </c>
      <c r="P20" s="80">
        <v>4.0</v>
      </c>
      <c r="Q20" s="80">
        <v>3.0</v>
      </c>
    </row>
    <row r="21">
      <c r="A21" s="80">
        <v>19.0</v>
      </c>
      <c r="B21" s="80">
        <v>4.0</v>
      </c>
      <c r="C21" s="80">
        <v>4.0</v>
      </c>
      <c r="D21" s="80">
        <v>4.0</v>
      </c>
      <c r="E21" s="80">
        <v>4.0</v>
      </c>
      <c r="F21" s="80">
        <v>4.0</v>
      </c>
      <c r="G21" s="80">
        <v>4.0</v>
      </c>
      <c r="H21" s="80">
        <v>3.0</v>
      </c>
      <c r="J21" s="80">
        <v>19.0</v>
      </c>
      <c r="K21" s="80">
        <v>6.0</v>
      </c>
      <c r="L21" s="80">
        <v>5.0</v>
      </c>
      <c r="M21" s="80">
        <v>5.0</v>
      </c>
      <c r="N21" s="80">
        <v>5.0</v>
      </c>
      <c r="O21" s="80">
        <v>5.0</v>
      </c>
      <c r="P21" s="80">
        <v>4.0</v>
      </c>
      <c r="Q21" s="80">
        <v>4.0</v>
      </c>
    </row>
    <row r="22">
      <c r="A22" s="80">
        <v>20.0</v>
      </c>
      <c r="B22" s="80">
        <v>4.0</v>
      </c>
      <c r="C22" s="80">
        <v>4.0</v>
      </c>
      <c r="D22" s="80">
        <v>4.0</v>
      </c>
      <c r="E22" s="80">
        <v>4.0</v>
      </c>
      <c r="F22" s="80">
        <v>4.0</v>
      </c>
      <c r="G22" s="80">
        <v>4.0</v>
      </c>
      <c r="H22" s="80">
        <v>4.0</v>
      </c>
      <c r="J22" s="80">
        <v>20.0</v>
      </c>
      <c r="K22" s="80">
        <v>6.0</v>
      </c>
      <c r="L22" s="80">
        <v>5.0</v>
      </c>
      <c r="M22" s="80">
        <v>5.0</v>
      </c>
      <c r="N22" s="80">
        <v>5.0</v>
      </c>
      <c r="O22" s="80">
        <v>5.0</v>
      </c>
      <c r="P22" s="80">
        <v>5.0</v>
      </c>
      <c r="Q22" s="80">
        <v>4.0</v>
      </c>
    </row>
    <row r="25">
      <c r="A25" s="80" t="s">
        <v>2</v>
      </c>
      <c r="B25" s="80" t="s">
        <v>536</v>
      </c>
      <c r="C25" s="80" t="s">
        <v>537</v>
      </c>
      <c r="D25" s="80" t="s">
        <v>538</v>
      </c>
      <c r="E25" s="80" t="s">
        <v>539</v>
      </c>
      <c r="F25" s="80" t="s">
        <v>540</v>
      </c>
      <c r="G25" s="80" t="s">
        <v>541</v>
      </c>
    </row>
    <row r="26">
      <c r="A26" s="80">
        <v>-5.0</v>
      </c>
    </row>
    <row r="27">
      <c r="A27" s="80">
        <v>-4.0</v>
      </c>
    </row>
    <row r="28">
      <c r="A28" s="80">
        <v>-3.0</v>
      </c>
    </row>
    <row r="29">
      <c r="A29" s="80">
        <v>-2.0</v>
      </c>
    </row>
    <row r="30">
      <c r="A30" s="80">
        <v>-1.0</v>
      </c>
    </row>
    <row r="31">
      <c r="A31" s="80">
        <v>0.0</v>
      </c>
    </row>
    <row r="32">
      <c r="A32" s="80">
        <v>1.0</v>
      </c>
      <c r="B32" s="80">
        <v>1.0</v>
      </c>
    </row>
    <row r="33">
      <c r="A33" s="80">
        <v>2.0</v>
      </c>
      <c r="B33" s="80">
        <v>1.0</v>
      </c>
      <c r="C33" s="80">
        <v>1.0</v>
      </c>
    </row>
    <row r="34">
      <c r="A34" s="80">
        <v>3.0</v>
      </c>
      <c r="B34" s="80">
        <v>1.0</v>
      </c>
      <c r="C34" s="80">
        <v>1.0</v>
      </c>
      <c r="D34" s="80">
        <v>1.0</v>
      </c>
    </row>
    <row r="35">
      <c r="A35" s="80">
        <v>4.0</v>
      </c>
      <c r="B35" s="80">
        <v>1.0</v>
      </c>
      <c r="C35" s="80">
        <v>1.0</v>
      </c>
      <c r="D35" s="80">
        <v>1.0</v>
      </c>
      <c r="E35" s="80">
        <v>1.0</v>
      </c>
    </row>
    <row r="36">
      <c r="A36" s="80">
        <v>5.0</v>
      </c>
      <c r="B36" s="80">
        <v>2.0</v>
      </c>
      <c r="C36" s="80">
        <v>1.0</v>
      </c>
      <c r="D36" s="80">
        <v>1.0</v>
      </c>
      <c r="E36" s="80">
        <v>1.0</v>
      </c>
      <c r="F36" s="80">
        <v>1.0</v>
      </c>
    </row>
    <row r="37">
      <c r="A37" s="80">
        <v>6.0</v>
      </c>
      <c r="B37" s="80">
        <v>2.0</v>
      </c>
      <c r="C37" s="80">
        <v>2.0</v>
      </c>
      <c r="D37" s="80">
        <v>1.0</v>
      </c>
      <c r="E37" s="80">
        <v>1.0</v>
      </c>
      <c r="F37" s="80">
        <v>1.0</v>
      </c>
      <c r="G37" s="80">
        <v>1.0</v>
      </c>
    </row>
    <row r="38">
      <c r="A38" s="80">
        <v>7.0</v>
      </c>
      <c r="B38" s="80">
        <v>2.0</v>
      </c>
      <c r="C38" s="80">
        <v>2.0</v>
      </c>
      <c r="D38" s="80">
        <v>2.0</v>
      </c>
      <c r="E38" s="80">
        <v>1.0</v>
      </c>
      <c r="F38" s="80">
        <v>1.0</v>
      </c>
      <c r="G38" s="80">
        <v>1.0</v>
      </c>
    </row>
    <row r="39">
      <c r="A39" s="80">
        <v>8.0</v>
      </c>
      <c r="B39" s="80">
        <v>2.0</v>
      </c>
      <c r="C39" s="80">
        <v>2.0</v>
      </c>
      <c r="D39" s="80">
        <v>2.0</v>
      </c>
      <c r="E39" s="80">
        <v>2.0</v>
      </c>
      <c r="F39" s="80">
        <v>1.0</v>
      </c>
      <c r="G39" s="80">
        <v>1.0</v>
      </c>
    </row>
    <row r="40">
      <c r="A40" s="80">
        <v>9.0</v>
      </c>
      <c r="B40" s="80">
        <v>3.0</v>
      </c>
      <c r="C40" s="80">
        <v>2.0</v>
      </c>
      <c r="D40" s="80">
        <v>2.0</v>
      </c>
      <c r="E40" s="80">
        <v>2.0</v>
      </c>
      <c r="F40" s="80">
        <v>2.0</v>
      </c>
      <c r="G40" s="80">
        <v>1.0</v>
      </c>
    </row>
    <row r="41">
      <c r="A41" s="80">
        <v>10.0</v>
      </c>
      <c r="B41" s="80">
        <v>3.0</v>
      </c>
      <c r="C41" s="80">
        <v>3.0</v>
      </c>
      <c r="D41" s="80">
        <v>2.0</v>
      </c>
      <c r="E41" s="80">
        <v>2.0</v>
      </c>
      <c r="F41" s="80">
        <v>2.0</v>
      </c>
      <c r="G41" s="80">
        <v>2.0</v>
      </c>
    </row>
    <row r="42">
      <c r="A42" s="80">
        <v>11.0</v>
      </c>
      <c r="B42" s="80">
        <v>3.0</v>
      </c>
      <c r="C42" s="80">
        <v>3.0</v>
      </c>
      <c r="D42" s="80">
        <v>3.0</v>
      </c>
      <c r="E42" s="80">
        <v>2.0</v>
      </c>
      <c r="F42" s="80">
        <v>2.0</v>
      </c>
      <c r="G42" s="80">
        <v>2.0</v>
      </c>
    </row>
    <row r="43">
      <c r="A43" s="80">
        <v>12.0</v>
      </c>
      <c r="B43" s="80">
        <v>3.0</v>
      </c>
      <c r="C43" s="80">
        <v>3.0</v>
      </c>
      <c r="D43" s="80">
        <v>3.0</v>
      </c>
      <c r="E43" s="80">
        <v>3.0</v>
      </c>
      <c r="F43" s="80">
        <v>2.0</v>
      </c>
      <c r="G43" s="80">
        <v>2.0</v>
      </c>
    </row>
    <row r="44">
      <c r="A44" s="80">
        <v>13.0</v>
      </c>
      <c r="B44" s="80">
        <v>4.0</v>
      </c>
      <c r="C44" s="80">
        <v>3.0</v>
      </c>
      <c r="D44" s="80">
        <v>3.0</v>
      </c>
      <c r="E44" s="80">
        <v>3.0</v>
      </c>
      <c r="F44" s="80">
        <v>3.0</v>
      </c>
      <c r="G44" s="80">
        <v>2.0</v>
      </c>
    </row>
    <row r="45">
      <c r="A45" s="80">
        <v>14.0</v>
      </c>
      <c r="B45" s="80">
        <v>4.0</v>
      </c>
      <c r="C45" s="80">
        <v>4.0</v>
      </c>
      <c r="D45" s="80">
        <v>3.0</v>
      </c>
      <c r="E45" s="80">
        <v>3.0</v>
      </c>
      <c r="F45" s="80">
        <v>3.0</v>
      </c>
      <c r="G45" s="80">
        <v>3.0</v>
      </c>
    </row>
    <row r="46">
      <c r="A46" s="80">
        <v>15.0</v>
      </c>
      <c r="B46" s="80">
        <v>4.0</v>
      </c>
      <c r="C46" s="80">
        <v>4.0</v>
      </c>
      <c r="D46" s="80">
        <v>4.0</v>
      </c>
      <c r="E46" s="80">
        <v>3.0</v>
      </c>
      <c r="F46" s="80">
        <v>3.0</v>
      </c>
      <c r="G46" s="80">
        <v>3.0</v>
      </c>
    </row>
    <row r="47">
      <c r="A47" s="80">
        <v>16.0</v>
      </c>
      <c r="B47" s="80">
        <v>4.0</v>
      </c>
      <c r="C47" s="80">
        <v>4.0</v>
      </c>
      <c r="D47" s="80">
        <v>4.0</v>
      </c>
      <c r="E47" s="80">
        <v>4.0</v>
      </c>
      <c r="F47" s="80">
        <v>3.0</v>
      </c>
      <c r="G47" s="80">
        <v>3.0</v>
      </c>
    </row>
    <row r="48">
      <c r="A48" s="80">
        <v>17.0</v>
      </c>
      <c r="B48" s="80">
        <v>5.0</v>
      </c>
      <c r="C48" s="80">
        <v>4.0</v>
      </c>
      <c r="D48" s="80">
        <v>4.0</v>
      </c>
      <c r="E48" s="80">
        <v>4.0</v>
      </c>
      <c r="F48" s="80">
        <v>4.0</v>
      </c>
      <c r="G48" s="80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14.43"/>
  </cols>
  <sheetData>
    <row r="1"/>
    <row r="2"/>
    <row r="3"/>
    <row r="4">
      <c r="B4" s="81" t="str">
        <f>SuperList!B13&amp;" "&amp;SuperList!C13</f>
        <v>0 Dancing Lights</v>
      </c>
    </row>
    <row r="5">
      <c r="B5" s="81" t="str">
        <f>SuperList!B14&amp;" "&amp;SuperList!C14</f>
        <v>0 Daze</v>
      </c>
    </row>
    <row r="6">
      <c r="B6" s="81" t="str">
        <f>SuperList!B15&amp;" "&amp;SuperList!C15</f>
        <v>0 Detect Magic</v>
      </c>
    </row>
    <row r="7">
      <c r="B7" s="81" t="str">
        <f>SuperList!B16&amp;" "&amp;SuperList!C16</f>
        <v>0 Flare</v>
      </c>
    </row>
    <row r="8">
      <c r="B8" s="81" t="str">
        <f>SuperList!B17&amp;" "&amp;SuperList!C17</f>
        <v>0 Ghost Sound</v>
      </c>
    </row>
    <row r="9">
      <c r="B9" s="81" t="str">
        <f>SuperList!B18&amp;" "&amp;SuperList!C18</f>
        <v>0 Know Direction</v>
      </c>
    </row>
    <row r="10">
      <c r="B10" s="81" t="str">
        <f>SuperList!B19&amp;" "&amp;SuperList!C19</f>
        <v>0 Light</v>
      </c>
    </row>
    <row r="11">
      <c r="B11" s="81" t="str">
        <f>SuperList!B20&amp;" "&amp;SuperList!C20</f>
        <v>0 Lullaby</v>
      </c>
    </row>
    <row r="12">
      <c r="B12" s="81" t="str">
        <f>SuperList!B21&amp;" "&amp;SuperList!C21</f>
        <v>0 Mage Hand</v>
      </c>
    </row>
    <row r="13">
      <c r="B13" s="81" t="str">
        <f>SuperList!B22&amp;" "&amp;SuperList!C22</f>
        <v>0 Mending</v>
      </c>
    </row>
    <row r="14">
      <c r="B14" s="81" t="str">
        <f>SuperList!B23&amp;" "&amp;SuperList!C23</f>
        <v>0 Message</v>
      </c>
    </row>
    <row r="15">
      <c r="B15" s="81" t="str">
        <f>SuperList!B24&amp;" "&amp;SuperList!C24</f>
        <v>0 Open/Close</v>
      </c>
    </row>
    <row r="16">
      <c r="B16" s="81" t="str">
        <f>SuperList!B25&amp;" "&amp;SuperList!C25</f>
        <v>0 Prestidigitation</v>
      </c>
    </row>
    <row r="17">
      <c r="B17" s="81" t="str">
        <f>SuperList!B26&amp;" "&amp;SuperList!C26</f>
        <v>0 Read Magic</v>
      </c>
    </row>
    <row r="18">
      <c r="B18" s="81" t="str">
        <f>SuperList!B27&amp;" "&amp;SuperList!C27</f>
        <v>0 Resistance</v>
      </c>
    </row>
    <row r="19">
      <c r="B19" s="81" t="str">
        <f>SuperList!B28&amp;" "&amp;SuperList!C28</f>
        <v>0 Summon Instrument</v>
      </c>
    </row>
    <row r="20">
      <c r="B20" s="81" t="str">
        <f>SuperList!B29&amp;" "&amp;SuperList!C29</f>
        <v>1 Alarm</v>
      </c>
    </row>
    <row r="21">
      <c r="B21" s="81" t="str">
        <f>SuperList!B30&amp;" "&amp;SuperList!C30</f>
        <v>1 Animate Rope</v>
      </c>
    </row>
    <row r="22">
      <c r="B22" s="81" t="str">
        <f>SuperList!B31&amp;" "&amp;SuperList!C31</f>
        <v>1 Cause Fear</v>
      </c>
    </row>
    <row r="23">
      <c r="B23" s="81" t="str">
        <f>SuperList!B32&amp;" "&amp;SuperList!C32</f>
        <v>1 Charm Person</v>
      </c>
    </row>
    <row r="24">
      <c r="B24" s="81" t="str">
        <f>SuperList!B33&amp;" "&amp;SuperList!C33</f>
        <v>1 Comprehend Languages</v>
      </c>
    </row>
    <row r="25">
      <c r="B25" s="81" t="str">
        <f>SuperList!B34&amp;" "&amp;SuperList!C34</f>
        <v>1 Lesser Confusion</v>
      </c>
    </row>
    <row r="26">
      <c r="B26" s="81" t="str">
        <f>SuperList!B35&amp;" "&amp;SuperList!C35</f>
        <v>1 Cure Light Wounds</v>
      </c>
    </row>
    <row r="27">
      <c r="B27" s="81" t="str">
        <f>SuperList!B36&amp;" "&amp;SuperList!C36</f>
        <v>1 Detect Secret Doors</v>
      </c>
    </row>
    <row r="28">
      <c r="B28" s="81" t="str">
        <f>SuperList!B37&amp;" "&amp;SuperList!C37</f>
        <v>1 Disguise Self</v>
      </c>
    </row>
    <row r="29">
      <c r="B29" s="81" t="str">
        <f>SuperList!B38&amp;" "&amp;SuperList!C38</f>
        <v>1 Erase</v>
      </c>
    </row>
    <row r="30">
      <c r="B30" s="81" t="str">
        <f>SuperList!B39&amp;" "&amp;SuperList!C39</f>
        <v>1 Expeditious Retreat</v>
      </c>
    </row>
    <row r="31">
      <c r="B31" s="81" t="str">
        <f>SuperList!B40&amp;" "&amp;SuperList!C40</f>
        <v>1 Feather Falling</v>
      </c>
    </row>
    <row r="32">
      <c r="B32" s="81" t="str">
        <f>SuperList!B41&amp;" "&amp;SuperList!C41</f>
        <v>1 Grease</v>
      </c>
    </row>
    <row r="33">
      <c r="B33" s="81" t="str">
        <f>SuperList!B42&amp;" "&amp;SuperList!C42</f>
        <v>1 Tasha's Hideous Laughter</v>
      </c>
    </row>
    <row r="34">
      <c r="B34" s="81" t="str">
        <f>SuperList!B43&amp;" "&amp;SuperList!C43</f>
        <v>1 Hypnotism</v>
      </c>
    </row>
    <row r="35">
      <c r="B35" s="81" t="str">
        <f>SuperList!B44&amp;" "&amp;SuperList!C44</f>
        <v>1 Identify</v>
      </c>
    </row>
    <row r="36">
      <c r="B36" s="81" t="str">
        <f>SuperList!B45&amp;" "&amp;SuperList!C45</f>
        <v>1 Magic Mouth</v>
      </c>
    </row>
    <row r="37">
      <c r="B37" s="81" t="str">
        <f>SuperList!B46&amp;" "&amp;SuperList!C46</f>
        <v>1 Nystul's Magic Aura</v>
      </c>
    </row>
    <row r="38">
      <c r="B38" s="81" t="str">
        <f>SuperList!B47&amp;" "&amp;SuperList!C47</f>
        <v>1 Obscure Object</v>
      </c>
    </row>
    <row r="39">
      <c r="B39" s="81" t="str">
        <f>SuperList!B48&amp;" "&amp;SuperList!C48</f>
        <v>1 Remove Fear</v>
      </c>
    </row>
    <row r="40">
      <c r="B40" s="81" t="str">
        <f>SuperList!B49&amp;" "&amp;SuperList!C49</f>
        <v>1 Silent Image</v>
      </c>
    </row>
    <row r="41">
      <c r="B41" s="81" t="str">
        <f>SuperList!B50&amp;" "&amp;SuperList!C50</f>
        <v>1 Sleep</v>
      </c>
    </row>
    <row r="42">
      <c r="B42" s="81" t="str">
        <f>SuperList!B51&amp;" "&amp;SuperList!C51</f>
        <v>1 Summon Monster I</v>
      </c>
    </row>
    <row r="43">
      <c r="B43" s="81" t="str">
        <f>SuperList!B52&amp;" "&amp;SuperList!C52</f>
        <v>1 Undetectable Alignment</v>
      </c>
    </row>
    <row r="44">
      <c r="B44" s="81" t="str">
        <f>SuperList!B53&amp;" "&amp;SuperList!C53</f>
        <v>1 Unseen Servant</v>
      </c>
    </row>
    <row r="45">
      <c r="B45" s="81" t="str">
        <f>SuperList!B54&amp;" "&amp;SuperList!C54</f>
        <v>1 Ventriloquism</v>
      </c>
    </row>
    <row r="46">
      <c r="B46" s="81" t="str">
        <f>SuperList!B55&amp;" "&amp;SuperList!C55</f>
        <v>2 Alter Self</v>
      </c>
    </row>
    <row r="47">
      <c r="B47" s="81" t="str">
        <f>SuperList!B56&amp;" "&amp;SuperList!C56</f>
        <v>2 Animal Messenger</v>
      </c>
    </row>
    <row r="48">
      <c r="B48" s="81" t="str">
        <f>SuperList!B57&amp;" "&amp;SuperList!C57</f>
        <v>2 Animal Trance</v>
      </c>
    </row>
    <row r="49">
      <c r="B49" s="81" t="str">
        <f>SuperList!B58&amp;" "&amp;SuperList!C58</f>
        <v>2 Blindness/Deafness</v>
      </c>
    </row>
    <row r="50">
      <c r="B50" s="81" t="str">
        <f>SuperList!B59&amp;" "&amp;SuperList!C59</f>
        <v>2 Blur</v>
      </c>
    </row>
    <row r="51">
      <c r="B51" s="81" t="str">
        <f>SuperList!B60&amp;" "&amp;SuperList!C60</f>
        <v>2 Calm Emotions</v>
      </c>
    </row>
    <row r="52">
      <c r="B52" s="81" t="str">
        <f>SuperList!B61&amp;" "&amp;SuperList!C61</f>
        <v>2 Cat's Grace</v>
      </c>
    </row>
    <row r="53">
      <c r="B53" s="81" t="str">
        <f>SuperList!B62&amp;" "&amp;SuperList!C62</f>
        <v>2 Cure Moderate Wounds</v>
      </c>
    </row>
    <row r="54">
      <c r="B54" s="81" t="str">
        <f>SuperList!B63&amp;" "&amp;SuperList!C63</f>
        <v>2 Darkness</v>
      </c>
    </row>
    <row r="55">
      <c r="B55" s="81" t="str">
        <f>SuperList!B64&amp;" "&amp;SuperList!C64</f>
        <v>2 Daze Monster</v>
      </c>
    </row>
    <row r="56">
      <c r="B56" s="81" t="str">
        <f>SuperList!B65&amp;" "&amp;SuperList!C65</f>
        <v>2 Delay Posion</v>
      </c>
    </row>
    <row r="57">
      <c r="B57" s="81" t="str">
        <f>SuperList!B66&amp;" "&amp;SuperList!C66</f>
        <v>2 Detect Thoughts</v>
      </c>
    </row>
    <row r="58">
      <c r="B58" s="81" t="str">
        <f>SuperList!B67&amp;" "&amp;SuperList!C67</f>
        <v>2 Eagle's Splendor</v>
      </c>
    </row>
    <row r="59">
      <c r="B59" s="81" t="str">
        <f>SuperList!B68&amp;" "&amp;SuperList!C68</f>
        <v>2 Enthrall</v>
      </c>
    </row>
    <row r="60">
      <c r="B60" s="81" t="str">
        <f>SuperList!B69&amp;" "&amp;SuperList!C69</f>
        <v>2 Fox's Cunning</v>
      </c>
    </row>
    <row r="61">
      <c r="B61" s="81" t="str">
        <f>SuperList!B70&amp;" "&amp;SuperList!C70</f>
        <v>2 Glitterdust</v>
      </c>
    </row>
    <row r="62">
      <c r="B62" s="81" t="str">
        <f>SuperList!B71&amp;" "&amp;SuperList!C71</f>
        <v>2 Heroism</v>
      </c>
    </row>
    <row r="63">
      <c r="B63" s="81" t="str">
        <f>SuperList!B72&amp;" "&amp;SuperList!C72</f>
        <v>2 Hold Person</v>
      </c>
    </row>
    <row r="64">
      <c r="B64" s="81" t="str">
        <f>SuperList!B73&amp;" "&amp;SuperList!C73</f>
        <v>2 Hypnotic Pattern</v>
      </c>
    </row>
    <row r="65">
      <c r="B65" s="81" t="str">
        <f>SuperList!B74&amp;" "&amp;SuperList!C74</f>
        <v>2 Invisibility</v>
      </c>
    </row>
    <row r="66">
      <c r="B66" s="81" t="str">
        <f>SuperList!B75&amp;" "&amp;SuperList!C75</f>
        <v>2 Locate Object</v>
      </c>
    </row>
    <row r="67">
      <c r="B67" s="81" t="str">
        <f>SuperList!B76&amp;" "&amp;SuperList!C76</f>
        <v>2 Minor Image</v>
      </c>
    </row>
    <row r="68">
      <c r="B68" s="81" t="str">
        <f>SuperList!B77&amp;" "&amp;SuperList!C77</f>
        <v>2 Mirror Image</v>
      </c>
    </row>
    <row r="69">
      <c r="B69" s="81" t="str">
        <f>SuperList!B78&amp;" "&amp;SuperList!C78</f>
        <v>2 Misdirection</v>
      </c>
    </row>
    <row r="70">
      <c r="B70" s="81" t="str">
        <f>SuperList!B79&amp;" "&amp;SuperList!C79</f>
        <v>2 Pyrotechnics</v>
      </c>
    </row>
    <row r="71">
      <c r="B71" s="81" t="str">
        <f>SuperList!B80&amp;" "&amp;SuperList!C80</f>
        <v>2 Rage</v>
      </c>
    </row>
    <row r="72">
      <c r="B72" s="81" t="str">
        <f>SuperList!B81&amp;" "&amp;SuperList!C81</f>
        <v>2 Scare</v>
      </c>
    </row>
    <row r="73">
      <c r="B73" s="81" t="str">
        <f>SuperList!B82&amp;" "&amp;SuperList!C82</f>
        <v>2 Shatter</v>
      </c>
    </row>
    <row r="74">
      <c r="B74" s="81" t="str">
        <f>SuperList!B83&amp;" "&amp;SuperList!C83</f>
        <v>2 Silence</v>
      </c>
    </row>
    <row r="75">
      <c r="B75" s="81" t="str">
        <f>SuperList!B84&amp;" "&amp;SuperList!C84</f>
        <v>2 Sound Burst</v>
      </c>
    </row>
    <row r="76">
      <c r="B76" s="81" t="str">
        <f>SuperList!B85&amp;" "&amp;SuperList!C85</f>
        <v>2 Suggestion</v>
      </c>
    </row>
    <row r="77">
      <c r="B77" s="81" t="str">
        <f>SuperList!B86&amp;" "&amp;SuperList!C86</f>
        <v>2 Summon Monster II</v>
      </c>
    </row>
    <row r="78">
      <c r="B78" s="81" t="str">
        <f>SuperList!B87&amp;" "&amp;SuperList!C87</f>
        <v>2 Summon Swarm</v>
      </c>
    </row>
    <row r="79">
      <c r="B79" s="81" t="str">
        <f>SuperList!B88&amp;" "&amp;SuperList!C88</f>
        <v>2 Tongues</v>
      </c>
    </row>
    <row r="80">
      <c r="B80" s="81" t="str">
        <f>SuperList!B89&amp;" "&amp;SuperList!C89</f>
        <v>2 Whispering Winds</v>
      </c>
    </row>
    <row r="81">
      <c r="B81" s="81" t="str">
        <f>SuperList!B90&amp;" "&amp;SuperList!C90</f>
        <v>3 Blink</v>
      </c>
    </row>
    <row r="82">
      <c r="B82" s="81" t="str">
        <f>SuperList!B91&amp;" "&amp;SuperList!C91</f>
        <v>3 Charm Monster</v>
      </c>
    </row>
    <row r="83">
      <c r="B83" s="81" t="str">
        <f>SuperList!B92&amp;" "&amp;SuperList!C92</f>
        <v>3 Clairaudience
Clairvoyance</v>
      </c>
    </row>
    <row r="84">
      <c r="B84" s="81" t="str">
        <f>SuperList!B93&amp;" "&amp;SuperList!C93</f>
        <v>3 Confusion</v>
      </c>
    </row>
    <row r="85">
      <c r="B85" s="81" t="str">
        <f>SuperList!B94&amp;" "&amp;SuperList!C94</f>
        <v>3 Crushing Despair</v>
      </c>
    </row>
    <row r="86">
      <c r="B86" s="81" t="str">
        <f>SuperList!B95&amp;" "&amp;SuperList!C95</f>
        <v>3 Cure Serious Wounds</v>
      </c>
    </row>
    <row r="87">
      <c r="B87" s="81" t="str">
        <f>SuperList!B96&amp;" "&amp;SuperList!C96</f>
        <v>3 Daylight</v>
      </c>
    </row>
    <row r="88">
      <c r="B88" s="81" t="str">
        <f>SuperList!B97&amp;" "&amp;SuperList!C97</f>
        <v>3 Deep Slumber</v>
      </c>
    </row>
    <row r="89">
      <c r="B89" s="81" t="str">
        <f>SuperList!B98&amp;" "&amp;SuperList!C98</f>
        <v>3 Dispel Magic</v>
      </c>
    </row>
    <row r="90">
      <c r="B90" s="81" t="str">
        <f>SuperList!B99&amp;" "&amp;SuperList!C99</f>
        <v>3 Displacement</v>
      </c>
    </row>
    <row r="91">
      <c r="B91" s="81" t="str">
        <f>SuperList!B100&amp;" "&amp;SuperList!C100</f>
        <v>3 Fear</v>
      </c>
    </row>
    <row r="92">
      <c r="B92" s="81" t="str">
        <f>SuperList!B101&amp;" "&amp;SuperList!C101</f>
        <v>3 Gaseous Form</v>
      </c>
    </row>
    <row r="93">
      <c r="B93" s="81" t="str">
        <f>SuperList!B102&amp;" "&amp;SuperList!C102</f>
        <v>3 Lesser Geas</v>
      </c>
    </row>
    <row r="94">
      <c r="B94" s="81" t="str">
        <f>SuperList!B103&amp;" "&amp;SuperList!C103</f>
        <v>3 Glibness</v>
      </c>
    </row>
    <row r="95">
      <c r="B95" s="81" t="str">
        <f>SuperList!B104&amp;" "&amp;SuperList!C104</f>
        <v>3 Good Hope</v>
      </c>
    </row>
    <row r="96">
      <c r="B96" s="81" t="str">
        <f>SuperList!B105&amp;" "&amp;SuperList!C105</f>
        <v>3 Haste</v>
      </c>
    </row>
    <row r="97">
      <c r="B97" s="81" t="str">
        <f>SuperList!B106&amp;" "&amp;SuperList!C106</f>
        <v>3 Illusory Script</v>
      </c>
    </row>
    <row r="98">
      <c r="B98" s="81" t="str">
        <f>SuperList!B107&amp;" "&amp;SuperList!C107</f>
        <v>3 Invisibility Sphere</v>
      </c>
    </row>
    <row r="99">
      <c r="B99" s="81" t="str">
        <f>SuperList!B108&amp;" "&amp;SuperList!C108</f>
        <v>3 Major Image</v>
      </c>
    </row>
    <row r="100">
      <c r="B100" s="81" t="str">
        <f>SuperList!B109&amp;" "&amp;SuperList!C109</f>
        <v>3 Phantom Steed</v>
      </c>
    </row>
    <row r="101">
      <c r="B101" s="81" t="str">
        <f>SuperList!B110&amp;" "&amp;SuperList!C110</f>
        <v>3 Remove Curse</v>
      </c>
    </row>
    <row r="102">
      <c r="B102" s="81" t="str">
        <f>SuperList!B111&amp;" "&amp;SuperList!C111</f>
        <v>3 Scrying</v>
      </c>
    </row>
    <row r="103">
      <c r="B103" s="81" t="str">
        <f>SuperList!B112&amp;" "&amp;SuperList!C112</f>
        <v>3 Sculpt Sound</v>
      </c>
    </row>
    <row r="104">
      <c r="B104" s="81" t="str">
        <f>SuperList!B113&amp;" "&amp;SuperList!C113</f>
        <v>3 Secret page</v>
      </c>
    </row>
    <row r="105">
      <c r="B105" s="81" t="str">
        <f>SuperList!B114&amp;" "&amp;SuperList!C114</f>
        <v>3 See Invisibility</v>
      </c>
    </row>
    <row r="106">
      <c r="B106" s="81" t="str">
        <f>SuperList!B115&amp;" "&amp;SuperList!C115</f>
        <v>3 Sepia Snake Sigil</v>
      </c>
    </row>
    <row r="107">
      <c r="B107" s="81" t="str">
        <f>SuperList!B116&amp;" "&amp;SuperList!C116</f>
        <v>3 Slow</v>
      </c>
    </row>
    <row r="108">
      <c r="B108" s="81" t="str">
        <f>SuperList!B117&amp;" "&amp;SuperList!C117</f>
        <v>3 Speak with Animals</v>
      </c>
    </row>
    <row r="109">
      <c r="B109" s="81" t="str">
        <f>SuperList!B118&amp;" "&amp;SuperList!C118</f>
        <v>3 Summon Monster III</v>
      </c>
    </row>
    <row r="110">
      <c r="B110" s="81" t="str">
        <f>SuperList!B119&amp;" "&amp;SuperList!C119</f>
        <v>3 Leomund's Tiny Hut</v>
      </c>
    </row>
    <row r="111">
      <c r="B111" s="81" t="str">
        <f>SuperList!B120&amp;" "&amp;SuperList!C120</f>
        <v>4 Break Enchantment</v>
      </c>
    </row>
    <row r="112">
      <c r="B112" s="81" t="str">
        <f>SuperList!B121&amp;" "&amp;SuperList!C121</f>
        <v>4 Cure Critical Wounds</v>
      </c>
    </row>
    <row r="113">
      <c r="B113" s="81" t="str">
        <f>SuperList!B122&amp;" "&amp;SuperList!C122</f>
        <v>4 Detect Scrying</v>
      </c>
    </row>
    <row r="114">
      <c r="B114" s="81" t="str">
        <f>SuperList!B123&amp;" "&amp;SuperList!C123</f>
        <v>4 Dimension Door</v>
      </c>
    </row>
    <row r="115">
      <c r="B115" s="81" t="str">
        <f>SuperList!B124&amp;" "&amp;SuperList!C124</f>
        <v>4 Dominate Person</v>
      </c>
    </row>
    <row r="116">
      <c r="B116" s="81" t="str">
        <f>SuperList!B125&amp;" "&amp;SuperList!C125</f>
        <v>4 Freedom of Movement</v>
      </c>
    </row>
    <row r="117">
      <c r="B117" s="81" t="str">
        <f>SuperList!B126&amp;" "&amp;SuperList!C126</f>
        <v>4 Hallucinatory Terrain</v>
      </c>
    </row>
    <row r="118">
      <c r="B118" s="81" t="str">
        <f>SuperList!B127&amp;" "&amp;SuperList!C127</f>
        <v>4 Hold Monster</v>
      </c>
    </row>
    <row r="119">
      <c r="B119" s="81" t="str">
        <f>SuperList!B128&amp;" "&amp;SuperList!C128</f>
        <v>4 Greater Invisibility</v>
      </c>
    </row>
    <row r="120">
      <c r="B120" s="81" t="str">
        <f>SuperList!B129&amp;" "&amp;SuperList!C129</f>
        <v>4 Legend Lore</v>
      </c>
    </row>
    <row r="121">
      <c r="B121" s="81" t="str">
        <f>SuperList!B130&amp;" "&amp;SuperList!C130</f>
        <v>4 Locate Creature</v>
      </c>
    </row>
    <row r="122">
      <c r="B122" s="81" t="str">
        <f>SuperList!B131&amp;" "&amp;SuperList!C131</f>
        <v>4 Modify Memory</v>
      </c>
    </row>
    <row r="123">
      <c r="B123" s="81" t="str">
        <f>SuperList!B132&amp;" "&amp;SuperList!C132</f>
        <v>4 Neutralize Poison</v>
      </c>
    </row>
    <row r="124">
      <c r="B124" s="81" t="str">
        <f>SuperList!B133&amp;" "&amp;SuperList!C133</f>
        <v>4 Rainbow Pattern</v>
      </c>
    </row>
    <row r="125">
      <c r="B125" s="81" t="str">
        <f>SuperList!B134&amp;" "&amp;SuperList!C134</f>
        <v>4 Repel Vermin</v>
      </c>
    </row>
    <row r="126">
      <c r="B126" s="81" t="str">
        <f>SuperList!B135&amp;" "&amp;SuperList!C135</f>
        <v>4 Leomund's Secure Shelter</v>
      </c>
    </row>
    <row r="127">
      <c r="B127" s="81" t="str">
        <f>SuperList!B136&amp;" "&amp;SuperList!C136</f>
        <v>4 Shadow Conjuration</v>
      </c>
    </row>
    <row r="128">
      <c r="B128" s="81" t="str">
        <f>SuperList!B137&amp;" "&amp;SuperList!C137</f>
        <v>4 Shout</v>
      </c>
    </row>
    <row r="129">
      <c r="B129" s="81" t="str">
        <f>SuperList!B138&amp;" "&amp;SuperList!C138</f>
        <v>4 Speak with Plants</v>
      </c>
    </row>
    <row r="130">
      <c r="B130" s="81" t="str">
        <f>SuperList!B139&amp;" "&amp;SuperList!C139</f>
        <v>4 Summon Monster IV</v>
      </c>
    </row>
    <row r="131">
      <c r="B131" s="81" t="str">
        <f>SuperList!B140&amp;" "&amp;SuperList!C140</f>
        <v>4 Zone of Silence</v>
      </c>
    </row>
    <row r="132">
      <c r="B132" s="81" t="str">
        <f>SuperList!B141&amp;" "&amp;SuperList!C141</f>
        <v>5 Mass Cure Light Wounds</v>
      </c>
    </row>
    <row r="133">
      <c r="B133" s="81" t="str">
        <f>SuperList!B142&amp;" "&amp;SuperList!C142</f>
        <v>5 Greater Dispel Magic</v>
      </c>
    </row>
    <row r="134">
      <c r="B134" s="81" t="str">
        <f>SuperList!B143&amp;" "&amp;SuperList!C143</f>
        <v>5 Dream</v>
      </c>
    </row>
    <row r="135">
      <c r="B135" s="81" t="str">
        <f>SuperList!B144&amp;" "&amp;SuperList!C144</f>
        <v>5 False Vision</v>
      </c>
    </row>
    <row r="136">
      <c r="B136" s="81" t="str">
        <f>SuperList!B145&amp;" "&amp;SuperList!C145</f>
        <v>5 Greater Heroism</v>
      </c>
    </row>
    <row r="137">
      <c r="B137" s="81" t="str">
        <f>SuperList!B146&amp;" "&amp;SuperList!C146</f>
        <v>5 Mind Fog</v>
      </c>
    </row>
    <row r="138">
      <c r="B138" s="81" t="str">
        <f>SuperList!B147&amp;" "&amp;SuperList!C147</f>
        <v>5 Mirage Arcana</v>
      </c>
    </row>
    <row r="139">
      <c r="B139" s="81" t="str">
        <f>SuperList!B148&amp;" "&amp;SuperList!C148</f>
        <v>5 Mislead</v>
      </c>
    </row>
    <row r="140">
      <c r="B140" s="81" t="str">
        <f>SuperList!B149&amp;" "&amp;SuperList!C149</f>
        <v>5 Nightmare</v>
      </c>
    </row>
    <row r="141">
      <c r="B141" s="81" t="str">
        <f>SuperList!B150&amp;" "&amp;SuperList!C150</f>
        <v>5 Persistent Image</v>
      </c>
    </row>
    <row r="142">
      <c r="B142" s="81" t="str">
        <f>SuperList!B151&amp;" "&amp;SuperList!C151</f>
        <v>5 Seeming</v>
      </c>
    </row>
    <row r="143">
      <c r="B143" s="81" t="str">
        <f>SuperList!B152&amp;" "&amp;SuperList!C152</f>
        <v>5 Shadow Evocation</v>
      </c>
    </row>
    <row r="144">
      <c r="B144" s="81" t="str">
        <f>SuperList!B153&amp;" "&amp;SuperList!C153</f>
        <v>5 Shadow Walk</v>
      </c>
    </row>
    <row r="145">
      <c r="B145" s="81" t="str">
        <f>SuperList!B154&amp;" "&amp;SuperList!C154</f>
        <v>5 Song of Discord</v>
      </c>
    </row>
    <row r="146">
      <c r="B146" s="81" t="str">
        <f>SuperList!B155&amp;" "&amp;SuperList!C155</f>
        <v>5 Mass Suggestion</v>
      </c>
    </row>
    <row r="147">
      <c r="B147" s="81" t="str">
        <f>SuperList!B156&amp;" "&amp;SuperList!C156</f>
        <v>5 Summon Monster V</v>
      </c>
    </row>
    <row r="148">
      <c r="B148" s="81" t="str">
        <f>SuperList!B157&amp;" "&amp;SuperList!C157</f>
        <v>6 Analyze Dweomer</v>
      </c>
    </row>
    <row r="149">
      <c r="B149" s="81" t="str">
        <f>SuperList!B158&amp;" "&amp;SuperList!C158</f>
        <v>6 Animate Objects</v>
      </c>
    </row>
    <row r="150">
      <c r="B150" s="81" t="str">
        <f>SuperList!B159&amp;" "&amp;SuperList!C159</f>
        <v>6 Mass Cat's Grace</v>
      </c>
    </row>
    <row r="151">
      <c r="B151" s="81" t="str">
        <f>SuperList!B160&amp;" "&amp;SuperList!C160</f>
        <v>6 Mass Charm Monster</v>
      </c>
    </row>
    <row r="152">
      <c r="B152" s="81" t="str">
        <f>SuperList!B161&amp;" "&amp;SuperList!C161</f>
        <v>6 Mass Cure Moderate Wounds</v>
      </c>
    </row>
    <row r="153">
      <c r="B153" s="81" t="str">
        <f>SuperList!B162&amp;" "&amp;SuperList!C162</f>
        <v>6 Mass Eagle's Splendor</v>
      </c>
    </row>
    <row r="154">
      <c r="B154" s="81" t="str">
        <f>SuperList!B163&amp;" "&amp;SuperList!C163</f>
        <v>6 Eyebite</v>
      </c>
    </row>
    <row r="155">
      <c r="B155" s="81" t="str">
        <f>SuperList!B164&amp;" "&amp;SuperList!C164</f>
        <v>6 Find the Path</v>
      </c>
    </row>
    <row r="156">
      <c r="B156" s="81" t="str">
        <f>SuperList!B165&amp;" "&amp;SuperList!C165</f>
        <v>6 Mass Fox's Cunning</v>
      </c>
    </row>
    <row r="157">
      <c r="B157" s="81" t="str">
        <f>SuperList!B166&amp;" "&amp;SuperList!C166</f>
        <v>6 Geas/Quest</v>
      </c>
    </row>
    <row r="158">
      <c r="B158" s="81" t="str">
        <f>SuperList!B167&amp;" "&amp;SuperList!C167</f>
        <v>6 Heroes' Feast</v>
      </c>
    </row>
    <row r="159">
      <c r="B159" s="81" t="str">
        <f>SuperList!B168&amp;" "&amp;SuperList!C168</f>
        <v>6 Otto's Irresistible Dance</v>
      </c>
    </row>
    <row r="160">
      <c r="B160" s="81" t="str">
        <f>SuperList!B169&amp;" "&amp;SuperList!C169</f>
        <v>6 Permanent Image</v>
      </c>
    </row>
    <row r="161">
      <c r="B161" s="81" t="str">
        <f>SuperList!B170&amp;" "&amp;SuperList!C170</f>
        <v>6 Programmed Image</v>
      </c>
    </row>
    <row r="162">
      <c r="B162" s="81" t="str">
        <f>SuperList!B171&amp;" "&amp;SuperList!C171</f>
        <v>6 Project Image</v>
      </c>
    </row>
    <row r="163">
      <c r="B163" s="81" t="str">
        <f>SuperList!B172&amp;" "&amp;SuperList!C172</f>
        <v>6 Greater Scrying</v>
      </c>
    </row>
    <row r="164">
      <c r="B164" s="81" t="str">
        <f>SuperList!B173&amp;" "&amp;SuperList!C173</f>
        <v>6 Greater Shout</v>
      </c>
    </row>
    <row r="165">
      <c r="B165" s="81" t="str">
        <f>SuperList!B174&amp;" "&amp;SuperList!C174</f>
        <v>6 Summon Monster VI</v>
      </c>
    </row>
    <row r="166">
      <c r="B166" s="81" t="str">
        <f>SuperList!B175&amp;" "&amp;SuperList!C175</f>
        <v>6 Sympathetic Vibrations</v>
      </c>
    </row>
    <row r="167">
      <c r="B167" s="81" t="str">
        <f>SuperList!B176&amp;" "&amp;SuperList!C176</f>
        <v>6 Veil</v>
      </c>
    </row>
    <row r="168">
      <c r="B168" s="81"/>
    </row>
  </sheetData>
  <mergeCells count="165"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51:C151"/>
    <mergeCell ref="B152:C152"/>
    <mergeCell ref="B153:C153"/>
    <mergeCell ref="B154:C154"/>
    <mergeCell ref="B155:C155"/>
    <mergeCell ref="B156:C156"/>
    <mergeCell ref="B157:C157"/>
    <mergeCell ref="B165:C165"/>
    <mergeCell ref="B166:C166"/>
    <mergeCell ref="B167:C167"/>
    <mergeCell ref="B168:C168"/>
    <mergeCell ref="B158:C158"/>
    <mergeCell ref="B159:C159"/>
    <mergeCell ref="B160:C160"/>
    <mergeCell ref="B161:C161"/>
    <mergeCell ref="B162:C162"/>
    <mergeCell ref="B163:C163"/>
    <mergeCell ref="B164:C164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14"/>
    <col customWidth="1" min="2" max="2" width="27.29"/>
    <col customWidth="1" min="3" max="3" width="21.57"/>
    <col customWidth="1" min="4" max="4" width="21.43"/>
    <col customWidth="1" min="5" max="5" width="6.0"/>
    <col customWidth="1" min="6" max="6" width="12.57"/>
    <col customWidth="1" min="7" max="7" width="3.14"/>
    <col customWidth="1" min="8" max="8" width="14.43"/>
    <col customWidth="1" min="9" max="9" width="8.43"/>
    <col customWidth="1" min="10" max="10" width="18.43"/>
    <col customWidth="1" min="11" max="11" width="11.14"/>
    <col customWidth="1" min="12" max="12" width="10.14"/>
    <col customWidth="1" min="13" max="13" width="7.86"/>
    <col customWidth="1" min="14" max="15" width="19.43"/>
    <col customWidth="1" min="16" max="18" width="11.57"/>
    <col customWidth="1" min="19" max="19" width="7.14"/>
    <col customWidth="1" min="20" max="20" width="10.86"/>
    <col customWidth="1" min="21" max="21" width="9.57"/>
    <col customWidth="1" min="22" max="22" width="8.71"/>
    <col customWidth="1" min="23" max="23" width="7.86"/>
    <col customWidth="1" min="24" max="24" width="14.0"/>
    <col customWidth="1" min="26" max="26" width="21.57"/>
    <col customWidth="1" min="27" max="27" width="3.14"/>
  </cols>
  <sheetData>
    <row r="1"/>
    <row r="2"/>
    <row r="3"/>
    <row r="4"/>
    <row r="5"/>
    <row r="6"/>
    <row r="7"/>
    <row r="8"/>
    <row r="9"/>
    <row r="10"/>
    <row r="11">
      <c r="B11" s="82" t="s">
        <v>3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5"/>
      <c r="AA11" s="57"/>
    </row>
    <row r="12">
      <c r="B12" s="83"/>
      <c r="C12" s="83"/>
      <c r="D12" s="84" t="s">
        <v>14</v>
      </c>
      <c r="E12" s="5"/>
      <c r="F12" s="84" t="s">
        <v>15</v>
      </c>
      <c r="G12" s="5"/>
      <c r="H12" s="84" t="s">
        <v>16</v>
      </c>
      <c r="I12" s="5"/>
      <c r="J12" s="84" t="s">
        <v>17</v>
      </c>
      <c r="K12" s="5"/>
      <c r="L12" s="84" t="s">
        <v>18</v>
      </c>
      <c r="M12" s="5"/>
      <c r="N12" s="84" t="s">
        <v>19</v>
      </c>
      <c r="O12" s="5"/>
      <c r="P12" s="84" t="s">
        <v>20</v>
      </c>
      <c r="Q12" s="5"/>
      <c r="R12" s="84" t="s">
        <v>21</v>
      </c>
      <c r="S12" s="5"/>
      <c r="T12" s="84" t="s">
        <v>22</v>
      </c>
      <c r="U12" s="5"/>
      <c r="V12" s="84" t="s">
        <v>23</v>
      </c>
      <c r="W12" s="41"/>
      <c r="X12" s="41"/>
      <c r="Y12" s="5"/>
      <c r="Z12" s="83" t="s">
        <v>542</v>
      </c>
      <c r="AA12" s="58"/>
    </row>
    <row r="13">
      <c r="B13" s="85" t="str">
        <f t="shared" ref="B13:B18" si="1">if(isblank(indirect("'Known Spells'!B"&amp;row())),,right(indirect("'Known Spells'!B"&amp;row()),len(indirect("'Known Spells'!B"&amp;row()))-2))</f>
        <v/>
      </c>
      <c r="C13" s="86"/>
      <c r="D13" s="87" t="str">
        <f>IFERROR(__xludf.DUMMYFUNCTION("if(isblank(indirect(""B""&amp;row())),,FILTER(SuperList,SuperList!$C$13:$C$176=indirect(""B""&amp;row())))"),"")</f>
        <v/>
      </c>
      <c r="E13" s="5"/>
      <c r="F13" s="88"/>
      <c r="G13" s="5"/>
      <c r="H13" s="88"/>
      <c r="I13" s="5"/>
      <c r="J13" s="88"/>
      <c r="K13" s="5"/>
      <c r="L13" s="88"/>
      <c r="M13" s="5"/>
      <c r="N13" s="88"/>
      <c r="O13" s="5"/>
      <c r="P13" s="88"/>
      <c r="Q13" s="5"/>
      <c r="R13" s="88"/>
      <c r="S13" s="5"/>
      <c r="T13" s="88"/>
      <c r="U13" s="5"/>
      <c r="V13" s="89"/>
      <c r="W13" s="41"/>
      <c r="X13" s="41"/>
      <c r="Y13" s="5"/>
      <c r="Z13" s="90"/>
      <c r="AA13" s="58"/>
    </row>
    <row r="14">
      <c r="B14" s="91" t="str">
        <f t="shared" si="1"/>
        <v/>
      </c>
      <c r="C14" s="92"/>
      <c r="D14" s="93" t="str">
        <f>IFERROR(__xludf.DUMMYFUNCTION("if(isblank(indirect(""B""&amp;row())),,FILTER(SuperList,SuperList!$C$13:$C$176=indirect(""B""&amp;row())))"),"")</f>
        <v/>
      </c>
      <c r="E14" s="5"/>
      <c r="F14" s="94"/>
      <c r="G14" s="5"/>
      <c r="H14" s="94"/>
      <c r="I14" s="5"/>
      <c r="J14" s="94"/>
      <c r="K14" s="5"/>
      <c r="L14" s="94"/>
      <c r="M14" s="5"/>
      <c r="N14" s="94"/>
      <c r="O14" s="5"/>
      <c r="P14" s="94"/>
      <c r="Q14" s="5"/>
      <c r="R14" s="94"/>
      <c r="S14" s="5"/>
      <c r="T14" s="94"/>
      <c r="U14" s="5"/>
      <c r="V14" s="95"/>
      <c r="W14" s="41"/>
      <c r="X14" s="41"/>
      <c r="Y14" s="5"/>
      <c r="Z14" s="45"/>
      <c r="AA14" s="58"/>
    </row>
    <row r="15">
      <c r="B15" s="85" t="str">
        <f t="shared" si="1"/>
        <v/>
      </c>
      <c r="C15" s="86"/>
      <c r="D15" s="87" t="str">
        <f>IFERROR(__xludf.DUMMYFUNCTION("if(isblank(indirect(""B""&amp;row())),,FILTER(SuperList,SuperList!$C$13:$C$176=indirect(""B""&amp;row())))"),"")</f>
        <v/>
      </c>
      <c r="E15" s="5"/>
      <c r="F15" s="88"/>
      <c r="G15" s="5"/>
      <c r="H15" s="88"/>
      <c r="I15" s="5"/>
      <c r="J15" s="88"/>
      <c r="K15" s="5"/>
      <c r="L15" s="88"/>
      <c r="M15" s="5"/>
      <c r="N15" s="88"/>
      <c r="O15" s="5"/>
      <c r="P15" s="88"/>
      <c r="Q15" s="5"/>
      <c r="R15" s="88"/>
      <c r="S15" s="5"/>
      <c r="T15" s="88"/>
      <c r="U15" s="5"/>
      <c r="V15" s="89"/>
      <c r="W15" s="41"/>
      <c r="X15" s="41"/>
      <c r="Y15" s="5"/>
      <c r="Z15" s="90"/>
      <c r="AA15" s="62"/>
    </row>
    <row r="16">
      <c r="B16" s="91" t="str">
        <f t="shared" si="1"/>
        <v/>
      </c>
      <c r="C16" s="92"/>
      <c r="D16" s="93" t="str">
        <f>IFERROR(__xludf.DUMMYFUNCTION("if(isblank(indirect(""B""&amp;row())),,FILTER(SuperList,SuperList!$C$13:$C$176=indirect(""B""&amp;row())))"),"")</f>
        <v/>
      </c>
      <c r="E16" s="5"/>
      <c r="F16" s="94"/>
      <c r="G16" s="5"/>
      <c r="H16" s="94"/>
      <c r="I16" s="5"/>
      <c r="J16" s="94"/>
      <c r="K16" s="5"/>
      <c r="L16" s="94"/>
      <c r="M16" s="5"/>
      <c r="N16" s="94"/>
      <c r="O16" s="5"/>
      <c r="P16" s="94"/>
      <c r="Q16" s="5"/>
      <c r="R16" s="94"/>
      <c r="S16" s="5"/>
      <c r="T16" s="94"/>
      <c r="U16" s="5"/>
      <c r="V16" s="95"/>
      <c r="W16" s="41"/>
      <c r="X16" s="41"/>
      <c r="Y16" s="5"/>
      <c r="Z16" s="45"/>
      <c r="AA16" s="62"/>
    </row>
    <row r="17">
      <c r="B17" s="85" t="str">
        <f t="shared" si="1"/>
        <v/>
      </c>
      <c r="C17" s="86"/>
      <c r="D17" s="87" t="str">
        <f>IFERROR(__xludf.DUMMYFUNCTION("if(isblank(indirect(""B""&amp;row())),,FILTER(SuperList,SuperList!$C$13:$C$176=indirect(""B""&amp;row())))"),"")</f>
        <v/>
      </c>
      <c r="E17" s="5"/>
      <c r="F17" s="88"/>
      <c r="G17" s="5"/>
      <c r="H17" s="88"/>
      <c r="I17" s="5"/>
      <c r="J17" s="88"/>
      <c r="K17" s="5"/>
      <c r="L17" s="88"/>
      <c r="M17" s="5"/>
      <c r="N17" s="88"/>
      <c r="O17" s="5"/>
      <c r="P17" s="88"/>
      <c r="Q17" s="5"/>
      <c r="R17" s="88"/>
      <c r="S17" s="5"/>
      <c r="T17" s="88"/>
      <c r="U17" s="5"/>
      <c r="V17" s="89"/>
      <c r="W17" s="41"/>
      <c r="X17" s="41"/>
      <c r="Y17" s="5"/>
      <c r="Z17" s="90"/>
      <c r="AA17" s="62"/>
    </row>
    <row r="18">
      <c r="B18" s="91" t="str">
        <f t="shared" si="1"/>
        <v/>
      </c>
      <c r="C18" s="92"/>
      <c r="D18" s="93" t="str">
        <f>IFERROR(__xludf.DUMMYFUNCTION("if(isblank(indirect(""B""&amp;row())),,FILTER(SuperList,SuperList!$C$13:$C$176=indirect(""B""&amp;row())))"),"")</f>
        <v/>
      </c>
      <c r="E18" s="5"/>
      <c r="F18" s="94"/>
      <c r="G18" s="5"/>
      <c r="H18" s="94"/>
      <c r="I18" s="5"/>
      <c r="J18" s="94"/>
      <c r="K18" s="5"/>
      <c r="L18" s="94"/>
      <c r="M18" s="5"/>
      <c r="N18" s="94"/>
      <c r="O18" s="5"/>
      <c r="P18" s="94"/>
      <c r="Q18" s="5"/>
      <c r="R18" s="94"/>
      <c r="S18" s="5"/>
      <c r="T18" s="94"/>
      <c r="U18" s="5"/>
      <c r="V18" s="95"/>
      <c r="W18" s="41"/>
      <c r="X18" s="41"/>
      <c r="Y18" s="5"/>
      <c r="Z18" s="96"/>
      <c r="AA18" s="62"/>
    </row>
    <row r="19"/>
    <row r="20">
      <c r="B20" s="82" t="s">
        <v>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6"/>
    </row>
    <row r="21">
      <c r="B21" s="83" t="s">
        <v>12</v>
      </c>
      <c r="C21" s="83"/>
      <c r="D21" s="84" t="s">
        <v>14</v>
      </c>
      <c r="E21" s="20"/>
      <c r="F21" s="84" t="s">
        <v>15</v>
      </c>
      <c r="G21" s="20"/>
      <c r="H21" s="84" t="s">
        <v>16</v>
      </c>
      <c r="I21" s="20"/>
      <c r="J21" s="84" t="s">
        <v>17</v>
      </c>
      <c r="K21" s="20"/>
      <c r="L21" s="84" t="s">
        <v>18</v>
      </c>
      <c r="M21" s="20"/>
      <c r="N21" s="84" t="s">
        <v>19</v>
      </c>
      <c r="O21" s="20"/>
      <c r="P21" s="84" t="s">
        <v>20</v>
      </c>
      <c r="Q21" s="20"/>
      <c r="R21" s="84" t="s">
        <v>21</v>
      </c>
      <c r="S21" s="20"/>
      <c r="T21" s="84" t="s">
        <v>22</v>
      </c>
      <c r="U21" s="20"/>
      <c r="V21" s="84" t="s">
        <v>23</v>
      </c>
      <c r="W21" s="9"/>
      <c r="X21" s="9"/>
      <c r="Y21" s="20"/>
      <c r="Z21" s="83" t="s">
        <v>542</v>
      </c>
    </row>
    <row r="22">
      <c r="B22" s="85" t="str">
        <f t="shared" ref="B22:B35" si="2">if(isblank(indirect("'Known Spells'!B"&amp;row())),,right(indirect("'Known Spells'!B"&amp;row()),len(indirect("'Known Spells'!B"&amp;row()))-2))</f>
        <v/>
      </c>
      <c r="C22" s="86"/>
      <c r="D22" s="87" t="str">
        <f>IFERROR(__xludf.DUMMYFUNCTION("if(isblank(indirect(""B""&amp;row())),,FILTER(SuperList,SuperList!$C$13:$C$176=indirect(""B""&amp;row())))"),"")</f>
        <v/>
      </c>
      <c r="E22" s="16"/>
      <c r="F22" s="88"/>
      <c r="G22" s="16"/>
      <c r="H22" s="88"/>
      <c r="I22" s="16"/>
      <c r="J22" s="88"/>
      <c r="K22" s="16"/>
      <c r="L22" s="88"/>
      <c r="M22" s="16"/>
      <c r="N22" s="88"/>
      <c r="O22" s="16"/>
      <c r="P22" s="88"/>
      <c r="Q22" s="16"/>
      <c r="R22" s="88"/>
      <c r="S22" s="16"/>
      <c r="T22" s="88"/>
      <c r="U22" s="16"/>
      <c r="V22" s="89"/>
      <c r="W22" s="4"/>
      <c r="X22" s="4"/>
      <c r="Y22" s="16"/>
      <c r="Z22" s="90"/>
    </row>
    <row r="23">
      <c r="B23" s="91" t="str">
        <f t="shared" si="2"/>
        <v/>
      </c>
      <c r="C23" s="92"/>
      <c r="D23" s="93" t="str">
        <f>IFERROR(__xludf.DUMMYFUNCTION("if(isblank(indirect(""B""&amp;row())),,FILTER(SuperList,SuperList!$C$13:$C$176=indirect(""B""&amp;row())))"),"")</f>
        <v/>
      </c>
      <c r="E23" s="20"/>
      <c r="F23" s="94"/>
      <c r="G23" s="20"/>
      <c r="H23" s="94"/>
      <c r="I23" s="20"/>
      <c r="J23" s="94"/>
      <c r="K23" s="20"/>
      <c r="L23" s="94"/>
      <c r="M23" s="20"/>
      <c r="N23" s="94"/>
      <c r="O23" s="20"/>
      <c r="P23" s="94"/>
      <c r="Q23" s="20"/>
      <c r="R23" s="94"/>
      <c r="S23" s="20"/>
      <c r="T23" s="94"/>
      <c r="U23" s="20"/>
      <c r="V23" s="95"/>
      <c r="W23" s="9"/>
      <c r="X23" s="9"/>
      <c r="Y23" s="20"/>
      <c r="Z23" s="45"/>
    </row>
    <row r="24">
      <c r="B24" s="85" t="str">
        <f t="shared" si="2"/>
        <v/>
      </c>
      <c r="C24" s="86"/>
      <c r="D24" s="87" t="str">
        <f>IFERROR(__xludf.DUMMYFUNCTION("if(isblank(indirect(""B""&amp;row())),,FILTER(SuperList,SuperList!$C$13:$C$176=indirect(""B""&amp;row())))"),"")</f>
        <v/>
      </c>
      <c r="E24" s="16"/>
      <c r="F24" s="88"/>
      <c r="G24" s="16"/>
      <c r="H24" s="88"/>
      <c r="I24" s="16"/>
      <c r="J24" s="88"/>
      <c r="K24" s="16"/>
      <c r="L24" s="88"/>
      <c r="M24" s="16"/>
      <c r="N24" s="88"/>
      <c r="O24" s="16"/>
      <c r="P24" s="88"/>
      <c r="Q24" s="16"/>
      <c r="R24" s="88"/>
      <c r="S24" s="16"/>
      <c r="T24" s="88"/>
      <c r="U24" s="16"/>
      <c r="V24" s="89"/>
      <c r="W24" s="4"/>
      <c r="X24" s="4"/>
      <c r="Y24" s="16"/>
      <c r="Z24" s="90"/>
    </row>
    <row r="25">
      <c r="B25" s="91" t="str">
        <f t="shared" si="2"/>
        <v/>
      </c>
      <c r="C25" s="92"/>
      <c r="D25" s="93" t="str">
        <f>IFERROR(__xludf.DUMMYFUNCTION("if(isblank(indirect(""B""&amp;row())),,FILTER(SuperList,SuperList!$C$13:$C$176=indirect(""B""&amp;row())))"),"")</f>
        <v/>
      </c>
      <c r="E25" s="20"/>
      <c r="F25" s="94"/>
      <c r="G25" s="20"/>
      <c r="H25" s="94"/>
      <c r="I25" s="20"/>
      <c r="J25" s="94"/>
      <c r="K25" s="20"/>
      <c r="L25" s="94"/>
      <c r="M25" s="20"/>
      <c r="N25" s="94"/>
      <c r="O25" s="20"/>
      <c r="P25" s="94"/>
      <c r="Q25" s="20"/>
      <c r="R25" s="94"/>
      <c r="S25" s="20"/>
      <c r="T25" s="94"/>
      <c r="U25" s="20"/>
      <c r="V25" s="95"/>
      <c r="W25" s="9"/>
      <c r="X25" s="9"/>
      <c r="Y25" s="20"/>
      <c r="Z25" s="45"/>
    </row>
    <row r="26">
      <c r="B26" s="85" t="str">
        <f t="shared" si="2"/>
        <v/>
      </c>
      <c r="C26" s="86"/>
      <c r="D26" s="87" t="str">
        <f>IFERROR(__xludf.DUMMYFUNCTION("if(isblank(indirect(""B""&amp;row())),,FILTER(SuperList,SuperList!$C$13:$C$176=indirect(""B""&amp;row())))"),"")</f>
        <v/>
      </c>
      <c r="E26" s="16"/>
      <c r="F26" s="88"/>
      <c r="G26" s="16"/>
      <c r="H26" s="88"/>
      <c r="I26" s="16"/>
      <c r="J26" s="88"/>
      <c r="K26" s="16"/>
      <c r="L26" s="88"/>
      <c r="M26" s="16"/>
      <c r="N26" s="88"/>
      <c r="O26" s="16"/>
      <c r="P26" s="88"/>
      <c r="Q26" s="16"/>
      <c r="R26" s="88"/>
      <c r="S26" s="16"/>
      <c r="T26" s="88"/>
      <c r="U26" s="16"/>
      <c r="V26" s="89"/>
      <c r="W26" s="4"/>
      <c r="X26" s="4"/>
      <c r="Y26" s="16"/>
      <c r="Z26" s="90"/>
    </row>
    <row r="27">
      <c r="B27" s="91" t="str">
        <f t="shared" si="2"/>
        <v/>
      </c>
      <c r="C27" s="92"/>
      <c r="D27" s="93" t="str">
        <f>IFERROR(__xludf.DUMMYFUNCTION("if(isblank(indirect(""B""&amp;row())),,FILTER(SuperList,SuperList!$C$13:$C$176=indirect(""B""&amp;row())))"),"")</f>
        <v/>
      </c>
      <c r="E27" s="20"/>
      <c r="F27" s="94"/>
      <c r="G27" s="20"/>
      <c r="H27" s="94"/>
      <c r="I27" s="20"/>
      <c r="J27" s="94"/>
      <c r="K27" s="20"/>
      <c r="L27" s="94"/>
      <c r="M27" s="20"/>
      <c r="N27" s="94"/>
      <c r="O27" s="20"/>
      <c r="P27" s="94"/>
      <c r="Q27" s="20"/>
      <c r="R27" s="94"/>
      <c r="S27" s="20"/>
      <c r="T27" s="94"/>
      <c r="U27" s="20"/>
      <c r="V27" s="95"/>
      <c r="W27" s="9"/>
      <c r="X27" s="9"/>
      <c r="Y27" s="20"/>
      <c r="Z27" s="45"/>
    </row>
    <row r="28">
      <c r="B28" s="85" t="str">
        <f t="shared" si="2"/>
        <v/>
      </c>
      <c r="C28" s="86"/>
      <c r="D28" s="87" t="str">
        <f>IFERROR(__xludf.DUMMYFUNCTION("if(isblank(indirect(""B""&amp;row())),,FILTER(SuperList,SuperList!$C$13:$C$176=indirect(""B""&amp;row())))"),"")</f>
        <v/>
      </c>
      <c r="E28" s="16"/>
      <c r="F28" s="88"/>
      <c r="G28" s="16"/>
      <c r="H28" s="88"/>
      <c r="I28" s="16"/>
      <c r="J28" s="88"/>
      <c r="K28" s="16"/>
      <c r="L28" s="88"/>
      <c r="M28" s="16"/>
      <c r="N28" s="88"/>
      <c r="O28" s="16"/>
      <c r="P28" s="88"/>
      <c r="Q28" s="16"/>
      <c r="R28" s="88"/>
      <c r="S28" s="16"/>
      <c r="T28" s="88"/>
      <c r="U28" s="16"/>
      <c r="V28" s="89"/>
      <c r="W28" s="4"/>
      <c r="X28" s="4"/>
      <c r="Y28" s="16"/>
      <c r="Z28" s="90"/>
    </row>
    <row r="29">
      <c r="B29" s="91" t="str">
        <f t="shared" si="2"/>
        <v/>
      </c>
      <c r="C29" s="92"/>
      <c r="D29" s="93" t="str">
        <f>IFERROR(__xludf.DUMMYFUNCTION("if(isblank(indirect(""B""&amp;row())),,FILTER(SuperList,SuperList!$C$13:$C$176=indirect(""B""&amp;row())))"),"")</f>
        <v/>
      </c>
      <c r="E29" s="20"/>
      <c r="F29" s="94"/>
      <c r="G29" s="20"/>
      <c r="H29" s="94"/>
      <c r="I29" s="20"/>
      <c r="J29" s="94"/>
      <c r="K29" s="20"/>
      <c r="L29" s="94"/>
      <c r="M29" s="20"/>
      <c r="N29" s="94"/>
      <c r="O29" s="20"/>
      <c r="P29" s="94"/>
      <c r="Q29" s="20"/>
      <c r="R29" s="94"/>
      <c r="S29" s="20"/>
      <c r="T29" s="94"/>
      <c r="U29" s="20"/>
      <c r="V29" s="95"/>
      <c r="W29" s="9"/>
      <c r="X29" s="9"/>
      <c r="Y29" s="20"/>
      <c r="Z29" s="45"/>
    </row>
    <row r="30">
      <c r="B30" s="85" t="str">
        <f t="shared" si="2"/>
        <v/>
      </c>
      <c r="C30" s="86"/>
      <c r="D30" s="87" t="str">
        <f>IFERROR(__xludf.DUMMYFUNCTION("if(isblank(indirect(""B""&amp;row())),,FILTER(SuperList,SuperList!$C$13:$C$176=indirect(""B""&amp;row())))"),"")</f>
        <v/>
      </c>
      <c r="E30" s="16"/>
      <c r="F30" s="88"/>
      <c r="G30" s="16"/>
      <c r="H30" s="88"/>
      <c r="I30" s="16"/>
      <c r="J30" s="88"/>
      <c r="K30" s="16"/>
      <c r="L30" s="88"/>
      <c r="M30" s="16"/>
      <c r="N30" s="88"/>
      <c r="O30" s="16"/>
      <c r="P30" s="88"/>
      <c r="Q30" s="16"/>
      <c r="R30" s="88"/>
      <c r="S30" s="16"/>
      <c r="T30" s="88"/>
      <c r="U30" s="16"/>
      <c r="V30" s="89"/>
      <c r="W30" s="4"/>
      <c r="X30" s="4"/>
      <c r="Y30" s="16"/>
      <c r="Z30" s="90"/>
    </row>
    <row r="31">
      <c r="B31" s="91" t="str">
        <f t="shared" si="2"/>
        <v/>
      </c>
      <c r="C31" s="92"/>
      <c r="D31" s="93" t="str">
        <f>IFERROR(__xludf.DUMMYFUNCTION("if(isblank(indirect(""B""&amp;row())),,FILTER(SuperList,SuperList!$C$13:$C$176=indirect(""B""&amp;row())))"),"")</f>
        <v/>
      </c>
      <c r="E31" s="20"/>
      <c r="F31" s="94"/>
      <c r="G31" s="20"/>
      <c r="H31" s="94"/>
      <c r="I31" s="20"/>
      <c r="J31" s="94"/>
      <c r="K31" s="20"/>
      <c r="L31" s="94"/>
      <c r="M31" s="20"/>
      <c r="N31" s="94"/>
      <c r="O31" s="20"/>
      <c r="P31" s="94"/>
      <c r="Q31" s="20"/>
      <c r="R31" s="94"/>
      <c r="S31" s="20"/>
      <c r="T31" s="94"/>
      <c r="U31" s="20"/>
      <c r="V31" s="95"/>
      <c r="W31" s="9"/>
      <c r="X31" s="9"/>
      <c r="Y31" s="20"/>
      <c r="Z31" s="45"/>
    </row>
    <row r="32">
      <c r="B32" s="85" t="str">
        <f t="shared" si="2"/>
        <v/>
      </c>
      <c r="C32" s="86"/>
      <c r="D32" s="87" t="str">
        <f>IFERROR(__xludf.DUMMYFUNCTION("if(isblank(indirect(""B""&amp;row())),,FILTER(SuperList,SuperList!$C$13:$C$176=indirect(""B""&amp;row())))"),"")</f>
        <v/>
      </c>
      <c r="E32" s="16"/>
      <c r="F32" s="88"/>
      <c r="G32" s="16"/>
      <c r="H32" s="88"/>
      <c r="I32" s="16"/>
      <c r="J32" s="88"/>
      <c r="K32" s="16"/>
      <c r="L32" s="88"/>
      <c r="M32" s="16"/>
      <c r="N32" s="88"/>
      <c r="O32" s="16"/>
      <c r="P32" s="88"/>
      <c r="Q32" s="16"/>
      <c r="R32" s="88"/>
      <c r="S32" s="16"/>
      <c r="T32" s="88"/>
      <c r="U32" s="16"/>
      <c r="V32" s="89"/>
      <c r="W32" s="4"/>
      <c r="X32" s="4"/>
      <c r="Y32" s="16"/>
      <c r="Z32" s="90"/>
    </row>
    <row r="33">
      <c r="B33" s="91" t="str">
        <f t="shared" si="2"/>
        <v/>
      </c>
      <c r="C33" s="92"/>
      <c r="D33" s="93" t="str">
        <f>IFERROR(__xludf.DUMMYFUNCTION("if(isblank(indirect(""B""&amp;row())),,FILTER(SuperList,SuperList!$C$13:$C$176=indirect(""B""&amp;row())))"),"")</f>
        <v/>
      </c>
      <c r="E33" s="20"/>
      <c r="F33" s="94"/>
      <c r="G33" s="20"/>
      <c r="H33" s="94"/>
      <c r="I33" s="20"/>
      <c r="J33" s="94"/>
      <c r="K33" s="20"/>
      <c r="L33" s="94"/>
      <c r="M33" s="20"/>
      <c r="N33" s="94"/>
      <c r="O33" s="20"/>
      <c r="P33" s="94"/>
      <c r="Q33" s="20"/>
      <c r="R33" s="94"/>
      <c r="S33" s="20"/>
      <c r="T33" s="94"/>
      <c r="U33" s="20"/>
      <c r="V33" s="95"/>
      <c r="W33" s="9"/>
      <c r="X33" s="9"/>
      <c r="Y33" s="20"/>
      <c r="Z33" s="45"/>
    </row>
    <row r="34">
      <c r="B34" s="85" t="str">
        <f t="shared" si="2"/>
        <v/>
      </c>
      <c r="C34" s="86"/>
      <c r="D34" s="87" t="str">
        <f>IFERROR(__xludf.DUMMYFUNCTION("if(isblank(indirect(""B""&amp;row())),,FILTER(SuperList,SuperList!$C$13:$C$176=indirect(""B""&amp;row())))"),"")</f>
        <v/>
      </c>
      <c r="E34" s="16"/>
      <c r="F34" s="88"/>
      <c r="G34" s="16"/>
      <c r="H34" s="88"/>
      <c r="I34" s="16"/>
      <c r="J34" s="88"/>
      <c r="K34" s="16"/>
      <c r="L34" s="88"/>
      <c r="M34" s="16"/>
      <c r="N34" s="88"/>
      <c r="O34" s="16"/>
      <c r="P34" s="88"/>
      <c r="Q34" s="16"/>
      <c r="R34" s="88"/>
      <c r="S34" s="16"/>
      <c r="T34" s="88"/>
      <c r="U34" s="16"/>
      <c r="V34" s="89"/>
      <c r="W34" s="4"/>
      <c r="X34" s="4"/>
      <c r="Y34" s="16"/>
      <c r="Z34" s="90"/>
    </row>
    <row r="35">
      <c r="B35" s="91" t="str">
        <f t="shared" si="2"/>
        <v/>
      </c>
      <c r="C35" s="92"/>
      <c r="D35" s="93" t="str">
        <f>IFERROR(__xludf.DUMMYFUNCTION("if(isblank(indirect(""B""&amp;row())),,FILTER(SuperList,SuperList!$C$13:$C$176=indirect(""B""&amp;row())))"),"")</f>
        <v/>
      </c>
      <c r="E35" s="20"/>
      <c r="F35" s="94"/>
      <c r="G35" s="20"/>
      <c r="H35" s="94"/>
      <c r="I35" s="20"/>
      <c r="J35" s="94"/>
      <c r="K35" s="20"/>
      <c r="L35" s="94"/>
      <c r="M35" s="20"/>
      <c r="N35" s="94"/>
      <c r="O35" s="20"/>
      <c r="P35" s="94"/>
      <c r="Q35" s="20"/>
      <c r="R35" s="94"/>
      <c r="S35" s="20"/>
      <c r="T35" s="94"/>
      <c r="U35" s="20"/>
      <c r="V35" s="95"/>
      <c r="W35" s="9"/>
      <c r="X35" s="9"/>
      <c r="Y35" s="20"/>
      <c r="Z35" s="45"/>
    </row>
    <row r="36"/>
    <row r="37">
      <c r="B37" s="82" t="s">
        <v>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16"/>
    </row>
    <row r="38">
      <c r="B38" s="83" t="s">
        <v>12</v>
      </c>
      <c r="C38" s="83"/>
      <c r="D38" s="84" t="s">
        <v>14</v>
      </c>
      <c r="E38" s="20"/>
      <c r="F38" s="84" t="s">
        <v>15</v>
      </c>
      <c r="G38" s="20"/>
      <c r="H38" s="84" t="s">
        <v>16</v>
      </c>
      <c r="I38" s="20"/>
      <c r="J38" s="84" t="s">
        <v>17</v>
      </c>
      <c r="K38" s="20"/>
      <c r="L38" s="84" t="s">
        <v>18</v>
      </c>
      <c r="M38" s="20"/>
      <c r="N38" s="84" t="s">
        <v>19</v>
      </c>
      <c r="O38" s="20"/>
      <c r="P38" s="84" t="s">
        <v>20</v>
      </c>
      <c r="Q38" s="20"/>
      <c r="R38" s="84" t="s">
        <v>21</v>
      </c>
      <c r="S38" s="20"/>
      <c r="T38" s="84" t="s">
        <v>22</v>
      </c>
      <c r="U38" s="20"/>
      <c r="V38" s="84" t="s">
        <v>23</v>
      </c>
      <c r="W38" s="9"/>
      <c r="X38" s="9"/>
      <c r="Y38" s="20"/>
      <c r="Z38" s="83" t="s">
        <v>542</v>
      </c>
    </row>
    <row r="39">
      <c r="B39" s="85" t="str">
        <f t="shared" ref="B39:B51" si="3">if(isblank(indirect("'Known Spells'!B"&amp;row())),,right(indirect("'Known Spells'!B"&amp;row()),len(indirect("'Known Spells'!B"&amp;row()))-2))</f>
        <v/>
      </c>
      <c r="C39" s="86"/>
      <c r="D39" s="87" t="str">
        <f>IFERROR(__xludf.DUMMYFUNCTION("if(isblank(indirect(""B""&amp;row())),,FILTER(SuperList,SuperList!$C$13:$C$176=indirect(""B""&amp;row())))"),"")</f>
        <v/>
      </c>
      <c r="E39" s="16"/>
      <c r="F39" s="88"/>
      <c r="G39" s="16"/>
      <c r="H39" s="88"/>
      <c r="I39" s="16"/>
      <c r="J39" s="88"/>
      <c r="K39" s="16"/>
      <c r="L39" s="88"/>
      <c r="M39" s="16"/>
      <c r="N39" s="88"/>
      <c r="O39" s="16"/>
      <c r="P39" s="88"/>
      <c r="Q39" s="16"/>
      <c r="R39" s="88"/>
      <c r="S39" s="16"/>
      <c r="T39" s="88"/>
      <c r="U39" s="16"/>
      <c r="V39" s="89"/>
      <c r="W39" s="4"/>
      <c r="X39" s="4"/>
      <c r="Y39" s="16"/>
      <c r="Z39" s="90"/>
    </row>
    <row r="40">
      <c r="B40" s="91" t="str">
        <f t="shared" si="3"/>
        <v/>
      </c>
      <c r="C40" s="92"/>
      <c r="D40" s="93" t="str">
        <f>IFERROR(__xludf.DUMMYFUNCTION("if(isblank(indirect(""B""&amp;row())),,FILTER(SuperList,SuperList!$C$13:$C$176=indirect(""B""&amp;row())))"),"")</f>
        <v/>
      </c>
      <c r="E40" s="20"/>
      <c r="F40" s="94"/>
      <c r="G40" s="20"/>
      <c r="H40" s="94"/>
      <c r="I40" s="20"/>
      <c r="J40" s="94"/>
      <c r="K40" s="20"/>
      <c r="L40" s="94"/>
      <c r="M40" s="20"/>
      <c r="N40" s="94"/>
      <c r="O40" s="20"/>
      <c r="P40" s="94"/>
      <c r="Q40" s="20"/>
      <c r="R40" s="94"/>
      <c r="S40" s="20"/>
      <c r="T40" s="94"/>
      <c r="U40" s="20"/>
      <c r="V40" s="95"/>
      <c r="W40" s="9"/>
      <c r="X40" s="9"/>
      <c r="Y40" s="20"/>
      <c r="Z40" s="45"/>
    </row>
    <row r="41">
      <c r="B41" s="85" t="str">
        <f t="shared" si="3"/>
        <v/>
      </c>
      <c r="C41" s="86"/>
      <c r="D41" s="87" t="str">
        <f>IFERROR(__xludf.DUMMYFUNCTION("if(isblank(indirect(""B""&amp;row())),,FILTER(SuperList,SuperList!$C$13:$C$176=indirect(""B""&amp;row())))"),"")</f>
        <v/>
      </c>
      <c r="E41" s="16"/>
      <c r="F41" s="88"/>
      <c r="G41" s="16"/>
      <c r="H41" s="88"/>
      <c r="I41" s="16"/>
      <c r="J41" s="88"/>
      <c r="K41" s="16"/>
      <c r="L41" s="88"/>
      <c r="M41" s="16"/>
      <c r="N41" s="88"/>
      <c r="O41" s="16"/>
      <c r="P41" s="88"/>
      <c r="Q41" s="16"/>
      <c r="R41" s="88"/>
      <c r="S41" s="16"/>
      <c r="T41" s="88"/>
      <c r="U41" s="16"/>
      <c r="V41" s="89"/>
      <c r="W41" s="4"/>
      <c r="X41" s="4"/>
      <c r="Y41" s="16"/>
      <c r="Z41" s="90"/>
    </row>
    <row r="42">
      <c r="B42" s="91" t="str">
        <f t="shared" si="3"/>
        <v/>
      </c>
      <c r="C42" s="92"/>
      <c r="D42" s="93" t="str">
        <f>IFERROR(__xludf.DUMMYFUNCTION("if(isblank(indirect(""B""&amp;row())),,FILTER(SuperList,SuperList!$C$13:$C$176=indirect(""B""&amp;row())))"),"")</f>
        <v/>
      </c>
      <c r="E42" s="20"/>
      <c r="F42" s="94"/>
      <c r="G42" s="20"/>
      <c r="H42" s="94"/>
      <c r="I42" s="20"/>
      <c r="J42" s="94"/>
      <c r="K42" s="20"/>
      <c r="L42" s="94"/>
      <c r="M42" s="20"/>
      <c r="N42" s="94"/>
      <c r="O42" s="20"/>
      <c r="P42" s="94"/>
      <c r="Q42" s="20"/>
      <c r="R42" s="94"/>
      <c r="S42" s="20"/>
      <c r="T42" s="94"/>
      <c r="U42" s="20"/>
      <c r="V42" s="95"/>
      <c r="W42" s="9"/>
      <c r="X42" s="9"/>
      <c r="Y42" s="20"/>
      <c r="Z42" s="45"/>
    </row>
    <row r="43">
      <c r="B43" s="85" t="str">
        <f t="shared" si="3"/>
        <v/>
      </c>
      <c r="C43" s="86"/>
      <c r="D43" s="87" t="str">
        <f>IFERROR(__xludf.DUMMYFUNCTION("if(isblank(indirect(""B""&amp;row())),,FILTER(SuperList,SuperList!$C$13:$C$176=indirect(""B""&amp;row())))"),"")</f>
        <v/>
      </c>
      <c r="E43" s="16"/>
      <c r="F43" s="88"/>
      <c r="G43" s="16"/>
      <c r="H43" s="88"/>
      <c r="I43" s="16"/>
      <c r="J43" s="88"/>
      <c r="K43" s="16"/>
      <c r="L43" s="88"/>
      <c r="M43" s="16"/>
      <c r="N43" s="88"/>
      <c r="O43" s="16"/>
      <c r="P43" s="88"/>
      <c r="Q43" s="16"/>
      <c r="R43" s="88"/>
      <c r="S43" s="16"/>
      <c r="T43" s="88"/>
      <c r="U43" s="16"/>
      <c r="V43" s="89"/>
      <c r="W43" s="4"/>
      <c r="X43" s="4"/>
      <c r="Y43" s="16"/>
      <c r="Z43" s="90"/>
    </row>
    <row r="44">
      <c r="B44" s="91" t="str">
        <f t="shared" si="3"/>
        <v/>
      </c>
      <c r="C44" s="92"/>
      <c r="D44" s="93" t="str">
        <f>IFERROR(__xludf.DUMMYFUNCTION("if(isblank(indirect(""B""&amp;row())),,FILTER(SuperList,SuperList!$C$13:$C$176=indirect(""B""&amp;row())))"),"")</f>
        <v/>
      </c>
      <c r="E44" s="20"/>
      <c r="F44" s="94"/>
      <c r="G44" s="20"/>
      <c r="H44" s="94"/>
      <c r="I44" s="20"/>
      <c r="J44" s="94"/>
      <c r="K44" s="20"/>
      <c r="L44" s="94"/>
      <c r="M44" s="20"/>
      <c r="N44" s="94"/>
      <c r="O44" s="20"/>
      <c r="P44" s="94"/>
      <c r="Q44" s="20"/>
      <c r="R44" s="94"/>
      <c r="S44" s="20"/>
      <c r="T44" s="94"/>
      <c r="U44" s="20"/>
      <c r="V44" s="95"/>
      <c r="W44" s="9"/>
      <c r="X44" s="9"/>
      <c r="Y44" s="20"/>
      <c r="Z44" s="45"/>
    </row>
    <row r="45">
      <c r="B45" s="85" t="str">
        <f t="shared" si="3"/>
        <v/>
      </c>
      <c r="C45" s="86"/>
      <c r="D45" s="87" t="str">
        <f>IFERROR(__xludf.DUMMYFUNCTION("if(isblank(indirect(""B""&amp;row())),,FILTER(SuperList,SuperList!$C$13:$C$176=indirect(""B""&amp;row())))"),"")</f>
        <v/>
      </c>
      <c r="E45" s="16"/>
      <c r="F45" s="88"/>
      <c r="G45" s="16"/>
      <c r="H45" s="88"/>
      <c r="I45" s="16"/>
      <c r="J45" s="88"/>
      <c r="K45" s="16"/>
      <c r="L45" s="88"/>
      <c r="M45" s="16"/>
      <c r="N45" s="88"/>
      <c r="O45" s="16"/>
      <c r="P45" s="88"/>
      <c r="Q45" s="16"/>
      <c r="R45" s="88"/>
      <c r="S45" s="16"/>
      <c r="T45" s="88"/>
      <c r="U45" s="16"/>
      <c r="V45" s="89"/>
      <c r="W45" s="4"/>
      <c r="X45" s="4"/>
      <c r="Y45" s="16"/>
      <c r="Z45" s="90"/>
    </row>
    <row r="46">
      <c r="B46" s="91" t="str">
        <f t="shared" si="3"/>
        <v/>
      </c>
      <c r="C46" s="92"/>
      <c r="D46" s="93" t="str">
        <f>IFERROR(__xludf.DUMMYFUNCTION("if(isblank(indirect(""B""&amp;row())),,FILTER(SuperList,SuperList!$C$13:$C$176=indirect(""B""&amp;row())))"),"")</f>
        <v/>
      </c>
      <c r="E46" s="20"/>
      <c r="F46" s="94"/>
      <c r="G46" s="20"/>
      <c r="H46" s="94"/>
      <c r="I46" s="20"/>
      <c r="J46" s="94"/>
      <c r="K46" s="20"/>
      <c r="L46" s="94"/>
      <c r="M46" s="20"/>
      <c r="N46" s="94"/>
      <c r="O46" s="20"/>
      <c r="P46" s="94"/>
      <c r="Q46" s="20"/>
      <c r="R46" s="94"/>
      <c r="S46" s="20"/>
      <c r="T46" s="94"/>
      <c r="U46" s="20"/>
      <c r="V46" s="95"/>
      <c r="W46" s="9"/>
      <c r="X46" s="9"/>
      <c r="Y46" s="20"/>
      <c r="Z46" s="45"/>
    </row>
    <row r="47">
      <c r="B47" s="85" t="str">
        <f t="shared" si="3"/>
        <v/>
      </c>
      <c r="C47" s="86"/>
      <c r="D47" s="87" t="str">
        <f>IFERROR(__xludf.DUMMYFUNCTION("if(isblank(indirect(""B""&amp;row())),,FILTER(SuperList,SuperList!$C$13:$C$176=indirect(""B""&amp;row())))"),"")</f>
        <v/>
      </c>
      <c r="E47" s="16"/>
      <c r="F47" s="88"/>
      <c r="G47" s="16"/>
      <c r="H47" s="88"/>
      <c r="I47" s="16"/>
      <c r="J47" s="88"/>
      <c r="K47" s="16"/>
      <c r="L47" s="88"/>
      <c r="M47" s="16"/>
      <c r="N47" s="88"/>
      <c r="O47" s="16"/>
      <c r="P47" s="88"/>
      <c r="Q47" s="16"/>
      <c r="R47" s="88"/>
      <c r="S47" s="16"/>
      <c r="T47" s="88"/>
      <c r="U47" s="16"/>
      <c r="V47" s="89"/>
      <c r="W47" s="4"/>
      <c r="X47" s="4"/>
      <c r="Y47" s="16"/>
      <c r="Z47" s="90"/>
    </row>
    <row r="48">
      <c r="B48" s="91" t="str">
        <f t="shared" si="3"/>
        <v/>
      </c>
      <c r="C48" s="92"/>
      <c r="D48" s="93" t="str">
        <f>IFERROR(__xludf.DUMMYFUNCTION("if(isblank(indirect(""B""&amp;row())),,FILTER(SuperList,SuperList!$C$13:$C$176=indirect(""B""&amp;row())))"),"")</f>
        <v/>
      </c>
      <c r="E48" s="20"/>
      <c r="F48" s="94"/>
      <c r="G48" s="20"/>
      <c r="H48" s="94"/>
      <c r="I48" s="20"/>
      <c r="J48" s="94"/>
      <c r="K48" s="20"/>
      <c r="L48" s="94"/>
      <c r="M48" s="20"/>
      <c r="N48" s="94"/>
      <c r="O48" s="20"/>
      <c r="P48" s="94"/>
      <c r="Q48" s="20"/>
      <c r="R48" s="94"/>
      <c r="S48" s="20"/>
      <c r="T48" s="94"/>
      <c r="U48" s="20"/>
      <c r="V48" s="95"/>
      <c r="W48" s="9"/>
      <c r="X48" s="9"/>
      <c r="Y48" s="20"/>
      <c r="Z48" s="45"/>
    </row>
    <row r="49">
      <c r="B49" s="85" t="str">
        <f t="shared" si="3"/>
        <v/>
      </c>
      <c r="C49" s="86"/>
      <c r="D49" s="87" t="str">
        <f>IFERROR(__xludf.DUMMYFUNCTION("if(isblank(indirect(""B""&amp;row())),,FILTER(SuperList,SuperList!$C$13:$C$176=indirect(""B""&amp;row())))"),"")</f>
        <v/>
      </c>
      <c r="E49" s="16"/>
      <c r="F49" s="88"/>
      <c r="G49" s="16"/>
      <c r="H49" s="88"/>
      <c r="I49" s="16"/>
      <c r="J49" s="88"/>
      <c r="K49" s="16"/>
      <c r="L49" s="88"/>
      <c r="M49" s="16"/>
      <c r="N49" s="88"/>
      <c r="O49" s="16"/>
      <c r="P49" s="88"/>
      <c r="Q49" s="16"/>
      <c r="R49" s="88"/>
      <c r="S49" s="16"/>
      <c r="T49" s="88"/>
      <c r="U49" s="16"/>
      <c r="V49" s="89"/>
      <c r="W49" s="4"/>
      <c r="X49" s="4"/>
      <c r="Y49" s="16"/>
      <c r="Z49" s="90"/>
    </row>
    <row r="50">
      <c r="B50" s="91" t="str">
        <f t="shared" si="3"/>
        <v/>
      </c>
      <c r="C50" s="92"/>
      <c r="D50" s="93" t="str">
        <f>IFERROR(__xludf.DUMMYFUNCTION("if(isblank(indirect(""B""&amp;row())),,FILTER(SuperList,SuperList!$C$13:$C$176=indirect(""B""&amp;row())))"),"")</f>
        <v/>
      </c>
      <c r="E50" s="20"/>
      <c r="F50" s="94"/>
      <c r="G50" s="20"/>
      <c r="H50" s="94"/>
      <c r="I50" s="20"/>
      <c r="J50" s="94"/>
      <c r="K50" s="20"/>
      <c r="L50" s="94"/>
      <c r="M50" s="20"/>
      <c r="N50" s="94"/>
      <c r="O50" s="20"/>
      <c r="P50" s="94"/>
      <c r="Q50" s="20"/>
      <c r="R50" s="94"/>
      <c r="S50" s="20"/>
      <c r="T50" s="94"/>
      <c r="U50" s="20"/>
      <c r="V50" s="95"/>
      <c r="W50" s="9"/>
      <c r="X50" s="9"/>
      <c r="Y50" s="20"/>
      <c r="Z50" s="45"/>
    </row>
    <row r="51">
      <c r="B51" s="85" t="str">
        <f t="shared" si="3"/>
        <v/>
      </c>
      <c r="C51" s="86"/>
      <c r="D51" s="87" t="str">
        <f>IFERROR(__xludf.DUMMYFUNCTION("if(isblank(indirect(""B""&amp;row())),,FILTER(SuperList,SuperList!$C$13:$C$176=indirect(""B""&amp;row())))"),"")</f>
        <v/>
      </c>
      <c r="E51" s="16"/>
      <c r="F51" s="88"/>
      <c r="G51" s="16"/>
      <c r="H51" s="88"/>
      <c r="I51" s="16"/>
      <c r="J51" s="88"/>
      <c r="K51" s="16"/>
      <c r="L51" s="88"/>
      <c r="M51" s="16"/>
      <c r="N51" s="88"/>
      <c r="O51" s="16"/>
      <c r="P51" s="88"/>
      <c r="Q51" s="16"/>
      <c r="R51" s="88"/>
      <c r="S51" s="16"/>
      <c r="T51" s="88"/>
      <c r="U51" s="16"/>
      <c r="V51" s="89"/>
      <c r="W51" s="4"/>
      <c r="X51" s="4"/>
      <c r="Y51" s="16"/>
      <c r="Z51" s="90"/>
    </row>
    <row r="52"/>
    <row r="53">
      <c r="B53" s="82" t="s">
        <v>6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5"/>
    </row>
    <row r="54">
      <c r="B54" s="83" t="s">
        <v>12</v>
      </c>
      <c r="C54" s="83"/>
      <c r="D54" s="84" t="s">
        <v>14</v>
      </c>
      <c r="E54" s="5"/>
      <c r="F54" s="84" t="s">
        <v>15</v>
      </c>
      <c r="G54" s="5"/>
      <c r="H54" s="84" t="s">
        <v>16</v>
      </c>
      <c r="I54" s="5"/>
      <c r="J54" s="84" t="s">
        <v>17</v>
      </c>
      <c r="K54" s="5"/>
      <c r="L54" s="84" t="s">
        <v>18</v>
      </c>
      <c r="M54" s="5"/>
      <c r="N54" s="84" t="s">
        <v>19</v>
      </c>
      <c r="O54" s="5"/>
      <c r="P54" s="84" t="s">
        <v>20</v>
      </c>
      <c r="Q54" s="5"/>
      <c r="R54" s="84" t="s">
        <v>21</v>
      </c>
      <c r="S54" s="5"/>
      <c r="T54" s="84" t="s">
        <v>22</v>
      </c>
      <c r="U54" s="5"/>
      <c r="V54" s="84" t="s">
        <v>23</v>
      </c>
      <c r="W54" s="41"/>
      <c r="X54" s="41"/>
      <c r="Y54" s="5"/>
      <c r="Z54" s="83" t="s">
        <v>542</v>
      </c>
    </row>
    <row r="55">
      <c r="B55" s="85" t="str">
        <f t="shared" ref="B55:B67" si="4">if(isblank(indirect("'Known Spells'!B"&amp;row())),,right(indirect("'Known Spells'!B"&amp;row()),len(indirect("'Known Spells'!B"&amp;row()))-2))</f>
        <v/>
      </c>
      <c r="C55" s="86"/>
      <c r="D55" s="87" t="str">
        <f>IFERROR(__xludf.DUMMYFUNCTION("if(isblank(indirect(""B""&amp;row())),,FILTER(SuperList,SuperList!$C$13:$C$176=indirect(""B""&amp;row())))"),"")</f>
        <v/>
      </c>
      <c r="E55" s="16"/>
      <c r="F55" s="88"/>
      <c r="G55" s="16"/>
      <c r="H55" s="88"/>
      <c r="I55" s="16"/>
      <c r="J55" s="88"/>
      <c r="K55" s="16"/>
      <c r="L55" s="88"/>
      <c r="M55" s="16"/>
      <c r="N55" s="88"/>
      <c r="O55" s="16"/>
      <c r="P55" s="88"/>
      <c r="Q55" s="16"/>
      <c r="R55" s="88"/>
      <c r="S55" s="16"/>
      <c r="T55" s="88"/>
      <c r="U55" s="16"/>
      <c r="V55" s="89"/>
      <c r="W55" s="4"/>
      <c r="X55" s="4"/>
      <c r="Y55" s="16"/>
      <c r="Z55" s="90"/>
    </row>
    <row r="56">
      <c r="B56" s="91" t="str">
        <f t="shared" si="4"/>
        <v/>
      </c>
      <c r="C56" s="92"/>
      <c r="D56" s="93" t="str">
        <f>IFERROR(__xludf.DUMMYFUNCTION("if(isblank(indirect(""B""&amp;row())),,FILTER(SuperList,SuperList!$C$13:$C$176=indirect(""B""&amp;row())))"),"")</f>
        <v/>
      </c>
      <c r="E56" s="20"/>
      <c r="F56" s="94"/>
      <c r="G56" s="20"/>
      <c r="H56" s="94"/>
      <c r="I56" s="20"/>
      <c r="J56" s="94"/>
      <c r="K56" s="20"/>
      <c r="L56" s="94"/>
      <c r="M56" s="20"/>
      <c r="N56" s="94"/>
      <c r="O56" s="20"/>
      <c r="P56" s="94"/>
      <c r="Q56" s="20"/>
      <c r="R56" s="94"/>
      <c r="S56" s="20"/>
      <c r="T56" s="94"/>
      <c r="U56" s="20"/>
      <c r="V56" s="95"/>
      <c r="W56" s="9"/>
      <c r="X56" s="9"/>
      <c r="Y56" s="20"/>
      <c r="Z56" s="45"/>
    </row>
    <row r="57">
      <c r="B57" s="85" t="str">
        <f t="shared" si="4"/>
        <v/>
      </c>
      <c r="C57" s="86"/>
      <c r="D57" s="87" t="str">
        <f>IFERROR(__xludf.DUMMYFUNCTION("if(isblank(indirect(""B""&amp;row())),,FILTER(SuperList,SuperList!$C$13:$C$176=indirect(""B""&amp;row())))"),"")</f>
        <v/>
      </c>
      <c r="E57" s="16"/>
      <c r="F57" s="88"/>
      <c r="G57" s="16"/>
      <c r="H57" s="88"/>
      <c r="I57" s="16"/>
      <c r="J57" s="88"/>
      <c r="K57" s="16"/>
      <c r="L57" s="88"/>
      <c r="M57" s="16"/>
      <c r="N57" s="88"/>
      <c r="O57" s="16"/>
      <c r="P57" s="88"/>
      <c r="Q57" s="16"/>
      <c r="R57" s="88"/>
      <c r="S57" s="16"/>
      <c r="T57" s="88"/>
      <c r="U57" s="16"/>
      <c r="V57" s="89"/>
      <c r="W57" s="4"/>
      <c r="X57" s="4"/>
      <c r="Y57" s="16"/>
      <c r="Z57" s="90"/>
    </row>
    <row r="58">
      <c r="B58" s="91" t="str">
        <f t="shared" si="4"/>
        <v/>
      </c>
      <c r="C58" s="92"/>
      <c r="D58" s="93" t="str">
        <f>IFERROR(__xludf.DUMMYFUNCTION("if(isblank(indirect(""B""&amp;row())),,FILTER(SuperList,SuperList!$C$13:$C$176=indirect(""B""&amp;row())))"),"")</f>
        <v/>
      </c>
      <c r="E58" s="20"/>
      <c r="F58" s="94"/>
      <c r="G58" s="20"/>
      <c r="H58" s="94"/>
      <c r="I58" s="20"/>
      <c r="J58" s="94"/>
      <c r="K58" s="20"/>
      <c r="L58" s="94"/>
      <c r="M58" s="20"/>
      <c r="N58" s="94"/>
      <c r="O58" s="20"/>
      <c r="P58" s="94"/>
      <c r="Q58" s="20"/>
      <c r="R58" s="94"/>
      <c r="S58" s="20"/>
      <c r="T58" s="94"/>
      <c r="U58" s="20"/>
      <c r="V58" s="95"/>
      <c r="W58" s="9"/>
      <c r="X58" s="9"/>
      <c r="Y58" s="20"/>
      <c r="Z58" s="45"/>
    </row>
    <row r="59">
      <c r="B59" s="85" t="str">
        <f t="shared" si="4"/>
        <v/>
      </c>
      <c r="C59" s="86"/>
      <c r="D59" s="87" t="str">
        <f>IFERROR(__xludf.DUMMYFUNCTION("if(isblank(indirect(""B""&amp;row())),,FILTER(SuperList,SuperList!$C$13:$C$176=indirect(""B""&amp;row())))"),"")</f>
        <v/>
      </c>
      <c r="E59" s="16"/>
      <c r="F59" s="88"/>
      <c r="G59" s="16"/>
      <c r="H59" s="88"/>
      <c r="I59" s="16"/>
      <c r="J59" s="88"/>
      <c r="K59" s="16"/>
      <c r="L59" s="88"/>
      <c r="M59" s="16"/>
      <c r="N59" s="88"/>
      <c r="O59" s="16"/>
      <c r="P59" s="88"/>
      <c r="Q59" s="16"/>
      <c r="R59" s="88"/>
      <c r="S59" s="16"/>
      <c r="T59" s="88"/>
      <c r="U59" s="16"/>
      <c r="V59" s="89"/>
      <c r="W59" s="4"/>
      <c r="X59" s="4"/>
      <c r="Y59" s="16"/>
      <c r="Z59" s="90"/>
    </row>
    <row r="60">
      <c r="B60" s="91" t="str">
        <f t="shared" si="4"/>
        <v/>
      </c>
      <c r="C60" s="92"/>
      <c r="D60" s="93" t="str">
        <f>IFERROR(__xludf.DUMMYFUNCTION("if(isblank(indirect(""B""&amp;row())),,FILTER(SuperList,SuperList!$C$13:$C$176=indirect(""B""&amp;row())))"),"")</f>
        <v/>
      </c>
      <c r="E60" s="20"/>
      <c r="F60" s="94"/>
      <c r="G60" s="20"/>
      <c r="H60" s="94"/>
      <c r="I60" s="20"/>
      <c r="J60" s="94"/>
      <c r="K60" s="20"/>
      <c r="L60" s="94"/>
      <c r="M60" s="20"/>
      <c r="N60" s="94"/>
      <c r="O60" s="20"/>
      <c r="P60" s="94"/>
      <c r="Q60" s="20"/>
      <c r="R60" s="94"/>
      <c r="S60" s="20"/>
      <c r="T60" s="94"/>
      <c r="U60" s="20"/>
      <c r="V60" s="95"/>
      <c r="W60" s="9"/>
      <c r="X60" s="9"/>
      <c r="Y60" s="20"/>
      <c r="Z60" s="45"/>
    </row>
    <row r="61">
      <c r="B61" s="85" t="str">
        <f t="shared" si="4"/>
        <v/>
      </c>
      <c r="C61" s="86"/>
      <c r="D61" s="87" t="str">
        <f>IFERROR(__xludf.DUMMYFUNCTION("if(isblank(indirect(""B""&amp;row())),,FILTER(SuperList,SuperList!$C$13:$C$176=indirect(""B""&amp;row())))"),"")</f>
        <v/>
      </c>
      <c r="E61" s="16"/>
      <c r="F61" s="88"/>
      <c r="G61" s="16"/>
      <c r="H61" s="88"/>
      <c r="I61" s="16"/>
      <c r="J61" s="88"/>
      <c r="K61" s="16"/>
      <c r="L61" s="88"/>
      <c r="M61" s="16"/>
      <c r="N61" s="88"/>
      <c r="O61" s="16"/>
      <c r="P61" s="88"/>
      <c r="Q61" s="16"/>
      <c r="R61" s="88"/>
      <c r="S61" s="16"/>
      <c r="T61" s="88"/>
      <c r="U61" s="16"/>
      <c r="V61" s="89"/>
      <c r="W61" s="4"/>
      <c r="X61" s="4"/>
      <c r="Y61" s="16"/>
      <c r="Z61" s="90"/>
    </row>
    <row r="62">
      <c r="B62" s="91" t="str">
        <f t="shared" si="4"/>
        <v/>
      </c>
      <c r="C62" s="92"/>
      <c r="D62" s="93" t="str">
        <f>IFERROR(__xludf.DUMMYFUNCTION("if(isblank(indirect(""B""&amp;row())),,FILTER(SuperList,SuperList!$C$13:$C$176=indirect(""B""&amp;row())))"),"")</f>
        <v/>
      </c>
      <c r="E62" s="20"/>
      <c r="F62" s="94"/>
      <c r="G62" s="20"/>
      <c r="H62" s="94"/>
      <c r="I62" s="20"/>
      <c r="J62" s="94"/>
      <c r="K62" s="20"/>
      <c r="L62" s="94"/>
      <c r="M62" s="20"/>
      <c r="N62" s="94"/>
      <c r="O62" s="20"/>
      <c r="P62" s="94"/>
      <c r="Q62" s="20"/>
      <c r="R62" s="94"/>
      <c r="S62" s="20"/>
      <c r="T62" s="94"/>
      <c r="U62" s="20"/>
      <c r="V62" s="95"/>
      <c r="W62" s="9"/>
      <c r="X62" s="9"/>
      <c r="Y62" s="20"/>
      <c r="Z62" s="45"/>
    </row>
    <row r="63">
      <c r="B63" s="85" t="str">
        <f t="shared" si="4"/>
        <v/>
      </c>
      <c r="C63" s="86"/>
      <c r="D63" s="87" t="str">
        <f>IFERROR(__xludf.DUMMYFUNCTION("if(isblank(indirect(""B""&amp;row())),,FILTER(SuperList,SuperList!$C$13:$C$176=indirect(""B""&amp;row())))"),"")</f>
        <v/>
      </c>
      <c r="E63" s="16"/>
      <c r="F63" s="88"/>
      <c r="G63" s="16"/>
      <c r="H63" s="88"/>
      <c r="I63" s="16"/>
      <c r="J63" s="88"/>
      <c r="K63" s="16"/>
      <c r="L63" s="88"/>
      <c r="M63" s="16"/>
      <c r="N63" s="88"/>
      <c r="O63" s="16"/>
      <c r="P63" s="88"/>
      <c r="Q63" s="16"/>
      <c r="R63" s="88"/>
      <c r="S63" s="16"/>
      <c r="T63" s="88"/>
      <c r="U63" s="16"/>
      <c r="V63" s="89"/>
      <c r="W63" s="4"/>
      <c r="X63" s="4"/>
      <c r="Y63" s="16"/>
      <c r="Z63" s="90"/>
    </row>
    <row r="64">
      <c r="B64" s="91" t="str">
        <f t="shared" si="4"/>
        <v/>
      </c>
      <c r="C64" s="92"/>
      <c r="D64" s="93" t="str">
        <f>IFERROR(__xludf.DUMMYFUNCTION("if(isblank(indirect(""B""&amp;row())),,FILTER(SuperList,SuperList!$C$13:$C$176=indirect(""B""&amp;row())))"),"")</f>
        <v/>
      </c>
      <c r="E64" s="20"/>
      <c r="F64" s="94"/>
      <c r="G64" s="20"/>
      <c r="H64" s="94"/>
      <c r="I64" s="20"/>
      <c r="J64" s="94"/>
      <c r="K64" s="20"/>
      <c r="L64" s="94"/>
      <c r="M64" s="20"/>
      <c r="N64" s="94"/>
      <c r="O64" s="20"/>
      <c r="P64" s="94"/>
      <c r="Q64" s="20"/>
      <c r="R64" s="94"/>
      <c r="S64" s="20"/>
      <c r="T64" s="94"/>
      <c r="U64" s="20"/>
      <c r="V64" s="95"/>
      <c r="W64" s="9"/>
      <c r="X64" s="9"/>
      <c r="Y64" s="20"/>
      <c r="Z64" s="45"/>
    </row>
    <row r="65">
      <c r="B65" s="85" t="str">
        <f t="shared" si="4"/>
        <v/>
      </c>
      <c r="C65" s="86"/>
      <c r="D65" s="87" t="str">
        <f>IFERROR(__xludf.DUMMYFUNCTION("if(isblank(indirect(""B""&amp;row())),,FILTER(SuperList,SuperList!$C$13:$C$176=indirect(""B""&amp;row())))"),"")</f>
        <v/>
      </c>
      <c r="E65" s="16"/>
      <c r="F65" s="88"/>
      <c r="G65" s="16"/>
      <c r="H65" s="88"/>
      <c r="I65" s="16"/>
      <c r="J65" s="88"/>
      <c r="K65" s="16"/>
      <c r="L65" s="88"/>
      <c r="M65" s="16"/>
      <c r="N65" s="88"/>
      <c r="O65" s="16"/>
      <c r="P65" s="88"/>
      <c r="Q65" s="16"/>
      <c r="R65" s="88"/>
      <c r="S65" s="16"/>
      <c r="T65" s="88"/>
      <c r="U65" s="16"/>
      <c r="V65" s="89"/>
      <c r="W65" s="4"/>
      <c r="X65" s="4"/>
      <c r="Y65" s="16"/>
      <c r="Z65" s="90"/>
    </row>
    <row r="66">
      <c r="B66" s="91" t="str">
        <f t="shared" si="4"/>
        <v/>
      </c>
      <c r="C66" s="92"/>
      <c r="D66" s="93" t="str">
        <f>IFERROR(__xludf.DUMMYFUNCTION("if(isblank(indirect(""B""&amp;row())),,FILTER(SuperList,SuperList!$C$13:$C$176=indirect(""B""&amp;row())))"),"")</f>
        <v/>
      </c>
      <c r="E66" s="20"/>
      <c r="F66" s="94"/>
      <c r="G66" s="20"/>
      <c r="H66" s="94"/>
      <c r="I66" s="20"/>
      <c r="J66" s="94"/>
      <c r="K66" s="20"/>
      <c r="L66" s="94"/>
      <c r="M66" s="20"/>
      <c r="N66" s="94"/>
      <c r="O66" s="20"/>
      <c r="P66" s="94"/>
      <c r="Q66" s="20"/>
      <c r="R66" s="94"/>
      <c r="S66" s="20"/>
      <c r="T66" s="94"/>
      <c r="U66" s="20"/>
      <c r="V66" s="95"/>
      <c r="W66" s="9"/>
      <c r="X66" s="9"/>
      <c r="Y66" s="20"/>
      <c r="Z66" s="45"/>
    </row>
    <row r="67">
      <c r="B67" s="85" t="str">
        <f t="shared" si="4"/>
        <v/>
      </c>
      <c r="C67" s="86"/>
      <c r="D67" s="87" t="str">
        <f>IFERROR(__xludf.DUMMYFUNCTION("if(isblank(indirect(""B""&amp;row())),,FILTER(SuperList,SuperList!$C$13:$C$176=indirect(""B""&amp;row())))"),"")</f>
        <v/>
      </c>
      <c r="E67" s="16"/>
      <c r="F67" s="88"/>
      <c r="G67" s="16"/>
      <c r="H67" s="88"/>
      <c r="I67" s="16"/>
      <c r="J67" s="88"/>
      <c r="K67" s="16"/>
      <c r="L67" s="88"/>
      <c r="M67" s="16"/>
      <c r="N67" s="88"/>
      <c r="O67" s="16"/>
      <c r="P67" s="88"/>
      <c r="Q67" s="16"/>
      <c r="R67" s="88"/>
      <c r="S67" s="16"/>
      <c r="T67" s="88"/>
      <c r="U67" s="16"/>
      <c r="V67" s="89"/>
      <c r="W67" s="4"/>
      <c r="X67" s="4"/>
      <c r="Y67" s="16"/>
      <c r="Z67" s="90"/>
    </row>
    <row r="68"/>
    <row r="69">
      <c r="B69" s="82" t="s">
        <v>7</v>
      </c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5"/>
    </row>
    <row r="70">
      <c r="B70" s="83" t="s">
        <v>12</v>
      </c>
      <c r="C70" s="83"/>
      <c r="D70" s="84" t="s">
        <v>14</v>
      </c>
      <c r="E70" s="5"/>
      <c r="F70" s="84" t="s">
        <v>15</v>
      </c>
      <c r="G70" s="5"/>
      <c r="H70" s="84" t="s">
        <v>16</v>
      </c>
      <c r="I70" s="5"/>
      <c r="J70" s="84" t="s">
        <v>17</v>
      </c>
      <c r="K70" s="5"/>
      <c r="L70" s="84" t="s">
        <v>18</v>
      </c>
      <c r="M70" s="5"/>
      <c r="N70" s="84" t="s">
        <v>19</v>
      </c>
      <c r="O70" s="5"/>
      <c r="P70" s="84" t="s">
        <v>20</v>
      </c>
      <c r="Q70" s="5"/>
      <c r="R70" s="84" t="s">
        <v>21</v>
      </c>
      <c r="S70" s="5"/>
      <c r="T70" s="84" t="s">
        <v>22</v>
      </c>
      <c r="U70" s="5"/>
      <c r="V70" s="84" t="s">
        <v>23</v>
      </c>
      <c r="W70" s="41"/>
      <c r="X70" s="41"/>
      <c r="Y70" s="5"/>
      <c r="Z70" s="83" t="s">
        <v>542</v>
      </c>
    </row>
    <row r="71">
      <c r="B71" s="85" t="str">
        <f t="shared" ref="B71:B83" si="5">if(isblank(indirect("'Known Spells'!B"&amp;row())),,right(indirect("'Known Spells'!B"&amp;row()),len(indirect("'Known Spells'!B"&amp;row()))-2))</f>
        <v/>
      </c>
      <c r="C71" s="86"/>
      <c r="D71" s="87" t="str">
        <f>IFERROR(__xludf.DUMMYFUNCTION("if(isblank(indirect(""B""&amp;row())),,FILTER(SuperList,SuperList!$C$13:$C$176=indirect(""B""&amp;row())))"),"")</f>
        <v/>
      </c>
      <c r="E71" s="16"/>
      <c r="F71" s="88"/>
      <c r="G71" s="16"/>
      <c r="H71" s="88"/>
      <c r="I71" s="16"/>
      <c r="J71" s="88"/>
      <c r="K71" s="16"/>
      <c r="L71" s="88"/>
      <c r="M71" s="16"/>
      <c r="N71" s="88"/>
      <c r="O71" s="16"/>
      <c r="P71" s="88"/>
      <c r="Q71" s="16"/>
      <c r="R71" s="88"/>
      <c r="S71" s="16"/>
      <c r="T71" s="88"/>
      <c r="U71" s="16"/>
      <c r="V71" s="89"/>
      <c r="W71" s="4"/>
      <c r="X71" s="4"/>
      <c r="Y71" s="16"/>
      <c r="Z71" s="90"/>
    </row>
    <row r="72">
      <c r="B72" s="91" t="str">
        <f t="shared" si="5"/>
        <v/>
      </c>
      <c r="C72" s="92"/>
      <c r="D72" s="93" t="str">
        <f>IFERROR(__xludf.DUMMYFUNCTION("if(isblank(indirect(""B""&amp;row())),,FILTER(SuperList,SuperList!$C$13:$C$176=indirect(""B""&amp;row())))"),"")</f>
        <v/>
      </c>
      <c r="E72" s="20"/>
      <c r="F72" s="94"/>
      <c r="G72" s="20"/>
      <c r="H72" s="94"/>
      <c r="I72" s="20"/>
      <c r="J72" s="94"/>
      <c r="K72" s="20"/>
      <c r="L72" s="94"/>
      <c r="M72" s="20"/>
      <c r="N72" s="94"/>
      <c r="O72" s="20"/>
      <c r="P72" s="94"/>
      <c r="Q72" s="20"/>
      <c r="R72" s="94"/>
      <c r="S72" s="20"/>
      <c r="T72" s="94"/>
      <c r="U72" s="20"/>
      <c r="V72" s="95"/>
      <c r="W72" s="9"/>
      <c r="X72" s="9"/>
      <c r="Y72" s="20"/>
      <c r="Z72" s="45"/>
    </row>
    <row r="73">
      <c r="B73" s="85" t="str">
        <f t="shared" si="5"/>
        <v/>
      </c>
      <c r="C73" s="86"/>
      <c r="D73" s="87" t="str">
        <f>IFERROR(__xludf.DUMMYFUNCTION("if(isblank(indirect(""B""&amp;row())),,FILTER(SuperList,SuperList!$C$13:$C$176=indirect(""B""&amp;row())))"),"")</f>
        <v/>
      </c>
      <c r="E73" s="16"/>
      <c r="F73" s="88"/>
      <c r="G73" s="16"/>
      <c r="H73" s="88"/>
      <c r="I73" s="16"/>
      <c r="J73" s="88"/>
      <c r="K73" s="16"/>
      <c r="L73" s="88"/>
      <c r="M73" s="16"/>
      <c r="N73" s="88"/>
      <c r="O73" s="16"/>
      <c r="P73" s="88"/>
      <c r="Q73" s="16"/>
      <c r="R73" s="88"/>
      <c r="S73" s="16"/>
      <c r="T73" s="88"/>
      <c r="U73" s="16"/>
      <c r="V73" s="89"/>
      <c r="W73" s="4"/>
      <c r="X73" s="4"/>
      <c r="Y73" s="16"/>
      <c r="Z73" s="90"/>
    </row>
    <row r="74">
      <c r="B74" s="91" t="str">
        <f t="shared" si="5"/>
        <v/>
      </c>
      <c r="C74" s="92"/>
      <c r="D74" s="93" t="str">
        <f>IFERROR(__xludf.DUMMYFUNCTION("if(isblank(indirect(""B""&amp;row())),,FILTER(SuperList,SuperList!$C$13:$C$176=indirect(""B""&amp;row())))"),"")</f>
        <v/>
      </c>
      <c r="E74" s="20"/>
      <c r="F74" s="94"/>
      <c r="G74" s="20"/>
      <c r="H74" s="94"/>
      <c r="I74" s="20"/>
      <c r="J74" s="94"/>
      <c r="K74" s="20"/>
      <c r="L74" s="94"/>
      <c r="M74" s="20"/>
      <c r="N74" s="94"/>
      <c r="O74" s="20"/>
      <c r="P74" s="94"/>
      <c r="Q74" s="20"/>
      <c r="R74" s="94"/>
      <c r="S74" s="20"/>
      <c r="T74" s="94"/>
      <c r="U74" s="20"/>
      <c r="V74" s="95"/>
      <c r="W74" s="9"/>
      <c r="X74" s="9"/>
      <c r="Y74" s="20"/>
      <c r="Z74" s="45"/>
    </row>
    <row r="75">
      <c r="B75" s="85" t="str">
        <f t="shared" si="5"/>
        <v/>
      </c>
      <c r="C75" s="86"/>
      <c r="D75" s="87" t="str">
        <f>IFERROR(__xludf.DUMMYFUNCTION("if(isblank(indirect(""B""&amp;row())),,FILTER(SuperList,SuperList!$C$13:$C$176=indirect(""B""&amp;row())))"),"")</f>
        <v/>
      </c>
      <c r="E75" s="16"/>
      <c r="F75" s="88"/>
      <c r="G75" s="16"/>
      <c r="H75" s="88"/>
      <c r="I75" s="16"/>
      <c r="J75" s="88"/>
      <c r="K75" s="16"/>
      <c r="L75" s="88"/>
      <c r="M75" s="16"/>
      <c r="N75" s="88"/>
      <c r="O75" s="16"/>
      <c r="P75" s="88"/>
      <c r="Q75" s="16"/>
      <c r="R75" s="88"/>
      <c r="S75" s="16"/>
      <c r="T75" s="88"/>
      <c r="U75" s="16"/>
      <c r="V75" s="89"/>
      <c r="W75" s="4"/>
      <c r="X75" s="4"/>
      <c r="Y75" s="16"/>
      <c r="Z75" s="90"/>
    </row>
    <row r="76">
      <c r="B76" s="91" t="str">
        <f t="shared" si="5"/>
        <v/>
      </c>
      <c r="C76" s="92"/>
      <c r="D76" s="93" t="str">
        <f>IFERROR(__xludf.DUMMYFUNCTION("if(isblank(indirect(""B""&amp;row())),,FILTER(SuperList,SuperList!$C$13:$C$176=indirect(""B""&amp;row())))"),"")</f>
        <v/>
      </c>
      <c r="E76" s="20"/>
      <c r="F76" s="94"/>
      <c r="G76" s="20"/>
      <c r="H76" s="94"/>
      <c r="I76" s="20"/>
      <c r="J76" s="94"/>
      <c r="K76" s="20"/>
      <c r="L76" s="94"/>
      <c r="M76" s="20"/>
      <c r="N76" s="94"/>
      <c r="O76" s="20"/>
      <c r="P76" s="94"/>
      <c r="Q76" s="20"/>
      <c r="R76" s="94"/>
      <c r="S76" s="20"/>
      <c r="T76" s="94"/>
      <c r="U76" s="20"/>
      <c r="V76" s="95"/>
      <c r="W76" s="9"/>
      <c r="X76" s="9"/>
      <c r="Y76" s="20"/>
      <c r="Z76" s="45"/>
    </row>
    <row r="77">
      <c r="B77" s="85" t="str">
        <f t="shared" si="5"/>
        <v/>
      </c>
      <c r="C77" s="86"/>
      <c r="D77" s="87" t="str">
        <f>IFERROR(__xludf.DUMMYFUNCTION("if(isblank(indirect(""B""&amp;row())),,FILTER(SuperList,SuperList!$C$13:$C$176=indirect(""B""&amp;row())))"),"")</f>
        <v/>
      </c>
      <c r="E77" s="16"/>
      <c r="F77" s="88"/>
      <c r="G77" s="16"/>
      <c r="H77" s="88"/>
      <c r="I77" s="16"/>
      <c r="J77" s="88"/>
      <c r="K77" s="16"/>
      <c r="L77" s="88"/>
      <c r="M77" s="16"/>
      <c r="N77" s="88"/>
      <c r="O77" s="16"/>
      <c r="P77" s="88"/>
      <c r="Q77" s="16"/>
      <c r="R77" s="88"/>
      <c r="S77" s="16"/>
      <c r="T77" s="88"/>
      <c r="U77" s="16"/>
      <c r="V77" s="89"/>
      <c r="W77" s="4"/>
      <c r="X77" s="4"/>
      <c r="Y77" s="16"/>
      <c r="Z77" s="90"/>
    </row>
    <row r="78">
      <c r="B78" s="91" t="str">
        <f t="shared" si="5"/>
        <v/>
      </c>
      <c r="C78" s="92"/>
      <c r="D78" s="93" t="str">
        <f>IFERROR(__xludf.DUMMYFUNCTION("if(isblank(indirect(""B""&amp;row())),,FILTER(SuperList,SuperList!$C$13:$C$176=indirect(""B""&amp;row())))"),"")</f>
        <v/>
      </c>
      <c r="E78" s="20"/>
      <c r="F78" s="94"/>
      <c r="G78" s="20"/>
      <c r="H78" s="94"/>
      <c r="I78" s="20"/>
      <c r="J78" s="94"/>
      <c r="K78" s="20"/>
      <c r="L78" s="94"/>
      <c r="M78" s="20"/>
      <c r="N78" s="94"/>
      <c r="O78" s="20"/>
      <c r="P78" s="94"/>
      <c r="Q78" s="20"/>
      <c r="R78" s="94"/>
      <c r="S78" s="20"/>
      <c r="T78" s="94"/>
      <c r="U78" s="20"/>
      <c r="V78" s="95"/>
      <c r="W78" s="9"/>
      <c r="X78" s="9"/>
      <c r="Y78" s="20"/>
      <c r="Z78" s="45"/>
    </row>
    <row r="79">
      <c r="B79" s="85" t="str">
        <f t="shared" si="5"/>
        <v/>
      </c>
      <c r="C79" s="86"/>
      <c r="D79" s="87" t="str">
        <f>IFERROR(__xludf.DUMMYFUNCTION("if(isblank(indirect(""B""&amp;row())),,FILTER(SuperList,SuperList!$C$13:$C$176=indirect(""B""&amp;row())))"),"")</f>
        <v/>
      </c>
      <c r="E79" s="16"/>
      <c r="F79" s="88"/>
      <c r="G79" s="16"/>
      <c r="H79" s="88"/>
      <c r="I79" s="16"/>
      <c r="J79" s="88"/>
      <c r="K79" s="16"/>
      <c r="L79" s="88"/>
      <c r="M79" s="16"/>
      <c r="N79" s="88"/>
      <c r="O79" s="16"/>
      <c r="P79" s="88"/>
      <c r="Q79" s="16"/>
      <c r="R79" s="88"/>
      <c r="S79" s="16"/>
      <c r="T79" s="88"/>
      <c r="U79" s="16"/>
      <c r="V79" s="89"/>
      <c r="W79" s="4"/>
      <c r="X79" s="4"/>
      <c r="Y79" s="16"/>
      <c r="Z79" s="90"/>
    </row>
    <row r="80">
      <c r="B80" s="91" t="str">
        <f t="shared" si="5"/>
        <v/>
      </c>
      <c r="C80" s="92"/>
      <c r="D80" s="93" t="str">
        <f>IFERROR(__xludf.DUMMYFUNCTION("if(isblank(indirect(""B""&amp;row())),,FILTER(SuperList,SuperList!$C$13:$C$176=indirect(""B""&amp;row())))"),"")</f>
        <v/>
      </c>
      <c r="E80" s="20"/>
      <c r="F80" s="94"/>
      <c r="G80" s="20"/>
      <c r="H80" s="94"/>
      <c r="I80" s="20"/>
      <c r="J80" s="94"/>
      <c r="K80" s="20"/>
      <c r="L80" s="94"/>
      <c r="M80" s="20"/>
      <c r="N80" s="94"/>
      <c r="O80" s="20"/>
      <c r="P80" s="94"/>
      <c r="Q80" s="20"/>
      <c r="R80" s="94"/>
      <c r="S80" s="20"/>
      <c r="T80" s="94"/>
      <c r="U80" s="20"/>
      <c r="V80" s="95"/>
      <c r="W80" s="9"/>
      <c r="X80" s="9"/>
      <c r="Y80" s="20"/>
      <c r="Z80" s="45"/>
    </row>
    <row r="81">
      <c r="B81" s="85" t="str">
        <f t="shared" si="5"/>
        <v/>
      </c>
      <c r="C81" s="86"/>
      <c r="D81" s="87" t="str">
        <f>IFERROR(__xludf.DUMMYFUNCTION("if(isblank(indirect(""B""&amp;row())),,FILTER(SuperList,SuperList!$C$13:$C$176=indirect(""B""&amp;row())))"),"")</f>
        <v/>
      </c>
      <c r="E81" s="16"/>
      <c r="F81" s="88"/>
      <c r="G81" s="16"/>
      <c r="H81" s="88"/>
      <c r="I81" s="16"/>
      <c r="J81" s="88"/>
      <c r="K81" s="16"/>
      <c r="L81" s="88"/>
      <c r="M81" s="16"/>
      <c r="N81" s="88"/>
      <c r="O81" s="16"/>
      <c r="P81" s="88"/>
      <c r="Q81" s="16"/>
      <c r="R81" s="88"/>
      <c r="S81" s="16"/>
      <c r="T81" s="88"/>
      <c r="U81" s="16"/>
      <c r="V81" s="89"/>
      <c r="W81" s="4"/>
      <c r="X81" s="4"/>
      <c r="Y81" s="16"/>
      <c r="Z81" s="90"/>
    </row>
    <row r="82">
      <c r="B82" s="91" t="str">
        <f t="shared" si="5"/>
        <v/>
      </c>
      <c r="C82" s="92"/>
      <c r="D82" s="93" t="str">
        <f>IFERROR(__xludf.DUMMYFUNCTION("if(isblank(indirect(""B""&amp;row())),,FILTER(SuperList,SuperList!$C$13:$C$176=indirect(""B""&amp;row())))"),"")</f>
        <v/>
      </c>
      <c r="E82" s="20"/>
      <c r="F82" s="94"/>
      <c r="G82" s="20"/>
      <c r="H82" s="94"/>
      <c r="I82" s="20"/>
      <c r="J82" s="94"/>
      <c r="K82" s="20"/>
      <c r="L82" s="94"/>
      <c r="M82" s="20"/>
      <c r="N82" s="94"/>
      <c r="O82" s="20"/>
      <c r="P82" s="94"/>
      <c r="Q82" s="20"/>
      <c r="R82" s="94"/>
      <c r="S82" s="20"/>
      <c r="T82" s="94"/>
      <c r="U82" s="20"/>
      <c r="V82" s="95"/>
      <c r="W82" s="9"/>
      <c r="X82" s="9"/>
      <c r="Y82" s="20"/>
      <c r="Z82" s="45"/>
    </row>
    <row r="83">
      <c r="B83" s="85" t="str">
        <f t="shared" si="5"/>
        <v/>
      </c>
      <c r="C83" s="86"/>
      <c r="D83" s="87" t="str">
        <f>IFERROR(__xludf.DUMMYFUNCTION("if(isblank(indirect(""B""&amp;row())),,FILTER(SuperList,SuperList!$C$13:$C$176=indirect(""B""&amp;row())))"),"")</f>
        <v/>
      </c>
      <c r="E83" s="16"/>
      <c r="F83" s="88"/>
      <c r="G83" s="16"/>
      <c r="H83" s="88"/>
      <c r="I83" s="16"/>
      <c r="J83" s="88"/>
      <c r="K83" s="16"/>
      <c r="L83" s="88"/>
      <c r="M83" s="16"/>
      <c r="N83" s="88"/>
      <c r="O83" s="16"/>
      <c r="P83" s="88"/>
      <c r="Q83" s="16"/>
      <c r="R83" s="88"/>
      <c r="S83" s="16"/>
      <c r="T83" s="88"/>
      <c r="U83" s="16"/>
      <c r="V83" s="89"/>
      <c r="W83" s="4"/>
      <c r="X83" s="4"/>
      <c r="Y83" s="16"/>
      <c r="Z83" s="90"/>
    </row>
    <row r="84"/>
    <row r="85">
      <c r="B85" s="82" t="s">
        <v>8</v>
      </c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5"/>
    </row>
    <row r="86">
      <c r="B86" s="83" t="s">
        <v>12</v>
      </c>
      <c r="C86" s="83"/>
      <c r="D86" s="84" t="s">
        <v>14</v>
      </c>
      <c r="E86" s="5"/>
      <c r="F86" s="84" t="s">
        <v>15</v>
      </c>
      <c r="G86" s="5"/>
      <c r="H86" s="84" t="s">
        <v>16</v>
      </c>
      <c r="I86" s="5"/>
      <c r="J86" s="84" t="s">
        <v>17</v>
      </c>
      <c r="K86" s="5"/>
      <c r="L86" s="84" t="s">
        <v>18</v>
      </c>
      <c r="M86" s="5"/>
      <c r="N86" s="84" t="s">
        <v>19</v>
      </c>
      <c r="O86" s="5"/>
      <c r="P86" s="84" t="s">
        <v>20</v>
      </c>
      <c r="Q86" s="5"/>
      <c r="R86" s="84" t="s">
        <v>21</v>
      </c>
      <c r="S86" s="5"/>
      <c r="T86" s="84" t="s">
        <v>22</v>
      </c>
      <c r="U86" s="5"/>
      <c r="V86" s="84" t="s">
        <v>23</v>
      </c>
      <c r="W86" s="41"/>
      <c r="X86" s="41"/>
      <c r="Y86" s="5"/>
      <c r="Z86" s="83" t="s">
        <v>542</v>
      </c>
    </row>
    <row r="87">
      <c r="B87" s="85" t="str">
        <f t="shared" ref="B87:B99" si="6">if(isblank(indirect("'Known Spells'!B"&amp;row())),,right(indirect("'Known Spells'!B"&amp;row()),len(indirect("'Known Spells'!B"&amp;row()))-2))</f>
        <v/>
      </c>
      <c r="C87" s="86"/>
      <c r="D87" s="87" t="str">
        <f>IFERROR(__xludf.DUMMYFUNCTION("if(isblank(indirect(""B""&amp;row())),,FILTER(SuperList,SuperList!$C$13:$C$176=indirect(""B""&amp;row())))"),"")</f>
        <v/>
      </c>
      <c r="E87" s="16"/>
      <c r="F87" s="88"/>
      <c r="G87" s="16"/>
      <c r="H87" s="88"/>
      <c r="I87" s="16"/>
      <c r="J87" s="88"/>
      <c r="K87" s="16"/>
      <c r="L87" s="88"/>
      <c r="M87" s="16"/>
      <c r="N87" s="88"/>
      <c r="O87" s="16"/>
      <c r="P87" s="88"/>
      <c r="Q87" s="16"/>
      <c r="R87" s="88"/>
      <c r="S87" s="16"/>
      <c r="T87" s="88"/>
      <c r="U87" s="16"/>
      <c r="V87" s="89"/>
      <c r="W87" s="4"/>
      <c r="X87" s="4"/>
      <c r="Y87" s="16"/>
      <c r="Z87" s="90"/>
    </row>
    <row r="88">
      <c r="B88" s="91" t="str">
        <f t="shared" si="6"/>
        <v/>
      </c>
      <c r="C88" s="92"/>
      <c r="D88" s="93" t="str">
        <f>IFERROR(__xludf.DUMMYFUNCTION("if(isblank(indirect(""B""&amp;row())),,FILTER(SuperList,SuperList!$C$13:$C$176=indirect(""B""&amp;row())))"),"")</f>
        <v/>
      </c>
      <c r="E88" s="20"/>
      <c r="F88" s="94"/>
      <c r="G88" s="20"/>
      <c r="H88" s="94"/>
      <c r="I88" s="20"/>
      <c r="J88" s="94"/>
      <c r="K88" s="20"/>
      <c r="L88" s="94"/>
      <c r="M88" s="20"/>
      <c r="N88" s="94"/>
      <c r="O88" s="20"/>
      <c r="P88" s="94"/>
      <c r="Q88" s="20"/>
      <c r="R88" s="94"/>
      <c r="S88" s="20"/>
      <c r="T88" s="94"/>
      <c r="U88" s="20"/>
      <c r="V88" s="95"/>
      <c r="W88" s="9"/>
      <c r="X88" s="9"/>
      <c r="Y88" s="20"/>
      <c r="Z88" s="45"/>
    </row>
    <row r="89">
      <c r="B89" s="85" t="str">
        <f t="shared" si="6"/>
        <v/>
      </c>
      <c r="C89" s="86"/>
      <c r="D89" s="87" t="str">
        <f>IFERROR(__xludf.DUMMYFUNCTION("if(isblank(indirect(""B""&amp;row())),,FILTER(SuperList,SuperList!$C$13:$C$176=indirect(""B""&amp;row())))"),"")</f>
        <v/>
      </c>
      <c r="E89" s="16"/>
      <c r="F89" s="88"/>
      <c r="G89" s="16"/>
      <c r="H89" s="88"/>
      <c r="I89" s="16"/>
      <c r="J89" s="88"/>
      <c r="K89" s="16"/>
      <c r="L89" s="88"/>
      <c r="M89" s="16"/>
      <c r="N89" s="88"/>
      <c r="O89" s="16"/>
      <c r="P89" s="88"/>
      <c r="Q89" s="16"/>
      <c r="R89" s="88"/>
      <c r="S89" s="16"/>
      <c r="T89" s="88"/>
      <c r="U89" s="16"/>
      <c r="V89" s="89"/>
      <c r="W89" s="4"/>
      <c r="X89" s="4"/>
      <c r="Y89" s="16"/>
      <c r="Z89" s="90"/>
    </row>
    <row r="90">
      <c r="B90" s="91" t="str">
        <f t="shared" si="6"/>
        <v/>
      </c>
      <c r="C90" s="92"/>
      <c r="D90" s="93" t="str">
        <f>IFERROR(__xludf.DUMMYFUNCTION("if(isblank(indirect(""B""&amp;row())),,FILTER(SuperList,SuperList!$C$13:$C$176=indirect(""B""&amp;row())))"),"")</f>
        <v/>
      </c>
      <c r="E90" s="20"/>
      <c r="F90" s="94"/>
      <c r="G90" s="20"/>
      <c r="H90" s="94"/>
      <c r="I90" s="20"/>
      <c r="J90" s="94"/>
      <c r="K90" s="20"/>
      <c r="L90" s="94"/>
      <c r="M90" s="20"/>
      <c r="N90" s="94"/>
      <c r="O90" s="20"/>
      <c r="P90" s="94"/>
      <c r="Q90" s="20"/>
      <c r="R90" s="94"/>
      <c r="S90" s="20"/>
      <c r="T90" s="94"/>
      <c r="U90" s="20"/>
      <c r="V90" s="95"/>
      <c r="W90" s="9"/>
      <c r="X90" s="9"/>
      <c r="Y90" s="20"/>
      <c r="Z90" s="45"/>
    </row>
    <row r="91">
      <c r="B91" s="85" t="str">
        <f t="shared" si="6"/>
        <v/>
      </c>
      <c r="C91" s="86"/>
      <c r="D91" s="87" t="str">
        <f>IFERROR(__xludf.DUMMYFUNCTION("if(isblank(indirect(""B""&amp;row())),,FILTER(SuperList,SuperList!$C$13:$C$176=indirect(""B""&amp;row())))"),"")</f>
        <v/>
      </c>
      <c r="E91" s="16"/>
      <c r="F91" s="88"/>
      <c r="G91" s="16"/>
      <c r="H91" s="88"/>
      <c r="I91" s="16"/>
      <c r="J91" s="88"/>
      <c r="K91" s="16"/>
      <c r="L91" s="88"/>
      <c r="M91" s="16"/>
      <c r="N91" s="88"/>
      <c r="O91" s="16"/>
      <c r="P91" s="88"/>
      <c r="Q91" s="16"/>
      <c r="R91" s="88"/>
      <c r="S91" s="16"/>
      <c r="T91" s="88"/>
      <c r="U91" s="16"/>
      <c r="V91" s="89"/>
      <c r="W91" s="4"/>
      <c r="X91" s="4"/>
      <c r="Y91" s="16"/>
      <c r="Z91" s="90"/>
    </row>
    <row r="92">
      <c r="B92" s="91" t="str">
        <f t="shared" si="6"/>
        <v/>
      </c>
      <c r="C92" s="92"/>
      <c r="D92" s="93" t="str">
        <f>IFERROR(__xludf.DUMMYFUNCTION("if(isblank(indirect(""B""&amp;row())),,FILTER(SuperList,SuperList!$C$13:$C$176=indirect(""B""&amp;row())))"),"")</f>
        <v/>
      </c>
      <c r="E92" s="20"/>
      <c r="F92" s="94"/>
      <c r="G92" s="20"/>
      <c r="H92" s="94"/>
      <c r="I92" s="20"/>
      <c r="J92" s="94"/>
      <c r="K92" s="20"/>
      <c r="L92" s="94"/>
      <c r="M92" s="20"/>
      <c r="N92" s="94"/>
      <c r="O92" s="20"/>
      <c r="P92" s="94"/>
      <c r="Q92" s="20"/>
      <c r="R92" s="94"/>
      <c r="S92" s="20"/>
      <c r="T92" s="94"/>
      <c r="U92" s="20"/>
      <c r="V92" s="95"/>
      <c r="W92" s="9"/>
      <c r="X92" s="9"/>
      <c r="Y92" s="20"/>
      <c r="Z92" s="45"/>
    </row>
    <row r="93">
      <c r="B93" s="85" t="str">
        <f t="shared" si="6"/>
        <v/>
      </c>
      <c r="C93" s="86"/>
      <c r="D93" s="87" t="str">
        <f>IFERROR(__xludf.DUMMYFUNCTION("if(isblank(indirect(""B""&amp;row())),,FILTER(SuperList,SuperList!$C$13:$C$176=indirect(""B""&amp;row())))"),"")</f>
        <v/>
      </c>
      <c r="E93" s="16"/>
      <c r="F93" s="88"/>
      <c r="G93" s="16"/>
      <c r="H93" s="88"/>
      <c r="I93" s="16"/>
      <c r="J93" s="88"/>
      <c r="K93" s="16"/>
      <c r="L93" s="88"/>
      <c r="M93" s="16"/>
      <c r="N93" s="88"/>
      <c r="O93" s="16"/>
      <c r="P93" s="88"/>
      <c r="Q93" s="16"/>
      <c r="R93" s="88"/>
      <c r="S93" s="16"/>
      <c r="T93" s="88"/>
      <c r="U93" s="16"/>
      <c r="V93" s="89"/>
      <c r="W93" s="4"/>
      <c r="X93" s="4"/>
      <c r="Y93" s="16"/>
      <c r="Z93" s="90"/>
    </row>
    <row r="94">
      <c r="B94" s="91" t="str">
        <f t="shared" si="6"/>
        <v/>
      </c>
      <c r="C94" s="92"/>
      <c r="D94" s="93" t="str">
        <f>IFERROR(__xludf.DUMMYFUNCTION("if(isblank(indirect(""B""&amp;row())),,FILTER(SuperList,SuperList!$C$13:$C$176=indirect(""B""&amp;row())))"),"")</f>
        <v/>
      </c>
      <c r="E94" s="20"/>
      <c r="F94" s="94"/>
      <c r="G94" s="20"/>
      <c r="H94" s="94"/>
      <c r="I94" s="20"/>
      <c r="J94" s="94"/>
      <c r="K94" s="20"/>
      <c r="L94" s="94"/>
      <c r="M94" s="20"/>
      <c r="N94" s="94"/>
      <c r="O94" s="20"/>
      <c r="P94" s="94"/>
      <c r="Q94" s="20"/>
      <c r="R94" s="94"/>
      <c r="S94" s="20"/>
      <c r="T94" s="94"/>
      <c r="U94" s="20"/>
      <c r="V94" s="95"/>
      <c r="W94" s="9"/>
      <c r="X94" s="9"/>
      <c r="Y94" s="20"/>
      <c r="Z94" s="45"/>
    </row>
    <row r="95">
      <c r="B95" s="85" t="str">
        <f t="shared" si="6"/>
        <v/>
      </c>
      <c r="C95" s="86"/>
      <c r="D95" s="87" t="str">
        <f>IFERROR(__xludf.DUMMYFUNCTION("if(isblank(indirect(""B""&amp;row())),,FILTER(SuperList,SuperList!$C$13:$C$176=indirect(""B""&amp;row())))"),"")</f>
        <v/>
      </c>
      <c r="E95" s="16"/>
      <c r="F95" s="88"/>
      <c r="G95" s="16"/>
      <c r="H95" s="88"/>
      <c r="I95" s="16"/>
      <c r="J95" s="88"/>
      <c r="K95" s="16"/>
      <c r="L95" s="88"/>
      <c r="M95" s="16"/>
      <c r="N95" s="88"/>
      <c r="O95" s="16"/>
      <c r="P95" s="88"/>
      <c r="Q95" s="16"/>
      <c r="R95" s="88"/>
      <c r="S95" s="16"/>
      <c r="T95" s="88"/>
      <c r="U95" s="16"/>
      <c r="V95" s="89"/>
      <c r="W95" s="4"/>
      <c r="X95" s="4"/>
      <c r="Y95" s="16"/>
      <c r="Z95" s="90"/>
    </row>
    <row r="96">
      <c r="B96" s="91" t="str">
        <f t="shared" si="6"/>
        <v/>
      </c>
      <c r="C96" s="92"/>
      <c r="D96" s="93" t="str">
        <f>IFERROR(__xludf.DUMMYFUNCTION("if(isblank(indirect(""B""&amp;row())),,FILTER(SuperList,SuperList!$C$13:$C$176=indirect(""B""&amp;row())))"),"")</f>
        <v/>
      </c>
      <c r="E96" s="20"/>
      <c r="F96" s="94"/>
      <c r="G96" s="20"/>
      <c r="H96" s="94"/>
      <c r="I96" s="20"/>
      <c r="J96" s="94"/>
      <c r="K96" s="20"/>
      <c r="L96" s="94"/>
      <c r="M96" s="20"/>
      <c r="N96" s="94"/>
      <c r="O96" s="20"/>
      <c r="P96" s="94"/>
      <c r="Q96" s="20"/>
      <c r="R96" s="94"/>
      <c r="S96" s="20"/>
      <c r="T96" s="94"/>
      <c r="U96" s="20"/>
      <c r="V96" s="95"/>
      <c r="W96" s="9"/>
      <c r="X96" s="9"/>
      <c r="Y96" s="20"/>
      <c r="Z96" s="45"/>
    </row>
    <row r="97">
      <c r="B97" s="85" t="str">
        <f t="shared" si="6"/>
        <v/>
      </c>
      <c r="C97" s="86"/>
      <c r="D97" s="87" t="str">
        <f>IFERROR(__xludf.DUMMYFUNCTION("if(isblank(indirect(""B""&amp;row())),,FILTER(SuperList,SuperList!$C$13:$C$176=indirect(""B""&amp;row())))"),"")</f>
        <v/>
      </c>
      <c r="E97" s="16"/>
      <c r="F97" s="88"/>
      <c r="G97" s="16"/>
      <c r="H97" s="88"/>
      <c r="I97" s="16"/>
      <c r="J97" s="88"/>
      <c r="K97" s="16"/>
      <c r="L97" s="88"/>
      <c r="M97" s="16"/>
      <c r="N97" s="88"/>
      <c r="O97" s="16"/>
      <c r="P97" s="88"/>
      <c r="Q97" s="16"/>
      <c r="R97" s="88"/>
      <c r="S97" s="16"/>
      <c r="T97" s="88"/>
      <c r="U97" s="16"/>
      <c r="V97" s="89"/>
      <c r="W97" s="4"/>
      <c r="X97" s="4"/>
      <c r="Y97" s="16"/>
      <c r="Z97" s="90"/>
    </row>
    <row r="98">
      <c r="B98" s="91" t="str">
        <f t="shared" si="6"/>
        <v/>
      </c>
      <c r="C98" s="92"/>
      <c r="D98" s="93" t="str">
        <f>IFERROR(__xludf.DUMMYFUNCTION("if(isblank(indirect(""B""&amp;row())),,FILTER(SuperList,SuperList!$C$13:$C$176=indirect(""B""&amp;row())))"),"")</f>
        <v/>
      </c>
      <c r="E98" s="20"/>
      <c r="F98" s="94"/>
      <c r="G98" s="20"/>
      <c r="H98" s="94"/>
      <c r="I98" s="20"/>
      <c r="J98" s="94"/>
      <c r="K98" s="20"/>
      <c r="L98" s="94"/>
      <c r="M98" s="20"/>
      <c r="N98" s="94"/>
      <c r="O98" s="20"/>
      <c r="P98" s="94"/>
      <c r="Q98" s="20"/>
      <c r="R98" s="94"/>
      <c r="S98" s="20"/>
      <c r="T98" s="94"/>
      <c r="U98" s="20"/>
      <c r="V98" s="95"/>
      <c r="W98" s="9"/>
      <c r="X98" s="9"/>
      <c r="Y98" s="20"/>
      <c r="Z98" s="45"/>
    </row>
    <row r="99">
      <c r="B99" s="85" t="str">
        <f t="shared" si="6"/>
        <v/>
      </c>
      <c r="C99" s="86"/>
      <c r="D99" s="87" t="str">
        <f>IFERROR(__xludf.DUMMYFUNCTION("if(isblank(indirect(""B""&amp;row())),,FILTER(SuperList,SuperList!$C$13:$C$176=indirect(""B""&amp;row())))"),"")</f>
        <v/>
      </c>
      <c r="E99" s="16"/>
      <c r="F99" s="88"/>
      <c r="G99" s="16"/>
      <c r="H99" s="88"/>
      <c r="I99" s="16"/>
      <c r="J99" s="88"/>
      <c r="K99" s="16"/>
      <c r="L99" s="88"/>
      <c r="M99" s="16"/>
      <c r="N99" s="88"/>
      <c r="O99" s="16"/>
      <c r="P99" s="88"/>
      <c r="Q99" s="16"/>
      <c r="R99" s="88"/>
      <c r="S99" s="16"/>
      <c r="T99" s="88"/>
      <c r="U99" s="16"/>
      <c r="V99" s="89"/>
      <c r="W99" s="4"/>
      <c r="X99" s="4"/>
      <c r="Y99" s="16"/>
      <c r="Z99" s="90"/>
    </row>
    <row r="100"/>
    <row r="101">
      <c r="B101" s="82" t="s">
        <v>9</v>
      </c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5"/>
    </row>
    <row r="102">
      <c r="B102" s="83" t="s">
        <v>12</v>
      </c>
      <c r="C102" s="83"/>
      <c r="D102" s="84" t="s">
        <v>14</v>
      </c>
      <c r="E102" s="5"/>
      <c r="F102" s="84" t="s">
        <v>15</v>
      </c>
      <c r="G102" s="5"/>
      <c r="H102" s="84" t="s">
        <v>16</v>
      </c>
      <c r="I102" s="5"/>
      <c r="J102" s="84" t="s">
        <v>17</v>
      </c>
      <c r="K102" s="5"/>
      <c r="L102" s="84" t="s">
        <v>18</v>
      </c>
      <c r="M102" s="5"/>
      <c r="N102" s="84" t="s">
        <v>19</v>
      </c>
      <c r="O102" s="5"/>
      <c r="P102" s="84" t="s">
        <v>20</v>
      </c>
      <c r="Q102" s="5"/>
      <c r="R102" s="84" t="s">
        <v>21</v>
      </c>
      <c r="S102" s="5"/>
      <c r="T102" s="84" t="s">
        <v>22</v>
      </c>
      <c r="U102" s="5"/>
      <c r="V102" s="84" t="s">
        <v>23</v>
      </c>
      <c r="W102" s="41"/>
      <c r="X102" s="41"/>
      <c r="Y102" s="5"/>
      <c r="Z102" s="83" t="s">
        <v>542</v>
      </c>
    </row>
    <row r="103">
      <c r="B103" s="85" t="str">
        <f t="shared" ref="B103:B113" si="7">if(isblank(indirect("'Known Spells'!B"&amp;row())),,right(indirect("'Known Spells'!B"&amp;row()),len(indirect("'Known Spells'!B"&amp;row()))-2))</f>
        <v/>
      </c>
      <c r="C103" s="86"/>
      <c r="D103" s="87" t="str">
        <f>IFERROR(__xludf.DUMMYFUNCTION("if(isblank(indirect(""B""&amp;row())),,FILTER(SuperList,SuperList!$C$13:$C$176=indirect(""B""&amp;row())))"),"")</f>
        <v/>
      </c>
      <c r="E103" s="16"/>
      <c r="F103" s="88"/>
      <c r="G103" s="16"/>
      <c r="H103" s="88"/>
      <c r="I103" s="16"/>
      <c r="J103" s="88"/>
      <c r="K103" s="16"/>
      <c r="L103" s="88"/>
      <c r="M103" s="16"/>
      <c r="N103" s="88"/>
      <c r="O103" s="16"/>
      <c r="P103" s="88"/>
      <c r="Q103" s="16"/>
      <c r="R103" s="88"/>
      <c r="S103" s="16"/>
      <c r="T103" s="88"/>
      <c r="U103" s="16"/>
      <c r="V103" s="89"/>
      <c r="W103" s="4"/>
      <c r="X103" s="4"/>
      <c r="Y103" s="16"/>
      <c r="Z103" s="90"/>
    </row>
    <row r="104">
      <c r="B104" s="91" t="str">
        <f t="shared" si="7"/>
        <v/>
      </c>
      <c r="C104" s="92"/>
      <c r="D104" s="93" t="str">
        <f>IFERROR(__xludf.DUMMYFUNCTION("if(isblank(indirect(""B""&amp;row())),,FILTER(SuperList,SuperList!$C$13:$C$176=indirect(""B""&amp;row())))"),"")</f>
        <v/>
      </c>
      <c r="E104" s="20"/>
      <c r="F104" s="94"/>
      <c r="G104" s="20"/>
      <c r="H104" s="94"/>
      <c r="I104" s="20"/>
      <c r="J104" s="94"/>
      <c r="K104" s="20"/>
      <c r="L104" s="94"/>
      <c r="M104" s="20"/>
      <c r="N104" s="94"/>
      <c r="O104" s="20"/>
      <c r="P104" s="94"/>
      <c r="Q104" s="20"/>
      <c r="R104" s="94"/>
      <c r="S104" s="20"/>
      <c r="T104" s="94"/>
      <c r="U104" s="20"/>
      <c r="V104" s="95"/>
      <c r="W104" s="9"/>
      <c r="X104" s="9"/>
      <c r="Y104" s="20"/>
      <c r="Z104" s="45"/>
    </row>
    <row r="105">
      <c r="B105" s="85" t="str">
        <f t="shared" si="7"/>
        <v/>
      </c>
      <c r="C105" s="86"/>
      <c r="D105" s="87" t="str">
        <f>IFERROR(__xludf.DUMMYFUNCTION("if(isblank(indirect(""B""&amp;row())),,FILTER(SuperList,SuperList!$C$13:$C$176=indirect(""B""&amp;row())))"),"")</f>
        <v/>
      </c>
      <c r="E105" s="16"/>
      <c r="F105" s="88"/>
      <c r="G105" s="16"/>
      <c r="H105" s="88"/>
      <c r="I105" s="16"/>
      <c r="J105" s="88"/>
      <c r="K105" s="16"/>
      <c r="L105" s="88"/>
      <c r="M105" s="16"/>
      <c r="N105" s="88"/>
      <c r="O105" s="16"/>
      <c r="P105" s="88"/>
      <c r="Q105" s="16"/>
      <c r="R105" s="88"/>
      <c r="S105" s="16"/>
      <c r="T105" s="88"/>
      <c r="U105" s="16"/>
      <c r="V105" s="89"/>
      <c r="W105" s="4"/>
      <c r="X105" s="4"/>
      <c r="Y105" s="16"/>
      <c r="Z105" s="90"/>
    </row>
    <row r="106">
      <c r="B106" s="91" t="str">
        <f t="shared" si="7"/>
        <v/>
      </c>
      <c r="C106" s="92"/>
      <c r="D106" s="93" t="str">
        <f>IFERROR(__xludf.DUMMYFUNCTION("if(isblank(indirect(""B""&amp;row())),,FILTER(SuperList,SuperList!$C$13:$C$176=indirect(""B""&amp;row())))"),"")</f>
        <v/>
      </c>
      <c r="E106" s="20"/>
      <c r="F106" s="94"/>
      <c r="G106" s="20"/>
      <c r="H106" s="94"/>
      <c r="I106" s="20"/>
      <c r="J106" s="94"/>
      <c r="K106" s="20"/>
      <c r="L106" s="94"/>
      <c r="M106" s="20"/>
      <c r="N106" s="94"/>
      <c r="O106" s="20"/>
      <c r="P106" s="94"/>
      <c r="Q106" s="20"/>
      <c r="R106" s="94"/>
      <c r="S106" s="20"/>
      <c r="T106" s="94"/>
      <c r="U106" s="20"/>
      <c r="V106" s="95"/>
      <c r="W106" s="9"/>
      <c r="X106" s="9"/>
      <c r="Y106" s="20"/>
      <c r="Z106" s="45"/>
    </row>
    <row r="107">
      <c r="B107" s="85" t="str">
        <f t="shared" si="7"/>
        <v/>
      </c>
      <c r="C107" s="86"/>
      <c r="D107" s="87" t="str">
        <f>IFERROR(__xludf.DUMMYFUNCTION("if(isblank(indirect(""B""&amp;row())),,FILTER(SuperList,SuperList!$C$13:$C$176=indirect(""B""&amp;row())))"),"")</f>
        <v/>
      </c>
      <c r="E107" s="16"/>
      <c r="F107" s="88"/>
      <c r="G107" s="16"/>
      <c r="H107" s="88"/>
      <c r="I107" s="16"/>
      <c r="J107" s="88"/>
      <c r="K107" s="16"/>
      <c r="L107" s="88"/>
      <c r="M107" s="16"/>
      <c r="N107" s="88"/>
      <c r="O107" s="16"/>
      <c r="P107" s="88"/>
      <c r="Q107" s="16"/>
      <c r="R107" s="88"/>
      <c r="S107" s="16"/>
      <c r="T107" s="88"/>
      <c r="U107" s="16"/>
      <c r="V107" s="89"/>
      <c r="W107" s="4"/>
      <c r="X107" s="4"/>
      <c r="Y107" s="16"/>
      <c r="Z107" s="90"/>
    </row>
    <row r="108">
      <c r="B108" s="91" t="str">
        <f t="shared" si="7"/>
        <v/>
      </c>
      <c r="C108" s="92"/>
      <c r="D108" s="93" t="str">
        <f>IFERROR(__xludf.DUMMYFUNCTION("if(isblank(indirect(""B""&amp;row())),,FILTER(SuperList,SuperList!$C$13:$C$176=indirect(""B""&amp;row())))"),"")</f>
        <v/>
      </c>
      <c r="E108" s="20"/>
      <c r="F108" s="94"/>
      <c r="G108" s="20"/>
      <c r="H108" s="94"/>
      <c r="I108" s="20"/>
      <c r="J108" s="94"/>
      <c r="K108" s="20"/>
      <c r="L108" s="94"/>
      <c r="M108" s="20"/>
      <c r="N108" s="94"/>
      <c r="O108" s="20"/>
      <c r="P108" s="94"/>
      <c r="Q108" s="20"/>
      <c r="R108" s="94"/>
      <c r="S108" s="20"/>
      <c r="T108" s="94"/>
      <c r="U108" s="20"/>
      <c r="V108" s="95"/>
      <c r="W108" s="9"/>
      <c r="X108" s="9"/>
      <c r="Y108" s="20"/>
      <c r="Z108" s="45"/>
    </row>
    <row r="109">
      <c r="B109" s="85" t="str">
        <f t="shared" si="7"/>
        <v/>
      </c>
      <c r="C109" s="86"/>
      <c r="D109" s="87" t="str">
        <f>IFERROR(__xludf.DUMMYFUNCTION("if(isblank(indirect(""B""&amp;row())),,FILTER(SuperList,SuperList!$C$13:$C$176=indirect(""B""&amp;row())))"),"")</f>
        <v/>
      </c>
      <c r="E109" s="16"/>
      <c r="F109" s="88"/>
      <c r="G109" s="16"/>
      <c r="H109" s="88"/>
      <c r="I109" s="16"/>
      <c r="J109" s="88"/>
      <c r="K109" s="16"/>
      <c r="L109" s="88"/>
      <c r="M109" s="16"/>
      <c r="N109" s="88"/>
      <c r="O109" s="16"/>
      <c r="P109" s="88"/>
      <c r="Q109" s="16"/>
      <c r="R109" s="88"/>
      <c r="S109" s="16"/>
      <c r="T109" s="88"/>
      <c r="U109" s="16"/>
      <c r="V109" s="89"/>
      <c r="W109" s="4"/>
      <c r="X109" s="4"/>
      <c r="Y109" s="16"/>
      <c r="Z109" s="90"/>
    </row>
    <row r="110">
      <c r="B110" s="91" t="str">
        <f t="shared" si="7"/>
        <v/>
      </c>
      <c r="C110" s="92"/>
      <c r="D110" s="93" t="str">
        <f>IFERROR(__xludf.DUMMYFUNCTION("if(isblank(indirect(""B""&amp;row())),,FILTER(SuperList,SuperList!$C$13:$C$176=indirect(""B""&amp;row())))"),"")</f>
        <v/>
      </c>
      <c r="E110" s="20"/>
      <c r="F110" s="94"/>
      <c r="G110" s="20"/>
      <c r="H110" s="94"/>
      <c r="I110" s="20"/>
      <c r="J110" s="94"/>
      <c r="K110" s="20"/>
      <c r="L110" s="94"/>
      <c r="M110" s="20"/>
      <c r="N110" s="94"/>
      <c r="O110" s="20"/>
      <c r="P110" s="94"/>
      <c r="Q110" s="20"/>
      <c r="R110" s="94"/>
      <c r="S110" s="20"/>
      <c r="T110" s="94"/>
      <c r="U110" s="20"/>
      <c r="V110" s="95"/>
      <c r="W110" s="9"/>
      <c r="X110" s="9"/>
      <c r="Y110" s="20"/>
      <c r="Z110" s="45"/>
    </row>
    <row r="111">
      <c r="B111" s="85" t="str">
        <f t="shared" si="7"/>
        <v/>
      </c>
      <c r="C111" s="86"/>
      <c r="D111" s="87" t="str">
        <f>IFERROR(__xludf.DUMMYFUNCTION("if(isblank(indirect(""B""&amp;row())),,FILTER(SuperList,SuperList!$C$13:$C$176=indirect(""B""&amp;row())))"),"")</f>
        <v/>
      </c>
      <c r="E111" s="16"/>
      <c r="F111" s="88"/>
      <c r="G111" s="16"/>
      <c r="H111" s="88"/>
      <c r="I111" s="16"/>
      <c r="J111" s="88"/>
      <c r="K111" s="16"/>
      <c r="L111" s="88"/>
      <c r="M111" s="16"/>
      <c r="N111" s="88"/>
      <c r="O111" s="16"/>
      <c r="P111" s="88"/>
      <c r="Q111" s="16"/>
      <c r="R111" s="88"/>
      <c r="S111" s="16"/>
      <c r="T111" s="88"/>
      <c r="U111" s="16"/>
      <c r="V111" s="89"/>
      <c r="W111" s="4"/>
      <c r="X111" s="4"/>
      <c r="Y111" s="16"/>
      <c r="Z111" s="90"/>
    </row>
    <row r="112">
      <c r="B112" s="91" t="str">
        <f t="shared" si="7"/>
        <v/>
      </c>
      <c r="C112" s="92"/>
      <c r="D112" s="93" t="str">
        <f>IFERROR(__xludf.DUMMYFUNCTION("if(isblank(indirect(""B""&amp;row())),,FILTER(SuperList,SuperList!$C$13:$C$176=indirect(""B""&amp;row())))"),"")</f>
        <v/>
      </c>
      <c r="E112" s="20"/>
      <c r="F112" s="94"/>
      <c r="G112" s="20"/>
      <c r="H112" s="94"/>
      <c r="I112" s="20"/>
      <c r="J112" s="94"/>
      <c r="K112" s="20"/>
      <c r="L112" s="94"/>
      <c r="M112" s="20"/>
      <c r="N112" s="94"/>
      <c r="O112" s="20"/>
      <c r="P112" s="94"/>
      <c r="Q112" s="20"/>
      <c r="R112" s="94"/>
      <c r="S112" s="20"/>
      <c r="T112" s="94"/>
      <c r="U112" s="20"/>
      <c r="V112" s="95"/>
      <c r="W112" s="9"/>
      <c r="X112" s="9"/>
      <c r="Y112" s="20"/>
      <c r="Z112" s="45"/>
    </row>
    <row r="113">
      <c r="B113" s="85" t="str">
        <f t="shared" si="7"/>
        <v/>
      </c>
      <c r="C113" s="86"/>
      <c r="D113" s="87" t="str">
        <f>IFERROR(__xludf.DUMMYFUNCTION("if(isblank(indirect(""B""&amp;row())),,FILTER(SuperList,SuperList!$C$13:$C$176=indirect(""B""&amp;row())))"),"")</f>
        <v/>
      </c>
      <c r="E113" s="16"/>
      <c r="F113" s="88"/>
      <c r="G113" s="16"/>
      <c r="H113" s="88"/>
      <c r="I113" s="16"/>
      <c r="J113" s="88"/>
      <c r="K113" s="16"/>
      <c r="L113" s="88"/>
      <c r="M113" s="16"/>
      <c r="N113" s="88"/>
      <c r="O113" s="16"/>
      <c r="P113" s="88"/>
      <c r="Q113" s="16"/>
      <c r="R113" s="88"/>
      <c r="S113" s="16"/>
      <c r="T113" s="88"/>
      <c r="U113" s="16"/>
      <c r="V113" s="89"/>
      <c r="W113" s="4"/>
      <c r="X113" s="4"/>
      <c r="Y113" s="16"/>
      <c r="Z113" s="90"/>
    </row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</sheetData>
  <mergeCells count="907">
    <mergeCell ref="R109:S109"/>
    <mergeCell ref="T109:U109"/>
    <mergeCell ref="V109:Y109"/>
    <mergeCell ref="D109:E109"/>
    <mergeCell ref="F109:G109"/>
    <mergeCell ref="H109:I109"/>
    <mergeCell ref="J109:K109"/>
    <mergeCell ref="L109:M109"/>
    <mergeCell ref="N109:O109"/>
    <mergeCell ref="P109:Q109"/>
    <mergeCell ref="R110:S110"/>
    <mergeCell ref="T110:U110"/>
    <mergeCell ref="V110:Y110"/>
    <mergeCell ref="D110:E110"/>
    <mergeCell ref="F110:G110"/>
    <mergeCell ref="H110:I110"/>
    <mergeCell ref="J110:K110"/>
    <mergeCell ref="L110:M110"/>
    <mergeCell ref="N110:O110"/>
    <mergeCell ref="P110:Q110"/>
    <mergeCell ref="R111:S111"/>
    <mergeCell ref="T111:U111"/>
    <mergeCell ref="V111:Y111"/>
    <mergeCell ref="D111:E111"/>
    <mergeCell ref="F111:G111"/>
    <mergeCell ref="H111:I111"/>
    <mergeCell ref="J111:K111"/>
    <mergeCell ref="L111:M111"/>
    <mergeCell ref="N111:O111"/>
    <mergeCell ref="P111:Q111"/>
    <mergeCell ref="R112:S112"/>
    <mergeCell ref="T112:U112"/>
    <mergeCell ref="V112:Y112"/>
    <mergeCell ref="D112:E112"/>
    <mergeCell ref="F112:G112"/>
    <mergeCell ref="H112:I112"/>
    <mergeCell ref="J112:K112"/>
    <mergeCell ref="L112:M112"/>
    <mergeCell ref="N112:O112"/>
    <mergeCell ref="P112:Q112"/>
    <mergeCell ref="R98:S98"/>
    <mergeCell ref="T98:U98"/>
    <mergeCell ref="V98:Y98"/>
    <mergeCell ref="F98:G98"/>
    <mergeCell ref="H98:I98"/>
    <mergeCell ref="J98:K98"/>
    <mergeCell ref="L98:M98"/>
    <mergeCell ref="N98:O98"/>
    <mergeCell ref="P98:Q98"/>
    <mergeCell ref="B101:Z101"/>
    <mergeCell ref="P102:Q102"/>
    <mergeCell ref="R102:S102"/>
    <mergeCell ref="T102:U102"/>
    <mergeCell ref="V102:Y102"/>
    <mergeCell ref="D98:E98"/>
    <mergeCell ref="D102:E102"/>
    <mergeCell ref="F102:G102"/>
    <mergeCell ref="H102:I102"/>
    <mergeCell ref="J102:K102"/>
    <mergeCell ref="L102:M102"/>
    <mergeCell ref="N102:O102"/>
    <mergeCell ref="R103:S103"/>
    <mergeCell ref="T103:U103"/>
    <mergeCell ref="V103:Y103"/>
    <mergeCell ref="D103:E103"/>
    <mergeCell ref="F103:G103"/>
    <mergeCell ref="H103:I103"/>
    <mergeCell ref="J103:K103"/>
    <mergeCell ref="L103:M103"/>
    <mergeCell ref="N103:O103"/>
    <mergeCell ref="P103:Q103"/>
    <mergeCell ref="R113:S113"/>
    <mergeCell ref="T113:U113"/>
    <mergeCell ref="V113:Y113"/>
    <mergeCell ref="D113:E113"/>
    <mergeCell ref="F113:G113"/>
    <mergeCell ref="H113:I113"/>
    <mergeCell ref="J113:K113"/>
    <mergeCell ref="L113:M113"/>
    <mergeCell ref="N113:O113"/>
    <mergeCell ref="P113:Q113"/>
    <mergeCell ref="R97:S97"/>
    <mergeCell ref="T97:U97"/>
    <mergeCell ref="V97:Y97"/>
    <mergeCell ref="D97:E97"/>
    <mergeCell ref="F97:G97"/>
    <mergeCell ref="H97:I97"/>
    <mergeCell ref="J97:K97"/>
    <mergeCell ref="L97:M97"/>
    <mergeCell ref="N97:O97"/>
    <mergeCell ref="P97:Q97"/>
    <mergeCell ref="R90:S90"/>
    <mergeCell ref="T90:U90"/>
    <mergeCell ref="V90:Y90"/>
    <mergeCell ref="D90:E90"/>
    <mergeCell ref="F90:G90"/>
    <mergeCell ref="H90:I90"/>
    <mergeCell ref="J90:K90"/>
    <mergeCell ref="L90:M90"/>
    <mergeCell ref="N90:O90"/>
    <mergeCell ref="P90:Q90"/>
    <mergeCell ref="R91:S91"/>
    <mergeCell ref="T91:U91"/>
    <mergeCell ref="V91:Y91"/>
    <mergeCell ref="D91:E91"/>
    <mergeCell ref="F91:G91"/>
    <mergeCell ref="H91:I91"/>
    <mergeCell ref="J91:K91"/>
    <mergeCell ref="L91:M91"/>
    <mergeCell ref="N91:O91"/>
    <mergeCell ref="P91:Q91"/>
    <mergeCell ref="R92:S92"/>
    <mergeCell ref="T92:U92"/>
    <mergeCell ref="V92:Y92"/>
    <mergeCell ref="D92:E92"/>
    <mergeCell ref="F92:G92"/>
    <mergeCell ref="H92:I92"/>
    <mergeCell ref="J92:K92"/>
    <mergeCell ref="L92:M92"/>
    <mergeCell ref="N92:O92"/>
    <mergeCell ref="P92:Q92"/>
    <mergeCell ref="R99:S99"/>
    <mergeCell ref="T99:U99"/>
    <mergeCell ref="V99:Y99"/>
    <mergeCell ref="D99:E99"/>
    <mergeCell ref="F99:G99"/>
    <mergeCell ref="H99:I99"/>
    <mergeCell ref="J99:K99"/>
    <mergeCell ref="L99:M99"/>
    <mergeCell ref="N99:O99"/>
    <mergeCell ref="P99:Q99"/>
    <mergeCell ref="R104:S104"/>
    <mergeCell ref="T104:U104"/>
    <mergeCell ref="V104:Y104"/>
    <mergeCell ref="D104:E104"/>
    <mergeCell ref="F104:G104"/>
    <mergeCell ref="H104:I104"/>
    <mergeCell ref="J104:K104"/>
    <mergeCell ref="L104:M104"/>
    <mergeCell ref="N104:O104"/>
    <mergeCell ref="P104:Q104"/>
    <mergeCell ref="R105:S105"/>
    <mergeCell ref="T105:U105"/>
    <mergeCell ref="V105:Y105"/>
    <mergeCell ref="D105:E105"/>
    <mergeCell ref="F105:G105"/>
    <mergeCell ref="H105:I105"/>
    <mergeCell ref="J105:K105"/>
    <mergeCell ref="L105:M105"/>
    <mergeCell ref="N105:O105"/>
    <mergeCell ref="P105:Q105"/>
    <mergeCell ref="R106:S106"/>
    <mergeCell ref="T106:U106"/>
    <mergeCell ref="V106:Y106"/>
    <mergeCell ref="D106:E106"/>
    <mergeCell ref="F106:G106"/>
    <mergeCell ref="H106:I106"/>
    <mergeCell ref="J106:K106"/>
    <mergeCell ref="L106:M106"/>
    <mergeCell ref="N106:O106"/>
    <mergeCell ref="P106:Q106"/>
    <mergeCell ref="R107:S107"/>
    <mergeCell ref="T107:U107"/>
    <mergeCell ref="V107:Y107"/>
    <mergeCell ref="D107:E107"/>
    <mergeCell ref="F107:G107"/>
    <mergeCell ref="H107:I107"/>
    <mergeCell ref="J107:K107"/>
    <mergeCell ref="L107:M107"/>
    <mergeCell ref="N107:O107"/>
    <mergeCell ref="P107:Q107"/>
    <mergeCell ref="R108:S108"/>
    <mergeCell ref="T108:U108"/>
    <mergeCell ref="V108:Y108"/>
    <mergeCell ref="D108:E108"/>
    <mergeCell ref="F108:G108"/>
    <mergeCell ref="H108:I108"/>
    <mergeCell ref="J108:K108"/>
    <mergeCell ref="L108:M108"/>
    <mergeCell ref="N108:O108"/>
    <mergeCell ref="P108:Q108"/>
    <mergeCell ref="P12:Q12"/>
    <mergeCell ref="R12:S12"/>
    <mergeCell ref="T12:U12"/>
    <mergeCell ref="V12:Y12"/>
    <mergeCell ref="B11:Z11"/>
    <mergeCell ref="D12:E12"/>
    <mergeCell ref="F12:G12"/>
    <mergeCell ref="H12:I12"/>
    <mergeCell ref="J12:K12"/>
    <mergeCell ref="L12:M12"/>
    <mergeCell ref="N12:O12"/>
    <mergeCell ref="R13:S13"/>
    <mergeCell ref="T13:U13"/>
    <mergeCell ref="V13:Y13"/>
    <mergeCell ref="D13:E13"/>
    <mergeCell ref="F13:G13"/>
    <mergeCell ref="H13:I13"/>
    <mergeCell ref="J13:K13"/>
    <mergeCell ref="L13:M13"/>
    <mergeCell ref="N13:O13"/>
    <mergeCell ref="P13:Q13"/>
    <mergeCell ref="R14:S14"/>
    <mergeCell ref="T14:U14"/>
    <mergeCell ref="V14:Y14"/>
    <mergeCell ref="D14:E14"/>
    <mergeCell ref="F14:G14"/>
    <mergeCell ref="H14:I14"/>
    <mergeCell ref="J14:K14"/>
    <mergeCell ref="L14:M14"/>
    <mergeCell ref="N14:O14"/>
    <mergeCell ref="P14:Q14"/>
    <mergeCell ref="R18:S18"/>
    <mergeCell ref="T18:U18"/>
    <mergeCell ref="V18:Y18"/>
    <mergeCell ref="F18:G18"/>
    <mergeCell ref="H18:I18"/>
    <mergeCell ref="J18:K18"/>
    <mergeCell ref="L18:M18"/>
    <mergeCell ref="N18:O18"/>
    <mergeCell ref="P18:Q18"/>
    <mergeCell ref="B20:Z20"/>
    <mergeCell ref="R15:S15"/>
    <mergeCell ref="T15:U15"/>
    <mergeCell ref="V15:Y15"/>
    <mergeCell ref="D15:E15"/>
    <mergeCell ref="F15:G15"/>
    <mergeCell ref="H15:I15"/>
    <mergeCell ref="J15:K15"/>
    <mergeCell ref="L15:M15"/>
    <mergeCell ref="N15:O15"/>
    <mergeCell ref="P15:Q15"/>
    <mergeCell ref="R16:S16"/>
    <mergeCell ref="T16:U16"/>
    <mergeCell ref="V16:Y16"/>
    <mergeCell ref="D16:E16"/>
    <mergeCell ref="F16:G16"/>
    <mergeCell ref="H16:I16"/>
    <mergeCell ref="J16:K16"/>
    <mergeCell ref="L16:M16"/>
    <mergeCell ref="N16:O16"/>
    <mergeCell ref="P16:Q16"/>
    <mergeCell ref="R17:S17"/>
    <mergeCell ref="T17:U17"/>
    <mergeCell ref="V17:Y17"/>
    <mergeCell ref="D17:E17"/>
    <mergeCell ref="F17:G17"/>
    <mergeCell ref="H17:I17"/>
    <mergeCell ref="J17:K17"/>
    <mergeCell ref="L17:M17"/>
    <mergeCell ref="N17:O17"/>
    <mergeCell ref="P17:Q17"/>
    <mergeCell ref="P21:Q21"/>
    <mergeCell ref="R21:S21"/>
    <mergeCell ref="T21:U21"/>
    <mergeCell ref="V21:Y21"/>
    <mergeCell ref="D18:E18"/>
    <mergeCell ref="D21:E21"/>
    <mergeCell ref="F21:G21"/>
    <mergeCell ref="H21:I21"/>
    <mergeCell ref="J21:K21"/>
    <mergeCell ref="L21:M21"/>
    <mergeCell ref="N21:O21"/>
    <mergeCell ref="R22:S22"/>
    <mergeCell ref="T22:U22"/>
    <mergeCell ref="V22:Y22"/>
    <mergeCell ref="D22:E22"/>
    <mergeCell ref="F22:G22"/>
    <mergeCell ref="H22:I22"/>
    <mergeCell ref="J22:K22"/>
    <mergeCell ref="L22:M22"/>
    <mergeCell ref="N22:O22"/>
    <mergeCell ref="P22:Q22"/>
    <mergeCell ref="R23:S23"/>
    <mergeCell ref="T23:U23"/>
    <mergeCell ref="V23:Y23"/>
    <mergeCell ref="D23:E23"/>
    <mergeCell ref="F23:G23"/>
    <mergeCell ref="H23:I23"/>
    <mergeCell ref="J23:K23"/>
    <mergeCell ref="L23:M23"/>
    <mergeCell ref="N23:O23"/>
    <mergeCell ref="P23:Q23"/>
    <mergeCell ref="R24:S24"/>
    <mergeCell ref="T24:U24"/>
    <mergeCell ref="V24:Y24"/>
    <mergeCell ref="D24:E24"/>
    <mergeCell ref="F24:G24"/>
    <mergeCell ref="H24:I24"/>
    <mergeCell ref="J24:K24"/>
    <mergeCell ref="L24:M24"/>
    <mergeCell ref="N24:O24"/>
    <mergeCell ref="P24:Q24"/>
    <mergeCell ref="R28:S28"/>
    <mergeCell ref="T28:U28"/>
    <mergeCell ref="V28:Y28"/>
    <mergeCell ref="D28:E28"/>
    <mergeCell ref="F28:G28"/>
    <mergeCell ref="H28:I28"/>
    <mergeCell ref="J28:K28"/>
    <mergeCell ref="L28:M28"/>
    <mergeCell ref="N28:O28"/>
    <mergeCell ref="P28:Q28"/>
    <mergeCell ref="R29:S29"/>
    <mergeCell ref="T29:U29"/>
    <mergeCell ref="V29:Y29"/>
    <mergeCell ref="D29:E29"/>
    <mergeCell ref="F29:G29"/>
    <mergeCell ref="H29:I29"/>
    <mergeCell ref="J29:K29"/>
    <mergeCell ref="L29:M29"/>
    <mergeCell ref="N29:O29"/>
    <mergeCell ref="P29:Q29"/>
    <mergeCell ref="R30:S30"/>
    <mergeCell ref="T30:U30"/>
    <mergeCell ref="V30:Y30"/>
    <mergeCell ref="D30:E30"/>
    <mergeCell ref="F30:G30"/>
    <mergeCell ref="H30:I30"/>
    <mergeCell ref="J30:K30"/>
    <mergeCell ref="L30:M30"/>
    <mergeCell ref="N30:O30"/>
    <mergeCell ref="P30:Q30"/>
    <mergeCell ref="R31:S31"/>
    <mergeCell ref="T31:U31"/>
    <mergeCell ref="V31:Y31"/>
    <mergeCell ref="D31:E31"/>
    <mergeCell ref="F31:G31"/>
    <mergeCell ref="H31:I31"/>
    <mergeCell ref="J31:K31"/>
    <mergeCell ref="L31:M31"/>
    <mergeCell ref="N31:O31"/>
    <mergeCell ref="P31:Q31"/>
    <mergeCell ref="R32:S32"/>
    <mergeCell ref="T32:U32"/>
    <mergeCell ref="V32:Y32"/>
    <mergeCell ref="D32:E32"/>
    <mergeCell ref="F32:G32"/>
    <mergeCell ref="H32:I32"/>
    <mergeCell ref="J32:K32"/>
    <mergeCell ref="L32:M32"/>
    <mergeCell ref="N32:O32"/>
    <mergeCell ref="P32:Q32"/>
    <mergeCell ref="R33:S33"/>
    <mergeCell ref="T33:U33"/>
    <mergeCell ref="V33:Y33"/>
    <mergeCell ref="D33:E33"/>
    <mergeCell ref="F33:G33"/>
    <mergeCell ref="H33:I33"/>
    <mergeCell ref="J33:K33"/>
    <mergeCell ref="L33:M33"/>
    <mergeCell ref="N33:O33"/>
    <mergeCell ref="P33:Q33"/>
    <mergeCell ref="R25:S25"/>
    <mergeCell ref="T25:U25"/>
    <mergeCell ref="V25:Y25"/>
    <mergeCell ref="D25:E25"/>
    <mergeCell ref="F25:G25"/>
    <mergeCell ref="H25:I25"/>
    <mergeCell ref="J25:K25"/>
    <mergeCell ref="L25:M25"/>
    <mergeCell ref="N25:O25"/>
    <mergeCell ref="P25:Q25"/>
    <mergeCell ref="R26:S26"/>
    <mergeCell ref="T26:U26"/>
    <mergeCell ref="V26:Y26"/>
    <mergeCell ref="D26:E26"/>
    <mergeCell ref="F26:G26"/>
    <mergeCell ref="H26:I26"/>
    <mergeCell ref="J26:K26"/>
    <mergeCell ref="L26:M26"/>
    <mergeCell ref="N26:O26"/>
    <mergeCell ref="P26:Q26"/>
    <mergeCell ref="R27:S27"/>
    <mergeCell ref="T27:U27"/>
    <mergeCell ref="V27:Y27"/>
    <mergeCell ref="D27:E27"/>
    <mergeCell ref="F27:G27"/>
    <mergeCell ref="H27:I27"/>
    <mergeCell ref="J27:K27"/>
    <mergeCell ref="L27:M27"/>
    <mergeCell ref="N27:O27"/>
    <mergeCell ref="P27:Q27"/>
    <mergeCell ref="R35:S35"/>
    <mergeCell ref="T35:U35"/>
    <mergeCell ref="V35:Y35"/>
    <mergeCell ref="D35:E35"/>
    <mergeCell ref="F35:G35"/>
    <mergeCell ref="H35:I35"/>
    <mergeCell ref="J35:K35"/>
    <mergeCell ref="L35:M35"/>
    <mergeCell ref="N35:O35"/>
    <mergeCell ref="P35:Q35"/>
    <mergeCell ref="R40:S40"/>
    <mergeCell ref="T40:U40"/>
    <mergeCell ref="V40:Y40"/>
    <mergeCell ref="D40:E40"/>
    <mergeCell ref="F40:G40"/>
    <mergeCell ref="H40:I40"/>
    <mergeCell ref="J40:K40"/>
    <mergeCell ref="L40:M40"/>
    <mergeCell ref="N40:O40"/>
    <mergeCell ref="P40:Q40"/>
    <mergeCell ref="R41:S41"/>
    <mergeCell ref="T41:U41"/>
    <mergeCell ref="V41:Y41"/>
    <mergeCell ref="D41:E41"/>
    <mergeCell ref="F41:G41"/>
    <mergeCell ref="H41:I41"/>
    <mergeCell ref="J41:K41"/>
    <mergeCell ref="L41:M41"/>
    <mergeCell ref="N41:O41"/>
    <mergeCell ref="P41:Q41"/>
    <mergeCell ref="R42:S42"/>
    <mergeCell ref="T42:U42"/>
    <mergeCell ref="V42:Y42"/>
    <mergeCell ref="D42:E42"/>
    <mergeCell ref="F42:G42"/>
    <mergeCell ref="H42:I42"/>
    <mergeCell ref="J42:K42"/>
    <mergeCell ref="L42:M42"/>
    <mergeCell ref="N42:O42"/>
    <mergeCell ref="P42:Q42"/>
    <mergeCell ref="R43:S43"/>
    <mergeCell ref="T43:U43"/>
    <mergeCell ref="V43:Y43"/>
    <mergeCell ref="D43:E43"/>
    <mergeCell ref="F43:G43"/>
    <mergeCell ref="H43:I43"/>
    <mergeCell ref="J43:K43"/>
    <mergeCell ref="L43:M43"/>
    <mergeCell ref="N43:O43"/>
    <mergeCell ref="P43:Q43"/>
    <mergeCell ref="R44:S44"/>
    <mergeCell ref="T44:U44"/>
    <mergeCell ref="V44:Y44"/>
    <mergeCell ref="D44:E44"/>
    <mergeCell ref="F44:G44"/>
    <mergeCell ref="H44:I44"/>
    <mergeCell ref="J44:K44"/>
    <mergeCell ref="L44:M44"/>
    <mergeCell ref="N44:O44"/>
    <mergeCell ref="P44:Q44"/>
    <mergeCell ref="R45:S45"/>
    <mergeCell ref="T45:U45"/>
    <mergeCell ref="V45:Y45"/>
    <mergeCell ref="D45:E45"/>
    <mergeCell ref="F45:G45"/>
    <mergeCell ref="H45:I45"/>
    <mergeCell ref="J45:K45"/>
    <mergeCell ref="L45:M45"/>
    <mergeCell ref="N45:O45"/>
    <mergeCell ref="P45:Q45"/>
    <mergeCell ref="R46:S46"/>
    <mergeCell ref="T46:U46"/>
    <mergeCell ref="V46:Y46"/>
    <mergeCell ref="D46:E46"/>
    <mergeCell ref="F46:G46"/>
    <mergeCell ref="H46:I46"/>
    <mergeCell ref="J46:K46"/>
    <mergeCell ref="L46:M46"/>
    <mergeCell ref="N46:O46"/>
    <mergeCell ref="P46:Q46"/>
    <mergeCell ref="R47:S47"/>
    <mergeCell ref="T47:U47"/>
    <mergeCell ref="V47:Y47"/>
    <mergeCell ref="D47:E47"/>
    <mergeCell ref="F47:G47"/>
    <mergeCell ref="H47:I47"/>
    <mergeCell ref="J47:K47"/>
    <mergeCell ref="L47:M47"/>
    <mergeCell ref="N47:O47"/>
    <mergeCell ref="P47:Q47"/>
    <mergeCell ref="R48:S48"/>
    <mergeCell ref="T48:U48"/>
    <mergeCell ref="V48:Y48"/>
    <mergeCell ref="D48:E48"/>
    <mergeCell ref="F48:G48"/>
    <mergeCell ref="H48:I48"/>
    <mergeCell ref="J48:K48"/>
    <mergeCell ref="L48:M48"/>
    <mergeCell ref="N48:O48"/>
    <mergeCell ref="P48:Q48"/>
    <mergeCell ref="R49:S49"/>
    <mergeCell ref="T49:U49"/>
    <mergeCell ref="V49:Y49"/>
    <mergeCell ref="D49:E49"/>
    <mergeCell ref="F49:G49"/>
    <mergeCell ref="H49:I49"/>
    <mergeCell ref="J49:K49"/>
    <mergeCell ref="L49:M49"/>
    <mergeCell ref="N49:O49"/>
    <mergeCell ref="P49:Q49"/>
    <mergeCell ref="R50:S50"/>
    <mergeCell ref="T50:U50"/>
    <mergeCell ref="V50:Y50"/>
    <mergeCell ref="D50:E50"/>
    <mergeCell ref="F50:G50"/>
    <mergeCell ref="H50:I50"/>
    <mergeCell ref="J50:K50"/>
    <mergeCell ref="L50:M50"/>
    <mergeCell ref="N50:O50"/>
    <mergeCell ref="P50:Q50"/>
    <mergeCell ref="R51:S51"/>
    <mergeCell ref="T51:U51"/>
    <mergeCell ref="V51:Y51"/>
    <mergeCell ref="F51:G51"/>
    <mergeCell ref="H51:I51"/>
    <mergeCell ref="J51:K51"/>
    <mergeCell ref="L51:M51"/>
    <mergeCell ref="N51:O51"/>
    <mergeCell ref="P51:Q51"/>
    <mergeCell ref="B53:Z53"/>
    <mergeCell ref="R34:S34"/>
    <mergeCell ref="T34:U34"/>
    <mergeCell ref="V34:Y34"/>
    <mergeCell ref="F34:G34"/>
    <mergeCell ref="H34:I34"/>
    <mergeCell ref="J34:K34"/>
    <mergeCell ref="L34:M34"/>
    <mergeCell ref="N34:O34"/>
    <mergeCell ref="P34:Q34"/>
    <mergeCell ref="B37:Z37"/>
    <mergeCell ref="P38:Q38"/>
    <mergeCell ref="R38:S38"/>
    <mergeCell ref="T38:U38"/>
    <mergeCell ref="V38:Y38"/>
    <mergeCell ref="D34:E34"/>
    <mergeCell ref="D38:E38"/>
    <mergeCell ref="F38:G38"/>
    <mergeCell ref="H38:I38"/>
    <mergeCell ref="J38:K38"/>
    <mergeCell ref="L38:M38"/>
    <mergeCell ref="N38:O38"/>
    <mergeCell ref="R39:S39"/>
    <mergeCell ref="T39:U39"/>
    <mergeCell ref="V39:Y39"/>
    <mergeCell ref="D39:E39"/>
    <mergeCell ref="F39:G39"/>
    <mergeCell ref="H39:I39"/>
    <mergeCell ref="J39:K39"/>
    <mergeCell ref="L39:M39"/>
    <mergeCell ref="N39:O39"/>
    <mergeCell ref="P39:Q39"/>
    <mergeCell ref="P54:Q54"/>
    <mergeCell ref="R54:S54"/>
    <mergeCell ref="T54:U54"/>
    <mergeCell ref="V54:Y54"/>
    <mergeCell ref="D51:E51"/>
    <mergeCell ref="D54:E54"/>
    <mergeCell ref="F54:G54"/>
    <mergeCell ref="H54:I54"/>
    <mergeCell ref="J54:K54"/>
    <mergeCell ref="L54:M54"/>
    <mergeCell ref="N54:O54"/>
    <mergeCell ref="R55:S55"/>
    <mergeCell ref="T55:U55"/>
    <mergeCell ref="V55:Y55"/>
    <mergeCell ref="D55:E55"/>
    <mergeCell ref="F55:G55"/>
    <mergeCell ref="H55:I55"/>
    <mergeCell ref="J55:K55"/>
    <mergeCell ref="L55:M55"/>
    <mergeCell ref="N55:O55"/>
    <mergeCell ref="P55:Q55"/>
    <mergeCell ref="R56:S56"/>
    <mergeCell ref="T56:U56"/>
    <mergeCell ref="V56:Y56"/>
    <mergeCell ref="D56:E56"/>
    <mergeCell ref="F56:G56"/>
    <mergeCell ref="H56:I56"/>
    <mergeCell ref="J56:K56"/>
    <mergeCell ref="L56:M56"/>
    <mergeCell ref="N56:O56"/>
    <mergeCell ref="P56:Q56"/>
    <mergeCell ref="R57:S57"/>
    <mergeCell ref="T57:U57"/>
    <mergeCell ref="V57:Y57"/>
    <mergeCell ref="D57:E57"/>
    <mergeCell ref="F57:G57"/>
    <mergeCell ref="H57:I57"/>
    <mergeCell ref="J57:K57"/>
    <mergeCell ref="L57:M57"/>
    <mergeCell ref="N57:O57"/>
    <mergeCell ref="P57:Q57"/>
    <mergeCell ref="R61:S61"/>
    <mergeCell ref="T61:U61"/>
    <mergeCell ref="V61:Y61"/>
    <mergeCell ref="D61:E61"/>
    <mergeCell ref="F61:G61"/>
    <mergeCell ref="H61:I61"/>
    <mergeCell ref="J61:K61"/>
    <mergeCell ref="L61:M61"/>
    <mergeCell ref="N61:O61"/>
    <mergeCell ref="P61:Q61"/>
    <mergeCell ref="R62:S62"/>
    <mergeCell ref="T62:U62"/>
    <mergeCell ref="V62:Y62"/>
    <mergeCell ref="D62:E62"/>
    <mergeCell ref="F62:G62"/>
    <mergeCell ref="H62:I62"/>
    <mergeCell ref="J62:K62"/>
    <mergeCell ref="L62:M62"/>
    <mergeCell ref="N62:O62"/>
    <mergeCell ref="P62:Q62"/>
    <mergeCell ref="R63:S63"/>
    <mergeCell ref="T63:U63"/>
    <mergeCell ref="V63:Y63"/>
    <mergeCell ref="D63:E63"/>
    <mergeCell ref="F63:G63"/>
    <mergeCell ref="H63:I63"/>
    <mergeCell ref="J63:K63"/>
    <mergeCell ref="L63:M63"/>
    <mergeCell ref="N63:O63"/>
    <mergeCell ref="P63:Q63"/>
    <mergeCell ref="R64:S64"/>
    <mergeCell ref="T64:U64"/>
    <mergeCell ref="V64:Y64"/>
    <mergeCell ref="D64:E64"/>
    <mergeCell ref="F64:G64"/>
    <mergeCell ref="H64:I64"/>
    <mergeCell ref="J64:K64"/>
    <mergeCell ref="L64:M64"/>
    <mergeCell ref="N64:O64"/>
    <mergeCell ref="P64:Q64"/>
    <mergeCell ref="R65:S65"/>
    <mergeCell ref="T65:U65"/>
    <mergeCell ref="V65:Y65"/>
    <mergeCell ref="D65:E65"/>
    <mergeCell ref="F65:G65"/>
    <mergeCell ref="H65:I65"/>
    <mergeCell ref="J65:K65"/>
    <mergeCell ref="L65:M65"/>
    <mergeCell ref="N65:O65"/>
    <mergeCell ref="P65:Q65"/>
    <mergeCell ref="R58:S58"/>
    <mergeCell ref="T58:U58"/>
    <mergeCell ref="V58:Y58"/>
    <mergeCell ref="D58:E58"/>
    <mergeCell ref="F58:G58"/>
    <mergeCell ref="H58:I58"/>
    <mergeCell ref="J58:K58"/>
    <mergeCell ref="L58:M58"/>
    <mergeCell ref="N58:O58"/>
    <mergeCell ref="P58:Q58"/>
    <mergeCell ref="R59:S59"/>
    <mergeCell ref="T59:U59"/>
    <mergeCell ref="V59:Y59"/>
    <mergeCell ref="D59:E59"/>
    <mergeCell ref="F59:G59"/>
    <mergeCell ref="H59:I59"/>
    <mergeCell ref="J59:K59"/>
    <mergeCell ref="L59:M59"/>
    <mergeCell ref="N59:O59"/>
    <mergeCell ref="P59:Q59"/>
    <mergeCell ref="R60:S60"/>
    <mergeCell ref="T60:U60"/>
    <mergeCell ref="V60:Y60"/>
    <mergeCell ref="D60:E60"/>
    <mergeCell ref="F60:G60"/>
    <mergeCell ref="H60:I60"/>
    <mergeCell ref="J60:K60"/>
    <mergeCell ref="L60:M60"/>
    <mergeCell ref="N60:O60"/>
    <mergeCell ref="P60:Q60"/>
    <mergeCell ref="R67:S67"/>
    <mergeCell ref="T67:U67"/>
    <mergeCell ref="V67:Y67"/>
    <mergeCell ref="D67:E67"/>
    <mergeCell ref="F67:G67"/>
    <mergeCell ref="H67:I67"/>
    <mergeCell ref="J67:K67"/>
    <mergeCell ref="L67:M67"/>
    <mergeCell ref="N67:O67"/>
    <mergeCell ref="P67:Q67"/>
    <mergeCell ref="R72:S72"/>
    <mergeCell ref="T72:U72"/>
    <mergeCell ref="V72:Y72"/>
    <mergeCell ref="D72:E72"/>
    <mergeCell ref="F72:G72"/>
    <mergeCell ref="H72:I72"/>
    <mergeCell ref="J72:K72"/>
    <mergeCell ref="L72:M72"/>
    <mergeCell ref="N72:O72"/>
    <mergeCell ref="P72:Q72"/>
    <mergeCell ref="R73:S73"/>
    <mergeCell ref="T73:U73"/>
    <mergeCell ref="V73:Y73"/>
    <mergeCell ref="D73:E73"/>
    <mergeCell ref="F73:G73"/>
    <mergeCell ref="H73:I73"/>
    <mergeCell ref="J73:K73"/>
    <mergeCell ref="L73:M73"/>
    <mergeCell ref="N73:O73"/>
    <mergeCell ref="P73:Q73"/>
    <mergeCell ref="R74:S74"/>
    <mergeCell ref="T74:U74"/>
    <mergeCell ref="V74:Y74"/>
    <mergeCell ref="D74:E74"/>
    <mergeCell ref="F74:G74"/>
    <mergeCell ref="H74:I74"/>
    <mergeCell ref="J74:K74"/>
    <mergeCell ref="L74:M74"/>
    <mergeCell ref="N74:O74"/>
    <mergeCell ref="P74:Q74"/>
    <mergeCell ref="R75:S75"/>
    <mergeCell ref="T75:U75"/>
    <mergeCell ref="V75:Y75"/>
    <mergeCell ref="D75:E75"/>
    <mergeCell ref="F75:G75"/>
    <mergeCell ref="H75:I75"/>
    <mergeCell ref="J75:K75"/>
    <mergeCell ref="L75:M75"/>
    <mergeCell ref="N75:O75"/>
    <mergeCell ref="P75:Q75"/>
    <mergeCell ref="R76:S76"/>
    <mergeCell ref="T76:U76"/>
    <mergeCell ref="V76:Y76"/>
    <mergeCell ref="D76:E76"/>
    <mergeCell ref="F76:G76"/>
    <mergeCell ref="H76:I76"/>
    <mergeCell ref="J76:K76"/>
    <mergeCell ref="L76:M76"/>
    <mergeCell ref="N76:O76"/>
    <mergeCell ref="P76:Q76"/>
    <mergeCell ref="R77:S77"/>
    <mergeCell ref="T77:U77"/>
    <mergeCell ref="V77:Y77"/>
    <mergeCell ref="D77:E77"/>
    <mergeCell ref="F77:G77"/>
    <mergeCell ref="H77:I77"/>
    <mergeCell ref="J77:K77"/>
    <mergeCell ref="L77:M77"/>
    <mergeCell ref="N77:O77"/>
    <mergeCell ref="P77:Q77"/>
    <mergeCell ref="R78:S78"/>
    <mergeCell ref="T78:U78"/>
    <mergeCell ref="V78:Y78"/>
    <mergeCell ref="D78:E78"/>
    <mergeCell ref="F78:G78"/>
    <mergeCell ref="H78:I78"/>
    <mergeCell ref="J78:K78"/>
    <mergeCell ref="L78:M78"/>
    <mergeCell ref="N78:O78"/>
    <mergeCell ref="P78:Q78"/>
    <mergeCell ref="R79:S79"/>
    <mergeCell ref="T79:U79"/>
    <mergeCell ref="V79:Y79"/>
    <mergeCell ref="D79:E79"/>
    <mergeCell ref="F79:G79"/>
    <mergeCell ref="H79:I79"/>
    <mergeCell ref="J79:K79"/>
    <mergeCell ref="L79:M79"/>
    <mergeCell ref="N79:O79"/>
    <mergeCell ref="P79:Q79"/>
    <mergeCell ref="R80:S80"/>
    <mergeCell ref="T80:U80"/>
    <mergeCell ref="V80:Y80"/>
    <mergeCell ref="D80:E80"/>
    <mergeCell ref="F80:G80"/>
    <mergeCell ref="H80:I80"/>
    <mergeCell ref="J80:K80"/>
    <mergeCell ref="L80:M80"/>
    <mergeCell ref="N80:O80"/>
    <mergeCell ref="P80:Q80"/>
    <mergeCell ref="R81:S81"/>
    <mergeCell ref="T81:U81"/>
    <mergeCell ref="V81:Y81"/>
    <mergeCell ref="D81:E81"/>
    <mergeCell ref="F81:G81"/>
    <mergeCell ref="H81:I81"/>
    <mergeCell ref="J81:K81"/>
    <mergeCell ref="L81:M81"/>
    <mergeCell ref="N81:O81"/>
    <mergeCell ref="P81:Q81"/>
    <mergeCell ref="R82:S82"/>
    <mergeCell ref="T82:U82"/>
    <mergeCell ref="V82:Y82"/>
    <mergeCell ref="D82:E82"/>
    <mergeCell ref="F82:G82"/>
    <mergeCell ref="H82:I82"/>
    <mergeCell ref="J82:K82"/>
    <mergeCell ref="L82:M82"/>
    <mergeCell ref="N82:O82"/>
    <mergeCell ref="P82:Q82"/>
    <mergeCell ref="R83:S83"/>
    <mergeCell ref="T83:U83"/>
    <mergeCell ref="V83:Y83"/>
    <mergeCell ref="F83:G83"/>
    <mergeCell ref="H83:I83"/>
    <mergeCell ref="J83:K83"/>
    <mergeCell ref="L83:M83"/>
    <mergeCell ref="N83:O83"/>
    <mergeCell ref="P83:Q83"/>
    <mergeCell ref="B85:Z85"/>
    <mergeCell ref="R66:S66"/>
    <mergeCell ref="T66:U66"/>
    <mergeCell ref="V66:Y66"/>
    <mergeCell ref="F66:G66"/>
    <mergeCell ref="H66:I66"/>
    <mergeCell ref="J66:K66"/>
    <mergeCell ref="L66:M66"/>
    <mergeCell ref="N66:O66"/>
    <mergeCell ref="P66:Q66"/>
    <mergeCell ref="B69:Z69"/>
    <mergeCell ref="P70:Q70"/>
    <mergeCell ref="R70:S70"/>
    <mergeCell ref="T70:U70"/>
    <mergeCell ref="V70:Y70"/>
    <mergeCell ref="D66:E66"/>
    <mergeCell ref="D70:E70"/>
    <mergeCell ref="F70:G70"/>
    <mergeCell ref="H70:I70"/>
    <mergeCell ref="J70:K70"/>
    <mergeCell ref="L70:M70"/>
    <mergeCell ref="N70:O70"/>
    <mergeCell ref="R71:S71"/>
    <mergeCell ref="T71:U71"/>
    <mergeCell ref="V71:Y71"/>
    <mergeCell ref="D71:E71"/>
    <mergeCell ref="F71:G71"/>
    <mergeCell ref="H71:I71"/>
    <mergeCell ref="J71:K71"/>
    <mergeCell ref="L71:M71"/>
    <mergeCell ref="N71:O71"/>
    <mergeCell ref="P71:Q71"/>
    <mergeCell ref="P86:Q86"/>
    <mergeCell ref="R86:S86"/>
    <mergeCell ref="T86:U86"/>
    <mergeCell ref="V86:Y86"/>
    <mergeCell ref="D83:E83"/>
    <mergeCell ref="D86:E86"/>
    <mergeCell ref="F86:G86"/>
    <mergeCell ref="H86:I86"/>
    <mergeCell ref="J86:K86"/>
    <mergeCell ref="L86:M86"/>
    <mergeCell ref="N86:O86"/>
    <mergeCell ref="R87:S87"/>
    <mergeCell ref="T87:U87"/>
    <mergeCell ref="V87:Y87"/>
    <mergeCell ref="D87:E87"/>
    <mergeCell ref="F87:G87"/>
    <mergeCell ref="H87:I87"/>
    <mergeCell ref="J87:K87"/>
    <mergeCell ref="L87:M87"/>
    <mergeCell ref="N87:O87"/>
    <mergeCell ref="P87:Q87"/>
    <mergeCell ref="R88:S88"/>
    <mergeCell ref="T88:U88"/>
    <mergeCell ref="V88:Y88"/>
    <mergeCell ref="D88:E88"/>
    <mergeCell ref="F88:G88"/>
    <mergeCell ref="H88:I88"/>
    <mergeCell ref="J88:K88"/>
    <mergeCell ref="L88:M88"/>
    <mergeCell ref="N88:O88"/>
    <mergeCell ref="P88:Q88"/>
    <mergeCell ref="R89:S89"/>
    <mergeCell ref="T89:U89"/>
    <mergeCell ref="V89:Y89"/>
    <mergeCell ref="D89:E89"/>
    <mergeCell ref="F89:G89"/>
    <mergeCell ref="H89:I89"/>
    <mergeCell ref="J89:K89"/>
    <mergeCell ref="L89:M89"/>
    <mergeCell ref="N89:O89"/>
    <mergeCell ref="P89:Q89"/>
    <mergeCell ref="R93:S93"/>
    <mergeCell ref="T93:U93"/>
    <mergeCell ref="V93:Y93"/>
    <mergeCell ref="D93:E93"/>
    <mergeCell ref="F93:G93"/>
    <mergeCell ref="H93:I93"/>
    <mergeCell ref="J93:K93"/>
    <mergeCell ref="L93:M93"/>
    <mergeCell ref="N93:O93"/>
    <mergeCell ref="P93:Q93"/>
    <mergeCell ref="R94:S94"/>
    <mergeCell ref="T94:U94"/>
    <mergeCell ref="V94:Y94"/>
    <mergeCell ref="D94:E94"/>
    <mergeCell ref="F94:G94"/>
    <mergeCell ref="H94:I94"/>
    <mergeCell ref="J94:K94"/>
    <mergeCell ref="L94:M94"/>
    <mergeCell ref="N94:O94"/>
    <mergeCell ref="P94:Q94"/>
    <mergeCell ref="R95:S95"/>
    <mergeCell ref="T95:U95"/>
    <mergeCell ref="V95:Y95"/>
    <mergeCell ref="D95:E95"/>
    <mergeCell ref="F95:G95"/>
    <mergeCell ref="H95:I95"/>
    <mergeCell ref="J95:K95"/>
    <mergeCell ref="L95:M95"/>
    <mergeCell ref="N95:O95"/>
    <mergeCell ref="P95:Q95"/>
    <mergeCell ref="R96:S96"/>
    <mergeCell ref="T96:U96"/>
    <mergeCell ref="V96:Y96"/>
    <mergeCell ref="D96:E96"/>
    <mergeCell ref="F96:G96"/>
    <mergeCell ref="H96:I96"/>
    <mergeCell ref="J96:K96"/>
    <mergeCell ref="L96:M96"/>
    <mergeCell ref="N96:O96"/>
    <mergeCell ref="P96:Q96"/>
  </mergeCells>
  <conditionalFormatting sqref="B13:E18 B22:E35 B39:E51 B55:E67 B71:E83 B87:E99 B103:E113">
    <cfRule type="expression" dxfId="0" priority="1">
      <formula>INDIRECT(CONCAT("D",ROW()))</formula>
    </cfRule>
  </conditionalFormatting>
  <drawing r:id="rId1"/>
</worksheet>
</file>